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Lisa's Place\_In Progress\Website Templates\Site Visits\"/>
    </mc:Choice>
  </mc:AlternateContent>
  <xr:revisionPtr revIDLastSave="0" documentId="13_ncr:1_{A73F7AD3-4DA2-454F-8F48-30C86F0EFD66}" xr6:coauthVersionLast="47" xr6:coauthVersionMax="47" xr10:uidLastSave="{00000000-0000-0000-0000-000000000000}"/>
  <bookViews>
    <workbookView xWindow="-120" yWindow="-120" windowWidth="28020" windowHeight="16440" firstSheet="1" activeTab="1"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V Scripts" sheetId="9" state="hidden" r:id="rId6"/>
  </sheets>
  <externalReferences>
    <externalReference r:id="rId7"/>
    <externalReference r:id="rId8"/>
  </externalReferences>
  <definedNames>
    <definedName name="_xlnm._FilterDatabase" localSheetId="2" hidden="1">'SV Findings'!$I$13:$J$13</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Page'!$A$1:$N$33</definedName>
    <definedName name="_xlnm.Print_Area" localSheetId="0">'EA-LoR App'!$A$1:$G$82</definedName>
    <definedName name="_xlnm.Print_Area" localSheetId="4">'Satellite(s)'!$A$1:$M$8,'Satellite(s)'!$A$10:$AB$54,'Satellite(s)'!$A$57:$M$149</definedName>
    <definedName name="_xlnm.Print_Area" localSheetId="3">'Summary of Findings - Main'!$A$1:$G$277</definedName>
    <definedName name="_xlnm.Print_Area" localSheetId="2">'SV Findings'!$B$1:$L$298</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5">'[1]SV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5">'[1]SV Findings'!$AA$9:$AI$9</definedName>
    <definedName name="Sponsorship">'SV Findings'!$AA$10:$AI$10</definedName>
    <definedName name="Standards" localSheetId="0">#REF!</definedName>
    <definedName name="Standards">'Summary of Findings - Main'!$Q$31:$Q$203</definedName>
    <definedName name="SType">'[2]Standard I'!$K$2:$K$6</definedName>
    <definedName name="SVCriteria">#REF!</definedName>
    <definedName name="validation_tclist" localSheetId="0">OFFSET(#REF!,,,COUNTIF(#REF!,"?*"))</definedName>
    <definedName name="validation_tclist" localSheetId="5">OFFSET('[1]Cover Page'!$U$3,,,COUNTIF('[1]Cover Page'!$U$3:$U$136,"?*"))</definedName>
    <definedName name="validation_tclist">OFFSET('Cover Page'!$U$3,,,COUNTIF('Cover Page'!$U$3:$U$133,"?*"))</definedName>
    <definedName name="validation_tmlist" localSheetId="0">OFFSET(#REF!,,,COUNTIF(#REF!,"?*"))</definedName>
    <definedName name="validation_tmlist" localSheetId="5">OFFSET('[1]Cover Page'!$AA$3,,,COUNTIF('[1]Cover Page'!$AA$3:$AA$136,"?*"))</definedName>
    <definedName name="validation_tmlist">OFFSET('Cover Page'!$AA$3,,,COUNTIF('Cover Page'!$AA$3:$AA$133,"?*"))</definedName>
    <definedName name="validation_tmlist2" localSheetId="0">OFFSET(#REF!,,,COUNTIF(#REF!,"?*"))</definedName>
    <definedName name="validation_tmlist2" localSheetId="5">OFFSET('[1]Cover Page'!$AF$3,,,COUNTIF('[1]Cover Page'!$AF$3:$AF$136,"?*"))</definedName>
    <definedName name="validation_tmlist2">OFFSET('Cover Page'!$AF$3,,,COUNTIF('Cover Page'!$AF$3:$AF$133,"?*"))</definedName>
    <definedName name="validation_tmlist3" localSheetId="0">OFFSET(#REF!,,,COUNTIF(#REF!,"?*"))</definedName>
    <definedName name="validation_tmlist3" localSheetId="5">OFFSET('[1]Cover Page'!$AK$3,,,COUNTIF('[1]Cover Page'!$AK$3:$AK$136,"?*"))</definedName>
    <definedName name="validation_tmlist3">OFFSET('Cover Page'!$AK$3,,,COUNTIF('Cover Page'!$AK$3:$AK$133,"?*"))</definedName>
    <definedName name="YN" localSheetId="0">#REF!</definedName>
    <definedName name="YN" localSheetId="3">'SV Findings'!#REF!</definedName>
    <definedName name="YN" localSheetId="5">'[1]SV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5">'[1]SV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Page'!$A$1:$N$33</definedName>
    <definedName name="Z_6FDBC1BF_99FD_492F_9A38_B1FC9531BD14_.wvu.PrintArea" localSheetId="0" hidden="1">'EA-LoR App'!$A$1:$G$82,'EA-LoR App'!$H$14:$S$36</definedName>
    <definedName name="Z_6FDBC1BF_99FD_492F_9A38_B1FC9531BD14_.wvu.PrintArea" localSheetId="3" hidden="1">'Summary of Findings - Main'!$A$1:$G$277</definedName>
    <definedName name="Z_6FDBC1BF_99FD_492F_9A38_B1FC9531BD14_.wvu.PrintArea" localSheetId="2" hidden="1">'SV Findings'!$B$1:$L$301</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Page'!$A$1:$N$33</definedName>
    <definedName name="Z_C17C9B4A_0866_4AA0_BC6D_B2274E9D30D3_.wvu.PrintArea" localSheetId="0" hidden="1">'EA-LoR App'!$A$1:$G$82,'EA-LoR App'!$H$14:$S$36</definedName>
    <definedName name="Z_C17C9B4A_0866_4AA0_BC6D_B2274E9D30D3_.wvu.PrintArea" localSheetId="3" hidden="1">'Summary of Findings - Main'!$A$1:$G$277</definedName>
    <definedName name="Z_C17C9B4A_0866_4AA0_BC6D_B2274E9D30D3_.wvu.PrintArea" localSheetId="2" hidden="1">'SV Findings'!$B$1:$L$301</definedName>
    <definedName name="Z_C17C9B4A_0866_4AA0_BC6D_B2274E9D30D3_.wvu.PrintTitles" localSheetId="2" hidden="1">'SV Findings'!$6:$6</definedName>
  </definedNames>
  <calcPr calcId="191029"/>
  <customWorkbookViews>
    <customWorkbookView name="EASatellites" guid="{6FDBC1BF-99FD-492F-9A38-B1FC9531BD14}" maximized="1" windowWidth="1881" windowHeight="771" activeSheetId="4"/>
    <customWorkbookView name="EA1" guid="{C17C9B4A-0866-4AA0-BC6D-B2274E9D30D3}"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1" l="1"/>
  <c r="B209" i="1"/>
  <c r="B166" i="1"/>
  <c r="H165" i="1"/>
  <c r="I172" i="1"/>
  <c r="C174" i="1"/>
  <c r="C173" i="1"/>
  <c r="C172" i="1"/>
  <c r="B174" i="1"/>
  <c r="B173" i="1"/>
  <c r="B172" i="1"/>
  <c r="B171" i="1"/>
  <c r="C23" i="1"/>
  <c r="I167" i="1"/>
  <c r="C142" i="1"/>
  <c r="B3" i="7" l="1"/>
  <c r="D134" i="7" l="1"/>
  <c r="B134" i="7"/>
  <c r="D133" i="7"/>
  <c r="B133" i="7"/>
  <c r="D176" i="7" l="1"/>
  <c r="B176" i="7"/>
  <c r="D169" i="7"/>
  <c r="B169" i="7"/>
  <c r="D179" i="7"/>
  <c r="B179" i="7"/>
  <c r="D3" i="7" l="1"/>
  <c r="F3" i="1"/>
  <c r="C170" i="1"/>
  <c r="C169" i="1"/>
  <c r="I155" i="1" l="1"/>
  <c r="I137" i="1"/>
  <c r="H134" i="1"/>
  <c r="H124" i="1"/>
  <c r="J205" i="1" a="1"/>
  <c r="J205" i="1"/>
  <c r="J204" i="1" a="1"/>
  <c r="J204" i="1"/>
  <c r="J98" i="1" a="1"/>
  <c r="J98" i="1"/>
  <c r="J97" i="1" a="1"/>
  <c r="J97" i="1"/>
  <c r="J57" i="1" a="1"/>
  <c r="J57" i="1"/>
  <c r="J56" i="1" a="1"/>
  <c r="J56" i="1"/>
  <c r="B2" i="10"/>
  <c r="J185" i="1" a="1"/>
  <c r="J185" i="1"/>
  <c r="J184" i="1" a="1"/>
  <c r="J184" i="1"/>
  <c r="C136" i="1"/>
  <c r="C126" i="1"/>
  <c r="D53" i="7" l="1"/>
  <c r="B53" i="7"/>
  <c r="D60" i="7"/>
  <c r="B60" i="7"/>
  <c r="D65" i="7"/>
  <c r="B65" i="7"/>
  <c r="D66" i="7"/>
  <c r="B66" i="7"/>
  <c r="B290" i="1"/>
  <c r="B235" i="1"/>
  <c r="D67" i="7"/>
  <c r="B67" i="7"/>
  <c r="D99" i="7" l="1"/>
  <c r="B99" i="7"/>
  <c r="C130" i="1"/>
  <c r="C129" i="1"/>
  <c r="I130" i="1"/>
  <c r="I132" i="1"/>
  <c r="I139" i="1"/>
  <c r="C131" i="1"/>
  <c r="D104" i="7"/>
  <c r="I143" i="1"/>
  <c r="I141" i="1"/>
  <c r="C140" i="1"/>
  <c r="C139" i="1"/>
  <c r="D119" i="7"/>
  <c r="B119" i="7"/>
  <c r="D120" i="7"/>
  <c r="B120" i="7"/>
  <c r="D121" i="7"/>
  <c r="B121" i="7"/>
  <c r="D122" i="7"/>
  <c r="B122" i="7"/>
  <c r="D123" i="7"/>
  <c r="B123" i="7"/>
  <c r="D124" i="7"/>
  <c r="B124" i="7"/>
  <c r="D125" i="7"/>
  <c r="B125" i="7"/>
  <c r="C103" i="1"/>
  <c r="I127" i="1"/>
  <c r="B300" i="1"/>
  <c r="J282" i="1" a="1"/>
  <c r="J282" i="1"/>
  <c r="J281" i="1" a="1"/>
  <c r="J281" i="1"/>
  <c r="J63" i="1" a="1"/>
  <c r="J63" i="1"/>
  <c r="J62" i="1" a="1"/>
  <c r="J62" i="1"/>
  <c r="J259" i="1" a="1"/>
  <c r="J259" i="1"/>
  <c r="J258" i="1" a="1"/>
  <c r="J258" i="1"/>
  <c r="J257" i="1" a="1"/>
  <c r="J257" i="1"/>
  <c r="J218" i="1" a="1"/>
  <c r="J218" i="1"/>
  <c r="J217" i="1" a="1"/>
  <c r="J217" i="1"/>
  <c r="J195" i="1" a="1"/>
  <c r="J195" i="1"/>
  <c r="J196" i="1" a="1"/>
  <c r="J196" i="1"/>
  <c r="J191" i="1" a="1"/>
  <c r="J191" i="1"/>
  <c r="J190" i="1" a="1"/>
  <c r="J190" i="1"/>
  <c r="J179" i="1" a="1"/>
  <c r="J179" i="1"/>
  <c r="J180" i="1" a="1"/>
  <c r="J180" i="1"/>
  <c r="J151" i="1" a="1"/>
  <c r="J151" i="1"/>
  <c r="J150" i="1" a="1"/>
  <c r="J150" i="1"/>
  <c r="J101" i="1" a="1"/>
  <c r="J101" i="1"/>
  <c r="J100" i="1" a="1"/>
  <c r="J100" i="1"/>
  <c r="J75" i="1" a="1"/>
  <c r="J75" i="1"/>
  <c r="J74" i="1" a="1"/>
  <c r="J74" i="1"/>
  <c r="J49" i="1" l="1" a="1"/>
  <c r="J49" i="1"/>
  <c r="J48" i="1" a="1"/>
  <c r="J48" i="1"/>
  <c r="B146" i="10" l="1"/>
  <c r="B144" i="10"/>
  <c r="B142" i="10"/>
  <c r="B140" i="10"/>
  <c r="B138" i="10"/>
  <c r="B136" i="10"/>
  <c r="B134" i="10"/>
  <c r="B132" i="10"/>
  <c r="B129" i="10"/>
  <c r="B127" i="10"/>
  <c r="B125" i="10"/>
  <c r="B123" i="10"/>
  <c r="B121" i="10"/>
  <c r="B119" i="10"/>
  <c r="B99" i="10"/>
  <c r="B97" i="10"/>
  <c r="B95" i="10"/>
  <c r="B93" i="10"/>
  <c r="B91" i="10"/>
  <c r="B89" i="10"/>
  <c r="B87" i="10"/>
  <c r="B85" i="10"/>
  <c r="B82" i="10"/>
  <c r="B80" i="10"/>
  <c r="B78" i="10"/>
  <c r="B76" i="10"/>
  <c r="B74" i="10"/>
  <c r="B72" i="10"/>
  <c r="BA21" i="10" l="1"/>
  <c r="AZ21" i="10"/>
  <c r="AY21" i="10"/>
  <c r="AX21" i="10"/>
  <c r="BB21" i="10" s="1"/>
  <c r="AS21" i="10"/>
  <c r="AV21" i="10"/>
  <c r="AU21" i="10"/>
  <c r="AT21" i="10"/>
  <c r="AQ21" i="10"/>
  <c r="AP21" i="10"/>
  <c r="AO21" i="10"/>
  <c r="AR21" i="10"/>
  <c r="X52" i="10"/>
  <c r="X50" i="10"/>
  <c r="X48" i="10"/>
  <c r="X46" i="10"/>
  <c r="X44" i="10"/>
  <c r="X42" i="10"/>
  <c r="X40" i="10"/>
  <c r="X38" i="10"/>
  <c r="X35" i="10"/>
  <c r="X33" i="10"/>
  <c r="X31" i="10"/>
  <c r="X29" i="10"/>
  <c r="X27" i="10"/>
  <c r="X25" i="10"/>
  <c r="S52" i="10"/>
  <c r="S50" i="10"/>
  <c r="S48" i="10"/>
  <c r="S46" i="10"/>
  <c r="S44" i="10"/>
  <c r="S42" i="10"/>
  <c r="S40" i="10"/>
  <c r="S38" i="10"/>
  <c r="S35" i="10"/>
  <c r="S33" i="10"/>
  <c r="S31" i="10"/>
  <c r="S29" i="10"/>
  <c r="S27" i="10"/>
  <c r="S25" i="10"/>
  <c r="N52" i="10"/>
  <c r="B52" i="10"/>
  <c r="N50" i="10"/>
  <c r="B50" i="10"/>
  <c r="N48" i="10"/>
  <c r="B48" i="10"/>
  <c r="N46" i="10"/>
  <c r="B46" i="10"/>
  <c r="N44" i="10"/>
  <c r="B44" i="10"/>
  <c r="N42" i="10"/>
  <c r="B42" i="10"/>
  <c r="N40" i="10"/>
  <c r="B40" i="10"/>
  <c r="N38" i="10"/>
  <c r="B38" i="10"/>
  <c r="N35" i="10"/>
  <c r="N33" i="10"/>
  <c r="N31" i="10"/>
  <c r="N29" i="10"/>
  <c r="N27" i="10"/>
  <c r="B35" i="10"/>
  <c r="B33" i="10"/>
  <c r="B31" i="10"/>
  <c r="B29" i="10"/>
  <c r="N25" i="10"/>
  <c r="B27" i="10"/>
  <c r="B25" i="10"/>
  <c r="B3" i="10"/>
  <c r="H7" i="10"/>
  <c r="H6" i="10"/>
  <c r="H280" i="1" l="1"/>
  <c r="H257" i="1"/>
  <c r="H216" i="1"/>
  <c r="H203" i="1"/>
  <c r="H194" i="1"/>
  <c r="H189" i="1"/>
  <c r="H183" i="1"/>
  <c r="H178" i="1"/>
  <c r="H149" i="1"/>
  <c r="H99" i="1"/>
  <c r="H96" i="1"/>
  <c r="H73" i="1"/>
  <c r="H61" i="1"/>
  <c r="H55" i="1"/>
  <c r="H47" i="1"/>
  <c r="H281" i="1"/>
  <c r="G281" i="1" s="1"/>
  <c r="H258" i="1"/>
  <c r="G258" i="1" s="1"/>
  <c r="H217" i="1"/>
  <c r="G217" i="1" s="1"/>
  <c r="H204" i="1"/>
  <c r="G204" i="1" s="1"/>
  <c r="H195" i="1"/>
  <c r="G195" i="1" s="1"/>
  <c r="H190" i="1"/>
  <c r="G190" i="1" s="1"/>
  <c r="H184" i="1"/>
  <c r="G184" i="1" s="1"/>
  <c r="H179" i="1"/>
  <c r="G179" i="1" s="1"/>
  <c r="H150" i="1"/>
  <c r="G150" i="1" s="1"/>
  <c r="H100" i="1"/>
  <c r="G100" i="1" s="1"/>
  <c r="H97" i="1"/>
  <c r="G97" i="1" s="1"/>
  <c r="H74" i="1"/>
  <c r="G74" i="1" s="1"/>
  <c r="H62" i="1"/>
  <c r="G62" i="1" s="1"/>
  <c r="H56" i="1"/>
  <c r="H48" i="1"/>
  <c r="G48" i="1" s="1"/>
  <c r="G257" i="1"/>
  <c r="F58" i="10"/>
  <c r="L59" i="10"/>
  <c r="L65" i="10" s="1"/>
  <c r="J59" i="10"/>
  <c r="J65" i="10" s="1"/>
  <c r="I59" i="10"/>
  <c r="F59" i="10"/>
  <c r="F65" i="10" s="1"/>
  <c r="AW21" i="10"/>
  <c r="B98" i="10"/>
  <c r="B96" i="10"/>
  <c r="B94" i="10"/>
  <c r="B92" i="10"/>
  <c r="B90" i="10"/>
  <c r="B88" i="10"/>
  <c r="B86" i="10"/>
  <c r="B84" i="10"/>
  <c r="B83" i="10"/>
  <c r="B81" i="10"/>
  <c r="B79" i="10"/>
  <c r="B77" i="10"/>
  <c r="B75" i="10"/>
  <c r="B73" i="10"/>
  <c r="B71" i="10"/>
  <c r="B70" i="10"/>
  <c r="B69" i="10"/>
  <c r="B68" i="10"/>
  <c r="B67" i="10"/>
  <c r="B66" i="10"/>
  <c r="B64" i="10"/>
  <c r="B63" i="10"/>
  <c r="B62" i="10"/>
  <c r="B61" i="10"/>
  <c r="B60" i="10"/>
  <c r="AB12" i="10"/>
  <c r="AB18" i="10" s="1"/>
  <c r="AA12" i="10"/>
  <c r="AA18" i="10" s="1"/>
  <c r="Z12" i="10"/>
  <c r="Z18" i="10" s="1"/>
  <c r="Y12" i="10"/>
  <c r="Y11" i="10" s="1"/>
  <c r="W12" i="10"/>
  <c r="V12" i="10"/>
  <c r="F11" i="10"/>
  <c r="W18" i="10"/>
  <c r="V18" i="10"/>
  <c r="U12" i="10"/>
  <c r="U18" i="10" s="1"/>
  <c r="T12" i="10"/>
  <c r="T11" i="10" s="1"/>
  <c r="R12" i="10"/>
  <c r="R18" i="10" s="1"/>
  <c r="Q12" i="10"/>
  <c r="Q18" i="10" s="1"/>
  <c r="P12" i="10"/>
  <c r="P18" i="10" s="1"/>
  <c r="O12" i="10"/>
  <c r="L12" i="10"/>
  <c r="J12" i="10"/>
  <c r="I12" i="10"/>
  <c r="F12" i="10"/>
  <c r="G56" i="1" l="1"/>
  <c r="D136" i="7"/>
  <c r="B136" i="7"/>
  <c r="D63" i="7"/>
  <c r="B63" i="7"/>
  <c r="D70" i="7"/>
  <c r="B70" i="7"/>
  <c r="D78" i="7"/>
  <c r="B78" i="7"/>
  <c r="D81" i="7"/>
  <c r="B81" i="7"/>
  <c r="D110" i="7"/>
  <c r="B110" i="7"/>
  <c r="D127" i="7"/>
  <c r="B127" i="7"/>
  <c r="D131" i="7"/>
  <c r="B131" i="7"/>
  <c r="D139" i="7"/>
  <c r="B139" i="7"/>
  <c r="D143" i="7"/>
  <c r="B143" i="7"/>
  <c r="D155" i="7"/>
  <c r="B155" i="7"/>
  <c r="D183" i="7"/>
  <c r="B183" i="7"/>
  <c r="D197" i="7"/>
  <c r="B197" i="7"/>
  <c r="I65" i="10"/>
  <c r="D58" i="7"/>
  <c r="B58" i="7"/>
  <c r="D51" i="7"/>
  <c r="B51" i="7"/>
  <c r="B22" i="10"/>
  <c r="Y18" i="10"/>
  <c r="X51" i="10"/>
  <c r="X49" i="10"/>
  <c r="X47" i="10"/>
  <c r="X45" i="10"/>
  <c r="X43" i="10"/>
  <c r="X41" i="10"/>
  <c r="X39" i="10"/>
  <c r="X37" i="10"/>
  <c r="X36" i="10"/>
  <c r="X34" i="10"/>
  <c r="X32" i="10"/>
  <c r="X30" i="10"/>
  <c r="X28" i="10"/>
  <c r="X26" i="10"/>
  <c r="X24" i="10"/>
  <c r="X23" i="10"/>
  <c r="X22" i="10"/>
  <c r="X21" i="10"/>
  <c r="X20" i="10"/>
  <c r="X19" i="10"/>
  <c r="X17" i="10"/>
  <c r="X16" i="10"/>
  <c r="X15" i="10"/>
  <c r="X14" i="10"/>
  <c r="X13" i="10"/>
  <c r="O18" i="10"/>
  <c r="N36" i="10"/>
  <c r="N22" i="10"/>
  <c r="O11" i="10"/>
  <c r="T18" i="10"/>
  <c r="S51" i="10"/>
  <c r="S49" i="10"/>
  <c r="S47" i="10"/>
  <c r="S45" i="10"/>
  <c r="S43" i="10"/>
  <c r="S41" i="10"/>
  <c r="S39" i="10"/>
  <c r="S37" i="10"/>
  <c r="S36" i="10"/>
  <c r="S22" i="10"/>
  <c r="S34" i="10"/>
  <c r="S32" i="10"/>
  <c r="S30" i="10"/>
  <c r="S28" i="10"/>
  <c r="S26" i="10"/>
  <c r="S24" i="10"/>
  <c r="S23" i="10"/>
  <c r="S21" i="10"/>
  <c r="S20" i="10"/>
  <c r="S19" i="10"/>
  <c r="S17" i="10"/>
  <c r="S16" i="10"/>
  <c r="S15" i="10"/>
  <c r="S14" i="10"/>
  <c r="S13" i="10"/>
  <c r="B51" i="10"/>
  <c r="B49" i="10"/>
  <c r="B47" i="10"/>
  <c r="B45" i="10"/>
  <c r="B43" i="10"/>
  <c r="B41" i="10"/>
  <c r="B26" i="10"/>
  <c r="B19" i="10"/>
  <c r="N51" i="10"/>
  <c r="J99" i="1" s="1" a="1"/>
  <c r="J99" i="1" s="1"/>
  <c r="G99" i="1" s="1"/>
  <c r="N49" i="10"/>
  <c r="N47" i="10"/>
  <c r="J194" i="1" s="1" a="1"/>
  <c r="J194" i="1" s="1"/>
  <c r="G194" i="1" s="1"/>
  <c r="N45" i="10"/>
  <c r="J216" i="1" s="1" a="1"/>
  <c r="J216" i="1" s="1"/>
  <c r="G216" i="1" s="1"/>
  <c r="N43" i="10"/>
  <c r="J183" i="1" s="1" a="1"/>
  <c r="J183" i="1" s="1"/>
  <c r="N41" i="10"/>
  <c r="J149" i="1" s="1" a="1"/>
  <c r="J149" i="1" s="1"/>
  <c r="G149" i="1" s="1"/>
  <c r="N26" i="10"/>
  <c r="N19" i="10"/>
  <c r="N14" i="10"/>
  <c r="B39" i="10"/>
  <c r="B37" i="10"/>
  <c r="B36" i="10"/>
  <c r="B34" i="10"/>
  <c r="B32" i="10"/>
  <c r="B30" i="10"/>
  <c r="B28" i="10"/>
  <c r="B24" i="10"/>
  <c r="B23" i="10"/>
  <c r="B21" i="10"/>
  <c r="B20" i="10"/>
  <c r="B17" i="10"/>
  <c r="B16" i="10"/>
  <c r="B15" i="10"/>
  <c r="B14" i="10"/>
  <c r="B13" i="10"/>
  <c r="N39" i="10"/>
  <c r="J178" i="1" s="1" a="1"/>
  <c r="J178" i="1" s="1"/>
  <c r="G178" i="1" s="1"/>
  <c r="N37" i="10"/>
  <c r="J189" i="1" s="1" a="1"/>
  <c r="J189" i="1" s="1"/>
  <c r="G189" i="1" s="1"/>
  <c r="N34" i="10"/>
  <c r="J280" i="1" s="1" a="1"/>
  <c r="J280" i="1" s="1"/>
  <c r="G280" i="1" s="1"/>
  <c r="N32" i="10"/>
  <c r="J61" i="1" s="1" a="1"/>
  <c r="J61" i="1" s="1"/>
  <c r="G61" i="1" s="1"/>
  <c r="N30" i="10"/>
  <c r="N28" i="10"/>
  <c r="N24" i="10"/>
  <c r="N23" i="10"/>
  <c r="N21" i="10"/>
  <c r="N20" i="10"/>
  <c r="N17" i="10"/>
  <c r="N16" i="10"/>
  <c r="N15" i="10"/>
  <c r="N13" i="10"/>
  <c r="B8" i="10"/>
  <c r="H8" i="10"/>
  <c r="E55" i="10" l="1"/>
  <c r="Y55" i="10"/>
  <c r="T55" i="10"/>
  <c r="O55" i="10"/>
  <c r="H49" i="1"/>
  <c r="H282" i="1"/>
  <c r="H259" i="1"/>
  <c r="H218" i="1"/>
  <c r="H205" i="1"/>
  <c r="H196" i="1"/>
  <c r="H191" i="1"/>
  <c r="H185" i="1"/>
  <c r="H180" i="1"/>
  <c r="H151" i="1"/>
  <c r="H101" i="1"/>
  <c r="H98" i="1"/>
  <c r="H75" i="1"/>
  <c r="H63" i="1"/>
  <c r="H57" i="1"/>
  <c r="D148" i="7"/>
  <c r="B148" i="7"/>
  <c r="E149" i="10"/>
  <c r="E102" i="10"/>
  <c r="J96" i="1" a="1"/>
  <c r="J96" i="1" s="1"/>
  <c r="J203" i="1" a="1"/>
  <c r="J203" i="1" s="1"/>
  <c r="G203" i="1" s="1"/>
  <c r="J55" i="1" a="1"/>
  <c r="J55" i="1" s="1"/>
  <c r="L106" i="10"/>
  <c r="J106" i="10"/>
  <c r="I106" i="10"/>
  <c r="F106" i="10"/>
  <c r="F105" i="10"/>
  <c r="G282" i="1"/>
  <c r="G259" i="1"/>
  <c r="G218" i="1"/>
  <c r="G205" i="1"/>
  <c r="G196" i="1"/>
  <c r="G191" i="1"/>
  <c r="G180" i="1"/>
  <c r="G185" i="1"/>
  <c r="G151" i="1"/>
  <c r="G101" i="1"/>
  <c r="G98" i="1"/>
  <c r="G75" i="1"/>
  <c r="G63" i="1"/>
  <c r="G49" i="1"/>
  <c r="D196" i="7"/>
  <c r="B196" i="7"/>
  <c r="J47" i="1" a="1"/>
  <c r="J47" i="1" s="1"/>
  <c r="G47" i="1" s="1"/>
  <c r="G57" i="1"/>
  <c r="D52" i="7"/>
  <c r="B52" i="7"/>
  <c r="L112" i="10"/>
  <c r="J112" i="10"/>
  <c r="I112" i="10"/>
  <c r="F112" i="10"/>
  <c r="G183" i="1"/>
  <c r="G55" i="1"/>
  <c r="J73" i="1" a="1"/>
  <c r="J73" i="1" s="1"/>
  <c r="G73" i="1" s="1"/>
  <c r="G96" i="1"/>
  <c r="B360" i="1"/>
  <c r="F303" i="1"/>
  <c r="B319" i="1"/>
  <c r="B318" i="1"/>
  <c r="B364" i="1"/>
  <c r="B362" i="1"/>
  <c r="B361" i="1"/>
  <c r="B358" i="1"/>
  <c r="B356" i="1"/>
  <c r="B354" i="1"/>
  <c r="B352" i="1"/>
  <c r="B348" i="1"/>
  <c r="B346" i="1"/>
  <c r="B342" i="1"/>
  <c r="B338" i="1"/>
  <c r="B336" i="1"/>
  <c r="B332" i="1"/>
  <c r="I317" i="1"/>
  <c r="C317" i="1"/>
  <c r="B316" i="1"/>
  <c r="B312" i="1"/>
  <c r="B311" i="1"/>
  <c r="B310" i="1"/>
  <c r="K309" i="1"/>
  <c r="C309" i="1"/>
  <c r="B308" i="1"/>
  <c r="B303" i="1"/>
  <c r="B302" i="1"/>
  <c r="M4" i="10"/>
  <c r="B30" i="7" s="1"/>
  <c r="B4" i="10"/>
  <c r="B24" i="1"/>
  <c r="B23" i="1"/>
  <c r="B20" i="1"/>
  <c r="B7" i="1"/>
  <c r="B249" i="7"/>
  <c r="B223" i="7"/>
  <c r="B205" i="7"/>
  <c r="B9" i="7"/>
  <c r="B5" i="7"/>
  <c r="C379" i="1" l="1"/>
  <c r="B297" i="1"/>
  <c r="D135" i="7"/>
  <c r="B135" i="7"/>
  <c r="D149" i="7"/>
  <c r="B149" i="7"/>
  <c r="D64" i="7"/>
  <c r="B64" i="7"/>
  <c r="D71" i="7"/>
  <c r="B71" i="7"/>
  <c r="D79" i="7"/>
  <c r="B79" i="7"/>
  <c r="D82" i="7"/>
  <c r="B82" i="7"/>
  <c r="D111" i="7"/>
  <c r="B111" i="7"/>
  <c r="D128" i="7"/>
  <c r="B128" i="7"/>
  <c r="D132" i="7"/>
  <c r="B132" i="7"/>
  <c r="D140" i="7"/>
  <c r="B140" i="7"/>
  <c r="D144" i="7"/>
  <c r="B144" i="7"/>
  <c r="D156" i="7"/>
  <c r="B156" i="7"/>
  <c r="D184" i="7"/>
  <c r="B184" i="7"/>
  <c r="D59" i="7"/>
  <c r="B59" i="7"/>
  <c r="B131" i="10"/>
  <c r="B145" i="10"/>
  <c r="B143" i="10"/>
  <c r="B141" i="10"/>
  <c r="B139" i="10"/>
  <c r="B137" i="10"/>
  <c r="B135" i="10"/>
  <c r="B133" i="10"/>
  <c r="B130" i="10"/>
  <c r="B128" i="10"/>
  <c r="B126" i="10"/>
  <c r="B124" i="10"/>
  <c r="B122" i="10"/>
  <c r="B120" i="10"/>
  <c r="B118" i="10"/>
  <c r="B117" i="10"/>
  <c r="B116" i="10"/>
  <c r="B115" i="10"/>
  <c r="B114" i="10"/>
  <c r="B113" i="10"/>
  <c r="B111" i="10"/>
  <c r="B110" i="10"/>
  <c r="B109" i="10"/>
  <c r="B108" i="10"/>
  <c r="B107" i="10"/>
  <c r="L18" i="10"/>
  <c r="J18" i="10"/>
  <c r="I18" i="10"/>
  <c r="Q24" i="1"/>
  <c r="Q23" i="1"/>
  <c r="F18" i="10" l="1"/>
  <c r="D38" i="7"/>
  <c r="B38" i="7"/>
  <c r="D37" i="7"/>
  <c r="B37" i="7"/>
  <c r="I15" i="1"/>
  <c r="C15" i="1"/>
  <c r="B15" i="1"/>
  <c r="I14" i="1"/>
  <c r="I13" i="1"/>
  <c r="C14" i="1"/>
  <c r="C13" i="1"/>
  <c r="B13" i="1"/>
  <c r="B4" i="3" l="1"/>
  <c r="B135" i="1"/>
  <c r="B125" i="1"/>
  <c r="D108" i="7" l="1"/>
  <c r="D61" i="7" l="1"/>
  <c r="B33" i="7"/>
  <c r="B34" i="7"/>
  <c r="B35" i="7"/>
  <c r="B182" i="7"/>
  <c r="B154" i="7"/>
  <c r="B138" i="7"/>
  <c r="B61" i="7"/>
  <c r="B142" i="7" l="1"/>
  <c r="B198" i="7"/>
  <c r="B62" i="7"/>
  <c r="B50" i="7"/>
  <c r="B147" i="7"/>
  <c r="D56" i="7"/>
  <c r="B56" i="7"/>
  <c r="D55" i="7"/>
  <c r="B55" i="7"/>
  <c r="B109" i="7"/>
  <c r="B57" i="7" l="1"/>
  <c r="B69" i="7"/>
  <c r="I159" i="1" l="1"/>
  <c r="D163" i="7" l="1"/>
  <c r="B163" i="7"/>
  <c r="D162" i="7"/>
  <c r="B162" i="7"/>
  <c r="D160" i="7"/>
  <c r="B160" i="7"/>
  <c r="I157" i="1" l="1"/>
  <c r="I129" i="1"/>
  <c r="E3" i="1" l="1"/>
  <c r="B2" i="1"/>
  <c r="I239" i="1" l="1"/>
  <c r="I230" i="1"/>
  <c r="I229" i="1"/>
  <c r="I147" i="1"/>
  <c r="I95" i="1"/>
  <c r="I220" i="1"/>
  <c r="I228" i="1"/>
  <c r="I234" i="1"/>
  <c r="I89" i="1"/>
  <c r="I32" i="1"/>
  <c r="I26" i="1"/>
  <c r="I94" i="1"/>
  <c r="I93" i="1"/>
  <c r="I34" i="1"/>
  <c r="I148" i="1"/>
  <c r="I260" i="1"/>
  <c r="I251" i="1"/>
  <c r="H233" i="1"/>
  <c r="H227" i="1"/>
  <c r="I213" i="1"/>
  <c r="I223" i="1"/>
  <c r="I114" i="1"/>
  <c r="I112" i="1"/>
  <c r="I113" i="1"/>
  <c r="C3" i="9" l="1"/>
  <c r="B3" i="9"/>
  <c r="I142" i="1" l="1"/>
  <c r="I140" i="1"/>
  <c r="I131" i="1"/>
  <c r="B36" i="8" l="1"/>
  <c r="I200" i="1" l="1"/>
  <c r="I215" i="1"/>
  <c r="I214"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295" i="1" l="1"/>
  <c r="B76" i="7"/>
  <c r="D45" i="7"/>
  <c r="B45" i="7"/>
  <c r="C163" i="1"/>
  <c r="C162" i="1"/>
  <c r="C161" i="1"/>
  <c r="C160" i="1"/>
  <c r="B333" i="1"/>
  <c r="B339" i="1"/>
  <c r="B343" i="1"/>
  <c r="B349" i="1"/>
  <c r="D35" i="7"/>
  <c r="D34" i="7"/>
  <c r="B305" i="1"/>
  <c r="B273" i="7"/>
  <c r="B267" i="7"/>
  <c r="AH3" i="3"/>
  <c r="AH4" i="3" s="1"/>
  <c r="B163" i="1"/>
  <c r="B162" i="1"/>
  <c r="B161" i="1"/>
  <c r="B160" i="1"/>
  <c r="C159" i="1"/>
  <c r="B159" i="1"/>
  <c r="B158" i="1"/>
  <c r="C157" i="1"/>
  <c r="B157" i="1"/>
  <c r="B156" i="1"/>
  <c r="B140" i="1"/>
  <c r="B142" i="1"/>
  <c r="B139" i="1"/>
  <c r="B138" i="1"/>
  <c r="I136" i="1"/>
  <c r="B136" i="1"/>
  <c r="B131" i="1"/>
  <c r="B130" i="1"/>
  <c r="B129" i="1"/>
  <c r="B126" i="1"/>
  <c r="B128" i="1"/>
  <c r="I126" i="1"/>
  <c r="D33" i="7"/>
  <c r="B261" i="7"/>
  <c r="B256" i="7"/>
  <c r="B32" i="7"/>
  <c r="D32" i="7"/>
  <c r="D200" i="7"/>
  <c r="D199" i="7"/>
  <c r="D195" i="7"/>
  <c r="D194" i="7"/>
  <c r="D193" i="7"/>
  <c r="D192" i="7"/>
  <c r="D191" i="7"/>
  <c r="D190" i="7"/>
  <c r="D189" i="7"/>
  <c r="D188" i="7"/>
  <c r="D187" i="7"/>
  <c r="D186" i="7"/>
  <c r="D185" i="7"/>
  <c r="D181" i="7"/>
  <c r="D180" i="7"/>
  <c r="D178" i="7"/>
  <c r="D177" i="7"/>
  <c r="D175" i="7"/>
  <c r="D174" i="7"/>
  <c r="D173" i="7"/>
  <c r="D172" i="7"/>
  <c r="D171" i="7"/>
  <c r="D170" i="7"/>
  <c r="D168" i="7"/>
  <c r="D167" i="7"/>
  <c r="D166" i="7"/>
  <c r="D165" i="7"/>
  <c r="D164" i="7"/>
  <c r="D161" i="7"/>
  <c r="D159" i="7"/>
  <c r="D158" i="7"/>
  <c r="D157" i="7"/>
  <c r="D153" i="7"/>
  <c r="D152" i="7"/>
  <c r="D151" i="7"/>
  <c r="D150" i="7"/>
  <c r="D146" i="7"/>
  <c r="D145" i="7"/>
  <c r="D141" i="7"/>
  <c r="D137" i="7"/>
  <c r="D129" i="7"/>
  <c r="D118" i="7"/>
  <c r="D117" i="7"/>
  <c r="D116" i="7"/>
  <c r="D115" i="7"/>
  <c r="D114" i="7"/>
  <c r="D113" i="7"/>
  <c r="D112" i="7"/>
  <c r="D107" i="7"/>
  <c r="D106" i="7"/>
  <c r="D105" i="7"/>
  <c r="D103" i="7"/>
  <c r="D102" i="7"/>
  <c r="D101" i="7"/>
  <c r="D100" i="7"/>
  <c r="D98" i="7"/>
  <c r="D97" i="7"/>
  <c r="D96" i="7"/>
  <c r="D95" i="7"/>
  <c r="D94" i="7"/>
  <c r="D93" i="7"/>
  <c r="D92" i="7"/>
  <c r="D91" i="7"/>
  <c r="D90" i="7"/>
  <c r="D89" i="7"/>
  <c r="D88" i="7"/>
  <c r="D87" i="7"/>
  <c r="D86" i="7"/>
  <c r="D85" i="7"/>
  <c r="D84" i="7"/>
  <c r="D83" i="7"/>
  <c r="D76" i="7"/>
  <c r="D75" i="7"/>
  <c r="D74" i="7"/>
  <c r="D73" i="7"/>
  <c r="D72" i="7"/>
  <c r="D68" i="7"/>
  <c r="D54" i="7"/>
  <c r="D49" i="7"/>
  <c r="D48" i="7"/>
  <c r="D47" i="7"/>
  <c r="D46" i="7"/>
  <c r="D44" i="7"/>
  <c r="D39" i="7"/>
  <c r="D42" i="7"/>
  <c r="D43" i="7"/>
  <c r="D41" i="7"/>
  <c r="D40" i="7"/>
  <c r="B200" i="7"/>
  <c r="B199" i="7"/>
  <c r="B195" i="7"/>
  <c r="B194" i="7"/>
  <c r="B193" i="7"/>
  <c r="B192" i="7"/>
  <c r="B191" i="7"/>
  <c r="B190" i="7"/>
  <c r="B189" i="7"/>
  <c r="B188" i="7"/>
  <c r="B187" i="7"/>
  <c r="B186" i="7"/>
  <c r="B185" i="7"/>
  <c r="B181" i="7"/>
  <c r="B180" i="7"/>
  <c r="B178" i="7"/>
  <c r="B177" i="7"/>
  <c r="B175" i="7"/>
  <c r="B174" i="7"/>
  <c r="B173" i="7"/>
  <c r="B172" i="7"/>
  <c r="B171" i="7"/>
  <c r="B170" i="7"/>
  <c r="B168" i="7"/>
  <c r="B167" i="7"/>
  <c r="B166" i="7"/>
  <c r="B165" i="7"/>
  <c r="B164" i="7"/>
  <c r="B161" i="7"/>
  <c r="B159" i="7"/>
  <c r="B158" i="7"/>
  <c r="B157" i="7"/>
  <c r="B153" i="7"/>
  <c r="B152" i="7"/>
  <c r="B151" i="7"/>
  <c r="B150" i="7"/>
  <c r="B146" i="7"/>
  <c r="B145" i="7"/>
  <c r="B141" i="7"/>
  <c r="B137" i="7"/>
  <c r="B129" i="7"/>
  <c r="B118" i="7"/>
  <c r="B117" i="7"/>
  <c r="B116" i="7"/>
  <c r="B115" i="7"/>
  <c r="B114" i="7"/>
  <c r="B113" i="7"/>
  <c r="B112" i="7"/>
  <c r="B108" i="7"/>
  <c r="B107" i="7"/>
  <c r="B106" i="7"/>
  <c r="B105" i="7"/>
  <c r="B104" i="7"/>
  <c r="B103" i="7"/>
  <c r="B102" i="7"/>
  <c r="B101" i="7"/>
  <c r="B100" i="7"/>
  <c r="B98" i="7"/>
  <c r="B97" i="7"/>
  <c r="B96" i="7"/>
  <c r="B95" i="7"/>
  <c r="B94" i="7"/>
  <c r="B93" i="7"/>
  <c r="B92" i="7"/>
  <c r="B91" i="7"/>
  <c r="B90" i="7"/>
  <c r="B89" i="7"/>
  <c r="B88" i="7"/>
  <c r="B87" i="7"/>
  <c r="B86" i="7"/>
  <c r="B85" i="7"/>
  <c r="B84" i="7"/>
  <c r="B83" i="7"/>
  <c r="B75" i="7"/>
  <c r="B74" i="7"/>
  <c r="B73" i="7"/>
  <c r="B72" i="7"/>
  <c r="B68" i="7"/>
  <c r="B54" i="7"/>
  <c r="B49" i="7"/>
  <c r="B48" i="7"/>
  <c r="B47" i="7"/>
  <c r="B46" i="7"/>
  <c r="B44" i="7"/>
  <c r="B39" i="7"/>
  <c r="B42" i="7"/>
  <c r="B43" i="7"/>
  <c r="B41" i="7"/>
  <c r="B40" i="7"/>
  <c r="B36" i="7"/>
  <c r="D36" i="7"/>
  <c r="AJ3" i="3"/>
  <c r="AJ2" i="3"/>
  <c r="AE3" i="3"/>
  <c r="AE2" i="3"/>
  <c r="AH133" i="3"/>
  <c r="AH5" i="3" l="1"/>
  <c r="AH6" i="3" s="1"/>
  <c r="AH7" i="3" l="1"/>
  <c r="AH10" i="3" s="1"/>
  <c r="AH11" i="3" l="1"/>
  <c r="AH12" i="3" l="1"/>
  <c r="AH13" i="3" l="1"/>
  <c r="AH14" i="3" s="1"/>
  <c r="AH15" i="3" l="1"/>
  <c r="AH16" i="3" s="1"/>
  <c r="AH17" i="3" l="1"/>
  <c r="AH18" i="3" s="1"/>
  <c r="AH19" i="3" s="1"/>
  <c r="AH20" i="3" s="1"/>
  <c r="AH21" i="3" l="1"/>
  <c r="AH22" i="3" s="1"/>
  <c r="AH23" i="3" s="1"/>
  <c r="AH24" i="3" l="1"/>
  <c r="AH25" i="3" s="1"/>
  <c r="AH26" i="3" s="1"/>
  <c r="AH27" i="3" s="1"/>
  <c r="AH28" i="3" s="1"/>
  <c r="AH29" i="3" s="1"/>
  <c r="AH30" i="3" s="1"/>
  <c r="AH31" i="3" s="1"/>
  <c r="AH32" i="3" s="1"/>
  <c r="AH33" i="3" s="1"/>
  <c r="AH34" i="3" s="1"/>
  <c r="AH35" i="3" s="1"/>
  <c r="AH36" i="3" s="1"/>
  <c r="AH37" i="3" s="1"/>
  <c r="AH38" i="3" s="1"/>
  <c r="AH39" i="3" s="1"/>
  <c r="AH40" i="3" s="1"/>
  <c r="AH41" i="3" s="1"/>
  <c r="AH42" i="3" s="1"/>
  <c r="AH43" i="3" s="1"/>
  <c r="AH44" i="3" s="1"/>
  <c r="AH45" i="3" s="1"/>
  <c r="AH46" i="3" s="1"/>
  <c r="AH47" i="3" s="1"/>
  <c r="AH48" i="3" s="1"/>
  <c r="AH49" i="3" s="1"/>
  <c r="AH50" i="3" s="1"/>
  <c r="AH51" i="3" s="1"/>
  <c r="AH52" i="3" s="1"/>
  <c r="AH53" i="3" s="1"/>
  <c r="AH54" i="3" s="1"/>
  <c r="AH55" i="3" s="1"/>
  <c r="AH56" i="3" s="1"/>
  <c r="AH57" i="3" s="1"/>
  <c r="AH58" i="3" s="1"/>
  <c r="AH59" i="3" s="1"/>
  <c r="AH60" i="3" s="1"/>
  <c r="AH61" i="3" s="1"/>
  <c r="AH62" i="3" s="1"/>
  <c r="AH63" i="3" s="1"/>
  <c r="AH64" i="3" s="1"/>
  <c r="AH65" i="3" s="1"/>
  <c r="AH66" i="3" s="1"/>
  <c r="AH67" i="3" s="1"/>
  <c r="AH68" i="3" s="1"/>
  <c r="AH69" i="3" s="1"/>
  <c r="AH70" i="3" s="1"/>
  <c r="AH71" i="3" s="1"/>
  <c r="AH72" i="3" s="1"/>
  <c r="AH73" i="3" s="1"/>
  <c r="AH74" i="3" s="1"/>
  <c r="AH75" i="3" s="1"/>
  <c r="AH76" i="3" s="1"/>
  <c r="AH77" i="3" s="1"/>
  <c r="AH78" i="3" s="1"/>
  <c r="AH79" i="3" s="1"/>
  <c r="AH80" i="3" s="1"/>
  <c r="AH81" i="3" s="1"/>
  <c r="AH82" i="3" s="1"/>
  <c r="AH83" i="3" s="1"/>
  <c r="AH84" i="3" s="1"/>
  <c r="AH85" i="3" s="1"/>
  <c r="AH86" i="3" s="1"/>
  <c r="AH87" i="3" s="1"/>
  <c r="AH88" i="3" s="1"/>
  <c r="AH89" i="3" s="1"/>
  <c r="AH90" i="3" s="1"/>
  <c r="AH91" i="3" s="1"/>
  <c r="AH92" i="3" s="1"/>
  <c r="AH93" i="3" s="1"/>
  <c r="AH94" i="3" s="1"/>
  <c r="AH95" i="3" s="1"/>
  <c r="AH96" i="3" s="1"/>
  <c r="AH97" i="3" s="1"/>
  <c r="AH98" i="3" s="1"/>
  <c r="AH99" i="3" s="1"/>
  <c r="AH100" i="3" s="1"/>
  <c r="AH101" i="3" s="1"/>
  <c r="AH102" i="3" s="1"/>
  <c r="AH103" i="3" s="1"/>
  <c r="AH104" i="3" s="1"/>
  <c r="AH105" i="3" s="1"/>
  <c r="AH106" i="3" s="1"/>
  <c r="AH107" i="3" s="1"/>
  <c r="AH108" i="3" s="1"/>
  <c r="AH109" i="3" s="1"/>
  <c r="AH110" i="3" s="1"/>
  <c r="AH111" i="3" s="1"/>
  <c r="AH112" i="3" s="1"/>
  <c r="AH113" i="3" s="1"/>
  <c r="AH114" i="3" s="1"/>
  <c r="AH115" i="3" s="1"/>
  <c r="AH116" i="3" s="1"/>
  <c r="AH117" i="3" s="1"/>
  <c r="AH118" i="3" s="1"/>
  <c r="AH119" i="3" s="1"/>
  <c r="AH120" i="3" s="1"/>
  <c r="AH121" i="3" s="1"/>
  <c r="AH122" i="3" s="1"/>
  <c r="AH123" i="3" s="1"/>
  <c r="AH124" i="3" s="1"/>
  <c r="AH125" i="3" s="1"/>
  <c r="AH126" i="3" s="1"/>
  <c r="AH127" i="3" s="1"/>
  <c r="AH128" i="3" s="1"/>
  <c r="AH129" i="3" s="1"/>
  <c r="AH130" i="3" s="1"/>
  <c r="AH131" i="3" s="1"/>
  <c r="AH132" i="3" s="1"/>
  <c r="B77" i="7" l="1"/>
  <c r="B130" i="7"/>
  <c r="B80" i="7"/>
  <c r="B126" i="7"/>
  <c r="D57" i="7" l="1"/>
  <c r="D77" i="7"/>
  <c r="D147" i="7"/>
  <c r="D80" i="7"/>
  <c r="D198" i="7"/>
  <c r="D138" i="7"/>
  <c r="D126" i="7"/>
  <c r="D69" i="7"/>
  <c r="D50" i="7"/>
  <c r="D62" i="7"/>
  <c r="D109" i="7"/>
  <c r="D130" i="7"/>
  <c r="D142" i="7"/>
  <c r="D154" i="7"/>
  <c r="D18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42"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Analyisis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2D798AC-8485-433A-9608-9FA43160B728}">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31"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2"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4"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39"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0" authorId="0" shapeId="0" xr:uid="{00000000-0006-0000-0200-000012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41"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3" authorId="0" shapeId="0" xr:uid="{00000000-0006-0000-0200-000014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text>
    </comment>
    <comment ref="B44" authorId="0" shapeId="0" xr:uid="{168A522A-9A5A-4D98-9266-D9905D349A39}">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text>
    </comment>
    <comment ref="B45" authorId="0" shapeId="0" xr:uid="{E1F27151-CF48-499D-82E1-D6F832D32B14}">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46" authorId="0" shapeId="0" xr:uid="{00000000-0006-0000-0200-000016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0" authorId="0" shapeId="0" xr:uid="{00000000-0006-0000-0200-000017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1" authorId="0" shapeId="0" xr:uid="{0257AB5D-C584-4119-8A98-A583E2F6526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2" authorId="0" shapeId="0" xr:uid="{1F6AE611-FDCD-4D56-92EF-051D96FEDEF1}">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5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4" authorId="0" shapeId="0" xr:uid="{274645A4-911E-4A70-A5AC-103C74CA375A}">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5" authorId="0" shapeId="0" xr:uid="{00000000-0006-0000-0200-00001D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68" authorId="0" shapeId="0" xr:uid="{2D8BDBFC-979A-4ABB-98A2-EE6D6D09EF18}">
      <text>
        <r>
          <rPr>
            <b/>
            <sz val="9"/>
            <color indexed="81"/>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
</t>
        </r>
        <r>
          <rPr>
            <sz val="9"/>
            <color indexed="81"/>
            <rFont val="Tahoma"/>
            <family val="2"/>
          </rPr>
          <t xml:space="preserve">
</t>
        </r>
      </text>
    </comment>
    <comment ref="B72" authorId="0" shapeId="0" xr:uid="{00000000-0006-0000-0200-000020000000}">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77" authorId="0" shapeId="0" xr:uid="{00000000-0006-0000-0200-000021000000}">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posititons are required: Program Director, Medical Director, Faculty/Instructional Staff.
</t>
        </r>
        <r>
          <rPr>
            <sz val="9"/>
            <color indexed="81"/>
            <rFont val="Tahoma"/>
            <family val="2"/>
          </rPr>
          <t xml:space="preserve">
</t>
        </r>
      </text>
    </comment>
    <comment ref="B86" authorId="0" shapeId="0" xr:uid="{00000000-0006-0000-0200-000022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89" authorId="0" shapeId="0" xr:uid="{00000000-0006-0000-0200-000023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preceptors.l.  </t>
        </r>
        <r>
          <rPr>
            <sz val="9"/>
            <color indexed="81"/>
            <rFont val="Tahoma"/>
            <family val="2"/>
          </rPr>
          <t xml:space="preserve">
</t>
        </r>
      </text>
    </comment>
    <comment ref="B92"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93"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96"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99"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03"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04"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05"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06"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07"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0"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11"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2"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3"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4"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5"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6"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18"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19"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20"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21"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22"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26"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29"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0"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1"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6"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39"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40"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42"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46"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53"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57" authorId="0" shapeId="0" xr:uid="{00000000-0006-0000-0200-00004B000000}">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59" authorId="0" shapeId="0" xr:uid="{00000000-0006-0000-0200-00004C000000}">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faculy/instructors.
</t>
        </r>
        <r>
          <rPr>
            <b/>
            <i/>
            <sz val="9"/>
            <color rgb="FF000000"/>
            <rFont val="Tahoma"/>
            <family val="2"/>
          </rPr>
          <t xml:space="preserve">
The Program Director may serve as the Lead Instructor.</t>
        </r>
      </text>
    </comment>
    <comment ref="B16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faculy/instructors.</t>
        </r>
        <r>
          <rPr>
            <b/>
            <i/>
            <sz val="9"/>
            <color indexed="81"/>
            <rFont val="Tahoma"/>
            <family val="2"/>
          </rPr>
          <t xml:space="preserve">
The Program Director may serve as the Lead Instructor.</t>
        </r>
      </text>
    </comment>
    <comment ref="B16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faculy/instructors.</t>
        </r>
        <r>
          <rPr>
            <b/>
            <i/>
            <sz val="9"/>
            <color indexed="81"/>
            <rFont val="Tahoma"/>
            <family val="2"/>
          </rPr>
          <t xml:space="preserve">
The Program Director may serve as the Lead Instructor.</t>
        </r>
      </text>
    </comment>
    <comment ref="B16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faculy/instructors.</t>
        </r>
        <r>
          <rPr>
            <b/>
            <i/>
            <sz val="9"/>
            <color indexed="81"/>
            <rFont val="Tahoma"/>
            <family val="2"/>
          </rPr>
          <t xml:space="preserve">
The Program Director may serve as the Lead Instructor.</t>
        </r>
      </text>
    </comment>
    <comment ref="B16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faculy/instructors.</t>
        </r>
        <r>
          <rPr>
            <b/>
            <i/>
            <sz val="9"/>
            <color indexed="81"/>
            <rFont val="Tahoma"/>
            <family val="2"/>
          </rPr>
          <t xml:space="preserve">
The Program Director may serve as the Lead Instructor.</t>
        </r>
      </text>
    </comment>
    <comment ref="B16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6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69" authorId="0" shapeId="0" xr:uid="{32551BC8-87CF-4F7B-8154-01270729B2C5}">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70" authorId="0" shapeId="0" xr:uid="{99F69E24-0829-4E16-ACA3-0D14252758BA}">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72"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73"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74"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76"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181"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186"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192" authorId="0" shapeId="0" xr:uid="{00000000-0006-0000-0200-000056000000}">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197" authorId="0" shapeId="0" xr:uid="{00000000-0006-0000-0200-000057000000}">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00"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06"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07"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08"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13"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19"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23"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24" authorId="0" shapeId="0" xr:uid="{00000000-0006-0000-0200-00005F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27" authorId="0" shapeId="0" xr:uid="{00000000-0006-0000-0200-000060000000}">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29" authorId="0" shapeId="0" xr:uid="{00000000-0006-0000-0200-000061000000}">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30" authorId="0" shapeId="0" xr:uid="{00000000-0006-0000-0200-000062000000}">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33" authorId="0" shapeId="0" xr:uid="{00000000-0006-0000-0200-000063000000}">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38"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39"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0"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1"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2"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3"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4"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5"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6"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7"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8"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49"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50"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51"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52"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53"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54"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56"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60"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62"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65"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67"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70"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272"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274" authorId="0" shapeId="0" xr:uid="{00000000-0006-0000-0200-00007A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27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27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27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27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284" authorId="0" shapeId="0" xr:uid="{00000000-0006-0000-0200-00007F000000}">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289" authorId="0" shapeId="0" xr:uid="{00000000-0006-0000-0200-000080000000}">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09"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09"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<sst xmlns="http://schemas.openxmlformats.org/spreadsheetml/2006/main" count="1378" uniqueCount="801">
  <si>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</si>
  <si>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</si>
  <si>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</si>
  <si>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</si>
  <si>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</si>
  <si>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</si>
  <si>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</si>
  <si>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</si>
  <si>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</si>
  <si>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</si>
  <si>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</si>
  <si>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</si>
  <si>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Met/
Not Met</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</si>
  <si>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</si>
  <si>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</si>
  <si>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</si>
  <si>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</si>
  <si>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</si>
  <si>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</si>
  <si>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</si>
  <si>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</si>
  <si>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Andrew Stern, MPA, MA, NRP</t>
  </si>
  <si>
    <t>Arthur Hsieh, MA, NRP</t>
  </si>
  <si>
    <t>Bryan Ericson, MEd, RN, NRP</t>
  </si>
  <si>
    <t>Debra Cason, MS, RN, EMT-P</t>
  </si>
  <si>
    <t>Denise Wilfong, PhD,  NRP</t>
  </si>
  <si>
    <t>Glen Mayhew, DHSc, NRP</t>
  </si>
  <si>
    <t>Gordon Kokx, PhD, NRP</t>
  </si>
  <si>
    <t>Greg Mullen, MS, NRP</t>
  </si>
  <si>
    <t>Gregg Lander, BS, NRP</t>
  </si>
  <si>
    <t>Jeff Grunow, MSN, NRP, NCEE</t>
  </si>
  <si>
    <t>Jeff McDonald, MEd, NRP</t>
  </si>
  <si>
    <t>Patricia Rand, MA, NRP</t>
  </si>
  <si>
    <t>Paul Berlin, MS, NRP</t>
  </si>
  <si>
    <t>Rick Foehr, BA, MICP</t>
  </si>
  <si>
    <t>Rod Hackwith, MSEd, NRP</t>
  </si>
  <si>
    <t>Seth Izenberg, MD, FACS</t>
  </si>
  <si>
    <t>Suzann Schmidt, BA, NRP</t>
  </si>
  <si>
    <t>Thomas Platt, EdD, NRP</t>
  </si>
  <si>
    <t>III.A.1.</t>
  </si>
  <si>
    <t>Faculty</t>
  </si>
  <si>
    <t>Curriculum</t>
  </si>
  <si>
    <t>Finances</t>
  </si>
  <si>
    <t>Ancillary student facilities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</si>
  <si>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</si>
  <si>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</si>
  <si>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</si>
  <si>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</si>
  <si>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</si>
  <si>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</si>
  <si>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</si>
  <si>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</si>
  <si>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</si>
  <si>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</si>
  <si>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</si>
  <si>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</si>
  <si>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</si>
  <si>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</si>
  <si>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</si>
  <si>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</si>
  <si>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</si>
  <si>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</si>
  <si>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</si>
  <si>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</si>
  <si>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</si>
  <si>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</si>
  <si>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</si>
  <si>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</si>
  <si>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</si>
  <si>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</si>
  <si>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</si>
  <si>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</si>
  <si>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</si>
  <si>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</si>
  <si>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</si>
  <si>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</si>
  <si>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</si>
  <si>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</si>
  <si>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</si>
  <si>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</si>
  <si>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</si>
  <si>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</si>
  <si>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</si>
  <si>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</si>
  <si>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</si>
  <si>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</si>
  <si>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</si>
  <si>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</si>
  <si>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</si>
  <si>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</si>
  <si>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</si>
  <si>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</si>
  <si>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</si>
  <si>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</si>
  <si>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</si>
  <si>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</si>
  <si>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</si>
  <si>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</si>
  <si>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</si>
  <si>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</si>
  <si>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</si>
  <si>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</si>
  <si>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</si>
  <si>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</si>
  <si>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</si>
  <si>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</si>
  <si>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</si>
  <si>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</si>
  <si>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</si>
  <si>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</si>
  <si>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</si>
  <si>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</si>
  <si>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</si>
  <si>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</si>
  <si>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</si>
  <si>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</si>
  <si>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</si>
  <si>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</si>
  <si>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</si>
  <si>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</si>
  <si>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</si>
  <si>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</si>
  <si>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</si>
  <si>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</si>
  <si>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</si>
  <si>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</si>
  <si>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</si>
  <si>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</si>
  <si>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</si>
  <si>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</si>
  <si>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</si>
  <si>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</si>
  <si>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</si>
  <si>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</si>
  <si>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</si>
  <si>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</si>
  <si>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</si>
  <si>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</si>
  <si>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Anthony Conrardy, MBA, MA, EMT-P, CIC</t>
  </si>
  <si>
    <t>Azeemuddin Ahmed, MD, MBA</t>
  </si>
  <si>
    <t>Beth Natter, RN, BSN, EMT</t>
  </si>
  <si>
    <t>Bill Drees, EdD, NRP</t>
  </si>
  <si>
    <t>Carl Voskamp, MBA, NRP, LP</t>
  </si>
  <si>
    <t>Charles Foat, PhD, NRP</t>
  </si>
  <si>
    <t>Chris Hainsworth, MS, NRP</t>
  </si>
  <si>
    <t>Chris Nollette, EdD, NRP, LP</t>
  </si>
  <si>
    <t>Craig Davis, MEd, BS, EMT-P</t>
  </si>
  <si>
    <t>David Hunt, MPA, NRP</t>
  </si>
  <si>
    <t>Diane Flint, MS, NRP, CCEMTP</t>
  </si>
  <si>
    <t>Donald Locasto, MD</t>
  </si>
  <si>
    <t>Douglas Paris, MEd, NRP</t>
  </si>
  <si>
    <t>Edward Lee, EdS, NRP, CCEMT-P</t>
  </si>
  <si>
    <t>Elliot Carhart, EdD, RRT, NRP</t>
  </si>
  <si>
    <t>Eric Bentley, MD, FACS</t>
  </si>
  <si>
    <t>Gary Bonewald, MEd, LP</t>
  </si>
  <si>
    <t>Gina Riggs, MEd, CCEMTP</t>
  </si>
  <si>
    <t>Gregory Chapman, BS, RRT, EMT-P</t>
  </si>
  <si>
    <t>James DiClemente, BS, NRP, NCEE</t>
  </si>
  <si>
    <t>James Jones, BAS, NRP</t>
  </si>
  <si>
    <t>Jon Berryman, BS, EMT-P</t>
  </si>
  <si>
    <t>Joshua Stilley, MD</t>
  </si>
  <si>
    <t>Kelli Sears, BS, NRP</t>
  </si>
  <si>
    <t>Kenneth Williams, MDiv, BS, NRP</t>
  </si>
  <si>
    <t>Leaugeay Barnes, MS, NRP, CCEMPT</t>
  </si>
  <si>
    <t>Lindi Holt, PhD, NCEE, NRP</t>
  </si>
  <si>
    <t>Lindsay Eakes, BS, NRP</t>
  </si>
  <si>
    <t>Megan Corry, EdD, NRP</t>
  </si>
  <si>
    <t>Paul Arens, MEd, NRP</t>
  </si>
  <si>
    <t>Randolph Spies, BA, NRP</t>
  </si>
  <si>
    <t>Rebecca Brock, BAAS, LP</t>
  </si>
  <si>
    <t>Rebecca Burke, BS, NRP, RN</t>
  </si>
  <si>
    <t>Robert Henderson, MS, NRP, CCEMTP</t>
  </si>
  <si>
    <t>Rodney McGinnes, MPH, BS, EMT-P</t>
  </si>
  <si>
    <t>Ronald Feller, MBA, NRP</t>
  </si>
  <si>
    <t>Sharon Hollingsworth, BS, NRP</t>
  </si>
  <si>
    <t>Steven Kolar, MBA, RN, LP</t>
  </si>
  <si>
    <t>Thomas Rothrock, RN, MSN, NRP</t>
  </si>
  <si>
    <t>William Fritz, BBA,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</si>
  <si>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</si>
  <si>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</si>
  <si>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</si>
  <si>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</si>
  <si>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</si>
  <si>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</si>
  <si>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</si>
  <si>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</si>
  <si>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</si>
  <si>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</si>
  <si>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</si>
  <si>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</si>
  <si>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</si>
  <si>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</si>
  <si>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</si>
  <si>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</si>
  <si>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</si>
  <si>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</si>
  <si>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</si>
  <si>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</si>
  <si>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</si>
  <si>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</si>
  <si>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</si>
  <si>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</si>
  <si>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</si>
  <si>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</si>
  <si>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</si>
  <si>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</si>
  <si>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</si>
  <si>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</si>
  <si>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</si>
  <si>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 xml:space="preserve">6. Lead Instructor </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</si>
  <si>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</si>
  <si>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</si>
  <si>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</si>
  <si>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</si>
  <si>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</si>
  <si>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</si>
  <si>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</si>
  <si>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</si>
  <si>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</si>
  <si>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</si>
  <si>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</si>
  <si>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</si>
  <si>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Reports substantive changes in a timely manner: 
change in sponsorship, change in location, addition of a satellite location, or addition of a distance learning program</t>
  </si>
  <si>
    <t>Formal affiliation agreements or MOUs exist between the sponsor and all other entities that participate in education of students describing relationship, role, and responsibilities of sponsor and entity</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</si>
  <si>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</si>
  <si>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 Study Report, the Site Visit Report, the Findings Letter, and the program’s response to the Findings Letter. The Commission on Accreditation of Allied Health Education Programs (CAAHEP) determines the final status of public recognition. These are our [site visitors’] impressions of the strengths and potential Standards violations of the program…”</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</si>
  <si>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</si>
  <si>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</si>
  <si>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</si>
  <si>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</si>
  <si>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</si>
  <si>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</si>
  <si>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</si>
  <si>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</si>
  <si>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</si>
  <si>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</si>
  <si>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</si>
  <si>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</si>
  <si>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</si>
  <si>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</si>
  <si>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</si>
  <si>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</si>
  <si>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</si>
  <si>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</si>
  <si>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</si>
  <si>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</si>
  <si>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</si>
  <si>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</si>
  <si>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I.A.1. Post-secondary Inst</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</si>
  <si>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</si>
  <si>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</si>
  <si>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</si>
  <si>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</si>
  <si>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</si>
  <si>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</si>
  <si>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</si>
  <si>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</si>
  <si>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</si>
  <si>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</si>
  <si>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</si>
  <si>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</si>
  <si>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</si>
  <si>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</si>
  <si>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</si>
  <si>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Walt Stoy, PhD, EMT-P</t>
  </si>
  <si>
    <t>Lance Villers, PhD, LP</t>
  </si>
  <si>
    <t>Douglas K York, NRP, PS</t>
  </si>
  <si>
    <t>Brian Hendrickson, MS, EMT-P</t>
  </si>
  <si>
    <t>Donna G Tidwell, MS, RN, EMT-P</t>
  </si>
  <si>
    <t>Frank Mineo, PhD, EMT-P</t>
  </si>
  <si>
    <t>Joseph Mistovich, MEd, NRP</t>
  </si>
  <si>
    <t>Linda V Anderson, BSN, RN</t>
  </si>
  <si>
    <t>Patricia Tritt, RN, MA</t>
  </si>
  <si>
    <t>Tammy Samarripa, MPH, EMT-P</t>
  </si>
  <si>
    <t>William Raynovich, EdD, MPH, NRP</t>
  </si>
  <si>
    <t>Charles Sowerbrower, MEd, NRP, CCP-C</t>
  </si>
  <si>
    <t>David Cauthen, PsyD, EMT-P, IC</t>
  </si>
  <si>
    <t>Jackilyn E Williams, RN, MSN</t>
  </si>
  <si>
    <t>Jason Hemler, MS, EMT-P</t>
  </si>
  <si>
    <t>Nerina J Stepanovsky, PhD, MSN, RN, EMT-P</t>
  </si>
  <si>
    <t>Scott Corcoran, MS, CIC, AEMT-P</t>
  </si>
  <si>
    <t>Vincent Parker, MSEd, EMT-P</t>
  </si>
  <si>
    <t>Checking this box constitutes an electronic signature</t>
  </si>
  <si>
    <t xml:space="preserve">          Criteria for successful completion of each 
          program segment &amp; graduation</t>
  </si>
  <si>
    <t>David Page, MS, NRP</t>
  </si>
  <si>
    <t>Ronald Lawler, BUS, NRP</t>
  </si>
  <si>
    <t>Thomas Brazelton III, MD, MPH, FAAP</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</si>
  <si>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</si>
  <si>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</si>
  <si>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</si>
  <si>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</si>
  <si>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</si>
  <si>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</si>
  <si>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Rationale for "Not Met" OR Comment if 
Consideration - OR - Clarification is Needed</t>
  </si>
  <si>
    <t>Teaching and administrative workload assignments</t>
  </si>
  <si>
    <t>Please Select</t>
  </si>
  <si>
    <t>I.A.1-Post-secondary</t>
  </si>
  <si>
    <t xml:space="preserve">                 For empty rows, highlight them, right click, and choose hide.  Do not delete any rows.  </t>
  </si>
  <si>
    <t>I.A.4-Governmental</t>
  </si>
  <si>
    <t>Inactive</t>
  </si>
  <si>
    <t>Eve Kwiatkowski, BS, NRP</t>
  </si>
  <si>
    <t>Joey Thompson, MEd, EMT-P</t>
  </si>
  <si>
    <t>Jonathan Willoughby, MEd, NRP</t>
  </si>
  <si>
    <t>Karen Barker, EdD, RN, EMT-P</t>
  </si>
  <si>
    <t>Maia Dorsett, MD, PhD</t>
  </si>
  <si>
    <t>Tracey Franklin, BA, NRP</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</si>
  <si>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</si>
  <si>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</si>
  <si>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</si>
  <si>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</si>
  <si>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</si>
  <si>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</si>
  <si>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</si>
  <si>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</si>
  <si>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</si>
  <si>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</si>
  <si>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</si>
  <si>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</si>
  <si>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</si>
  <si>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</si>
  <si>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</si>
  <si>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</si>
  <si>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</si>
  <si>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</si>
  <si>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</si>
  <si>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</si>
  <si>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</si>
  <si>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</si>
  <si>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</si>
  <si>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</si>
  <si>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</si>
  <si>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</si>
  <si>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</si>
  <si>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</si>
  <si>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</si>
  <si>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</si>
  <si>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</si>
  <si>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</si>
  <si>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</si>
  <si>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</si>
  <si>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</si>
  <si>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</si>
  <si>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</si>
  <si>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</si>
  <si>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</si>
  <si>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</si>
  <si>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Rick Ellis, MSEDM, NRP</t>
  </si>
  <si>
    <t>Ritu Sahni, MD, MPH, FACEP, FAEM</t>
  </si>
  <si>
    <t>Bill Young, EdD, NRP</t>
  </si>
  <si>
    <t>Bradley E Dean, MA, NRP</t>
  </si>
  <si>
    <t>Chris Caulkins, EdD, MPH, MA, NRP</t>
  </si>
  <si>
    <t>Christopher DeMorse, DHSc, NRP</t>
  </si>
  <si>
    <t>Christopher Metsgar, MBA, MS, NRP, CCEMTP</t>
  </si>
  <si>
    <t>Daniel Benard, MBA, EMT-P, I/C</t>
  </si>
  <si>
    <t>David Becker, MA, EMT-P, EFO</t>
  </si>
  <si>
    <t>Dennis Allin, MD, FACEP, FAAEM</t>
  </si>
  <si>
    <t>Dewey Eric Anderson, MHA, EMT-P</t>
  </si>
  <si>
    <t>Eric Allmon, MSEd, NRP, NCEE</t>
  </si>
  <si>
    <t>Gregory Frailey, DO, FACOEP</t>
  </si>
  <si>
    <t>James Dinsch, MS, NRP, CCEMTP</t>
  </si>
  <si>
    <t>Jerry Findley, MA, LP</t>
  </si>
  <si>
    <t>John Brown, MD, MPA, FACEP, FAEMS</t>
  </si>
  <si>
    <t>John C Cook, EdD, MBA, NRP</t>
  </si>
  <si>
    <t>Kim McKenna, PhD, RN, EMT-P</t>
  </si>
  <si>
    <t>Kristina Long, MPA, NRP</t>
  </si>
  <si>
    <t>Mark Branon, MA, NRP</t>
  </si>
  <si>
    <t>Mark Simpson, MSN, NRP, RN, PHIC</t>
  </si>
  <si>
    <t>Michael Miller, EdD, MS, BSEMS, RN</t>
  </si>
  <si>
    <t>Paul Blusys, MD, FACEP, FAAFP</t>
  </si>
  <si>
    <t>Steven Moyers, EdD, NRP</t>
  </si>
  <si>
    <t>Taylor Ratcliff, MD, FACEP, EMT-P, LP</t>
  </si>
  <si>
    <t>Timothy Reitz, BS, NRP, NCEE</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</si>
  <si>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</si>
  <si>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</si>
  <si>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</si>
  <si>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</si>
  <si>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</si>
  <si>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</si>
  <si>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</si>
  <si>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</si>
  <si>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</si>
  <si>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</si>
  <si>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</si>
  <si>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</si>
  <si>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</si>
  <si>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</si>
  <si>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</si>
  <si>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</si>
  <si>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</si>
  <si>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</si>
  <si>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</si>
  <si>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</si>
  <si>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</si>
  <si>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</si>
  <si>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</si>
  <si>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</si>
  <si>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</si>
  <si>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</si>
  <si>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</si>
  <si>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</si>
  <si>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</si>
  <si>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</si>
  <si>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</si>
  <si>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</si>
  <si>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</si>
  <si>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</si>
  <si>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</si>
  <si>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</si>
  <si>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</si>
  <si>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</si>
  <si>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</si>
  <si>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</si>
  <si>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</si>
  <si>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</si>
  <si>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</si>
  <si>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</si>
  <si>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</si>
  <si>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</si>
  <si>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</si>
  <si>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</si>
  <si>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</si>
  <si>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</si>
  <si>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</si>
  <si>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</si>
  <si>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</si>
  <si>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</si>
  <si>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</si>
  <si>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</si>
  <si>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</si>
  <si>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</si>
  <si>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</si>
  <si>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</si>
  <si>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</si>
  <si>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</si>
  <si>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</si>
  <si>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</si>
  <si>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</si>
  <si>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</si>
  <si>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</si>
  <si>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</si>
  <si>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</si>
  <si>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</si>
  <si>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</si>
  <si>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</si>
  <si>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</si>
  <si>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</si>
  <si>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</si>
  <si>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</si>
  <si>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</si>
  <si>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</si>
  <si>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</si>
  <si>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</si>
  <si>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</si>
  <si>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</si>
  <si>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</si>
  <si>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</si>
  <si>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</si>
  <si>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</si>
  <si>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</si>
  <si>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</si>
  <si>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</si>
  <si>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</si>
  <si>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</si>
  <si>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</si>
  <si>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</si>
  <si>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</si>
  <si>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</si>
  <si>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</si>
  <si>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</si>
  <si>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</si>
  <si>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</si>
  <si>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</si>
  <si>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</si>
  <si>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</si>
  <si>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</si>
  <si>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</si>
  <si>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</si>
  <si>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</si>
  <si>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</si>
  <si>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</si>
  <si>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</si>
  <si>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</si>
  <si>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</si>
  <si>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</si>
  <si>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</si>
  <si>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Alex Stadthagen, MS, NRP, LP</t>
  </si>
  <si>
    <t>Braiden Green, MPA, CCP, NCEE</t>
  </si>
  <si>
    <t>Clary Mole MSEM, NRP</t>
  </si>
  <si>
    <t>Corey Bryan Grayson EdD, NRP</t>
  </si>
  <si>
    <t>Daniel Media MA, RN, EMTP/IC, PEM</t>
  </si>
  <si>
    <t>Elaine Karr Remington, MS, EMTP</t>
  </si>
  <si>
    <t>Jesse Davis Med, NRP</t>
  </si>
  <si>
    <t>Karen Pickard MS, RN, LP</t>
  </si>
  <si>
    <t>Kimberly Miller, MEd, LP</t>
  </si>
  <si>
    <t>Lauren Maloney MD, NRP, FP-C, NCEE</t>
  </si>
  <si>
    <t>Louis Mallory, MBA, PMD</t>
  </si>
  <si>
    <t>Kelly Weller, EdD, RN, LP</t>
  </si>
  <si>
    <t>Manuel Ramirez, BAT, LP</t>
  </si>
  <si>
    <t>Melissa Stuive MEd, LP</t>
  </si>
  <si>
    <t>Nicole Cecchini, BS, NRP</t>
  </si>
  <si>
    <t>Phillip Merck, MBA, NRP</t>
  </si>
  <si>
    <t>Robert Fontaine, MA</t>
  </si>
  <si>
    <t>Ryan Batenhorst, MEd, NRP, EMSI</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</si>
  <si>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</si>
  <si>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</si>
  <si>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</si>
  <si>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</si>
  <si>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</si>
  <si>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</si>
  <si>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</si>
  <si>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</si>
  <si>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</si>
  <si>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</si>
  <si>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</si>
  <si>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</si>
  <si>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</si>
  <si>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</si>
  <si>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</si>
  <si>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</si>
  <si>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Based on evidence presented during the SV, 
select the sponsor type in the cell below:</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</si>
  <si>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</si>
  <si>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</si>
  <si>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</si>
  <si>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</si>
  <si>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</si>
  <si>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</si>
  <si>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</si>
  <si>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</si>
  <si>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</si>
  <si>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</si>
  <si>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</si>
  <si>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</si>
  <si>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</si>
  <si>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</si>
  <si>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r>
      <t xml:space="preserve">This is an </t>
    </r>
    <r>
      <rPr>
        <b/>
        <i/>
        <sz val="11"/>
        <rFont val="Arial"/>
        <family val="2"/>
      </rPr>
      <t>UNOFFICIAL</t>
    </r>
    <r>
      <rPr>
        <i/>
        <sz val="11"/>
        <rFont val="Arial"/>
        <family val="2"/>
      </rPr>
      <t xml:space="preserve"> copy of the report, nothing is left with the program. The program will be receive the </t>
    </r>
    <r>
      <rPr>
        <b/>
        <i/>
        <sz val="11"/>
        <rFont val="Arial"/>
        <family val="2"/>
      </rPr>
      <t>OFFICIAL</t>
    </r>
    <r>
      <rPr>
        <i/>
        <sz val="11"/>
        <rFont val="Arial"/>
        <family val="2"/>
      </rPr>
      <t xml:space="preserve"> copy of the Site Visit Report and Findings Letter.  The Findings Letter will be the official document listing the strengths, citations, and recommendations that the program must respond to for factual accuary.</t>
    </r>
  </si>
  <si>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</si>
  <si>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</si>
  <si>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</si>
  <si>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</si>
  <si>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</si>
  <si>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</si>
  <si>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</si>
  <si>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</si>
  <si>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</si>
  <si>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</si>
  <si>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</si>
  <si>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</si>
  <si>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</si>
  <si>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</si>
  <si>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Lead Instructor(s) 
Satellite Lead Instructor(s)*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</si>
  <si>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</si>
  <si>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</si>
  <si>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</si>
  <si>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</si>
  <si>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</si>
  <si>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</si>
  <si>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</si>
  <si>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</si>
  <si>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</si>
  <si>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</si>
  <si>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</si>
  <si>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</si>
  <si>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</si>
  <si>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</si>
  <si>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</si>
  <si>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</si>
  <si>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</si>
  <si>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</si>
  <si>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</si>
  <si>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</si>
  <si>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</si>
  <si>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</si>
  <si>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</si>
  <si>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</si>
  <si>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Have there been any satellite locations approved 
since the SSR was submitted or are there 
any satellite locations not CoAEMSP approved?</t>
  </si>
  <si>
    <t>Number of CoAEMSP Approved Same State Locations 
(according to the Executive Analysis [EA])</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</si>
  <si>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</si>
  <si>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</si>
  <si>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</si>
  <si>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r>
      <t xml:space="preserve">Strengths, Potential </t>
    </r>
    <r>
      <rPr>
        <b/>
        <i/>
        <sz val="14"/>
        <color theme="0"/>
        <rFont val="Arial"/>
        <family val="2"/>
      </rPr>
      <t>Standards</t>
    </r>
    <r>
      <rPr>
        <b/>
        <sz val="14"/>
        <color theme="0"/>
        <rFont val="Arial"/>
        <family val="2"/>
      </rPr>
      <t xml:space="preserve"> Violation &amp; Recommendations</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</si>
  <si>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</si>
  <si>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</si>
  <si>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</si>
  <si>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</si>
  <si>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</si>
  <si>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</si>
  <si>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Site Visitors:
The CoAEMSP Site Visit Team does not leave a copy of the SV Report with the program and under no circumtances is the report to be emailed to the program.</t>
  </si>
  <si>
    <r>
      <t xml:space="preserve">List all strenghts and potential </t>
    </r>
    <r>
      <rPr>
        <i/>
        <sz val="11"/>
        <color rgb="FF000000"/>
        <rFont val="Arial"/>
        <family val="2"/>
      </rPr>
      <t>Standards</t>
    </r>
    <r>
      <rPr>
        <sz val="11"/>
        <color rgb="FF000000"/>
        <rFont val="Arial"/>
        <family val="2"/>
      </rPr>
      <t xml:space="preserve"> violations.  Potential </t>
    </r>
    <r>
      <rPr>
        <i/>
        <sz val="11"/>
        <color rgb="FF000000"/>
        <rFont val="Arial"/>
        <family val="2"/>
      </rPr>
      <t>Standards</t>
    </r>
    <r>
      <rPr>
        <sz val="11"/>
        <color rgb="FF000000"/>
        <rFont val="Arial"/>
        <family val="2"/>
      </rPr>
      <t xml:space="preserve"> violations include any areas listed as "Not Met".  All potential </t>
    </r>
    <r>
      <rPr>
        <i/>
        <sz val="11"/>
        <color rgb="FF000000"/>
        <rFont val="Arial"/>
        <family val="2"/>
      </rPr>
      <t>Standards</t>
    </r>
    <r>
      <rPr>
        <sz val="11"/>
        <color rgb="FF000000"/>
        <rFont val="Arial"/>
        <family val="2"/>
      </rPr>
      <t xml:space="preserve"> violations must be identified by the appropriate </t>
    </r>
    <r>
      <rPr>
        <i/>
        <sz val="11"/>
        <color rgb="FF000000"/>
        <rFont val="Arial"/>
        <family val="2"/>
      </rPr>
      <t>Standard</t>
    </r>
    <r>
      <rPr>
        <sz val="11"/>
        <color rgb="FF000000"/>
        <rFont val="Arial"/>
        <family val="2"/>
      </rPr>
      <t xml:space="preserve">.  Include all potential </t>
    </r>
    <r>
      <rPr>
        <i/>
        <sz val="11"/>
        <color rgb="FF000000"/>
        <rFont val="Arial"/>
        <family val="2"/>
      </rPr>
      <t>Standards</t>
    </r>
    <r>
      <rPr>
        <sz val="11"/>
        <color rgb="FF000000"/>
        <rFont val="Arial"/>
        <family val="2"/>
      </rPr>
      <t xml:space="preserve"> violations identified in the body of the report.  The Summary of Findings tab is the only documentation that will be left with the program at the Exit Summation. </t>
    </r>
  </si>
  <si>
    <t>List the STRENGTHS of the Program</t>
  </si>
  <si>
    <r>
      <rPr>
        <b/>
        <i/>
        <sz val="12"/>
        <color rgb="FF000000"/>
        <rFont val="Arial"/>
        <family val="2"/>
      </rPr>
      <t>Standard</t>
    </r>
    <r>
      <rPr>
        <b/>
        <sz val="12"/>
        <color rgb="FF000000"/>
        <rFont val="Arial"/>
        <family val="2"/>
      </rPr>
      <t xml:space="preserve"> Reference</t>
    </r>
  </si>
  <si>
    <t>Type of Site Visit:</t>
  </si>
  <si>
    <t>Are students currently enrolled:</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</si>
  <si>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</si>
  <si>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</si>
  <si>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</si>
  <si>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</si>
  <si>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</si>
  <si>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</si>
  <si>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4"/>
        <color theme="8"/>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</si>
  <si>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</si>
  <si>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</si>
  <si>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</si>
  <si>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</si>
  <si>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</si>
  <si>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</si>
  <si>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</si>
  <si>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</si>
  <si>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</si>
  <si>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</si>
  <si>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</si>
  <si>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</si>
  <si>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</si>
  <si>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</si>
  <si>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</si>
  <si>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Standard I.B.1 Resposibilities of Program Sponsor</t>
  </si>
  <si>
    <t>Standard I.B.2 Resposibilities of Program Sponsor</t>
  </si>
  <si>
    <t>Standard I.B.3 Resposibilities of Program Sponsor</t>
  </si>
  <si>
    <t>A. Program Goals and Minimum Expectations</t>
  </si>
  <si>
    <t>Program Level:</t>
  </si>
  <si>
    <t>B. Program Advisory Committee</t>
  </si>
  <si>
    <t>Standard II.B. Program Advisory Committee</t>
  </si>
  <si>
    <t>Standard III.A.1. Resources - Type and Amount</t>
  </si>
  <si>
    <t>Faculty and staff workspace</t>
  </si>
  <si>
    <t>Support for faculty professional development</t>
  </si>
  <si>
    <t>Instructional materials</t>
  </si>
  <si>
    <t>Information technology</t>
  </si>
  <si>
    <t>Supplies</t>
  </si>
  <si>
    <t>Equipment</t>
  </si>
  <si>
    <t>Field experience and capstone field internship affiliates</t>
  </si>
  <si>
    <t>Clinical affiliates</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</si>
  <si>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</si>
  <si>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</si>
  <si>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</si>
  <si>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</si>
  <si>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</si>
  <si>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</si>
  <si>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</si>
  <si>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</si>
  <si>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</si>
  <si>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</si>
  <si>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</si>
  <si>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</si>
  <si>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</si>
  <si>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</si>
  <si>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</si>
  <si>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</si>
  <si>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</si>
  <si>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Policies regarding perfoming clinical work
          while enrolled in the program</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</si>
  <si>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</si>
  <si>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</si>
  <si>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</si>
  <si>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</si>
  <si>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</si>
  <si>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</si>
  <si>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</si>
  <si>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</si>
  <si>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</si>
  <si>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</si>
  <si>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</si>
  <si>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</si>
  <si>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</si>
  <si>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Number of CoAEMSP Approved Out-of-State Locations
(according to the Executive Analysis [EA])</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</si>
  <si>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</si>
  <si>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</si>
  <si>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</si>
  <si>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</si>
  <si>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</si>
  <si>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</si>
  <si>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</si>
  <si>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</si>
  <si>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</si>
  <si>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</si>
  <si>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</si>
  <si>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</si>
  <si>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</si>
  <si>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</si>
  <si>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</si>
  <si>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</si>
  <si>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</si>
  <si>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</si>
  <si>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</si>
  <si>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</si>
  <si>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</si>
  <si>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</si>
  <si>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</si>
  <si>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</si>
  <si>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</si>
  <si>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</si>
  <si>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</si>
  <si>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</si>
  <si>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</si>
  <si>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</si>
  <si>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</si>
  <si>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</si>
  <si>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</si>
  <si>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</si>
  <si>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r>
      <t xml:space="preserve">1. Review Site Visit Report prior to submitting to the CoAEMSP
2. Confirm that the rationale identifies how the program is in not compliance with the </t>
    </r>
    <r>
      <rPr>
        <i/>
        <sz val="11"/>
        <rFont val="Arial"/>
        <family val="2"/>
      </rPr>
      <t>Standard</t>
    </r>
    <r>
      <rPr>
        <sz val="11"/>
        <rFont val="Arial"/>
        <family val="2"/>
      </rPr>
      <t>.</t>
    </r>
  </si>
  <si>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</si>
  <si>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</si>
  <si>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</si>
  <si>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</si>
  <si>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</si>
  <si>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</si>
  <si>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</si>
  <si>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</si>
  <si>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</si>
  <si>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</si>
  <si>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</si>
  <si>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</si>
  <si>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</si>
  <si>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</si>
  <si>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</si>
  <si>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</si>
  <si>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</si>
  <si>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</si>
  <si>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</si>
  <si>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</si>
  <si>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</si>
  <si>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 xml:space="preserve">Row heights should auto adjust; however if they do not, the row height can be manually adjusted by 'pulling' the row down.   For empty rows, highlight them, right click, and choose hide.  Do not delete any rows because they cannot be reinserted. </t>
  </si>
  <si>
    <t>RECOMMENDATIONS that may not reflect Standards violations, but the program is encouraged to consider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</si>
  <si>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</si>
  <si>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</si>
  <si>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</si>
  <si>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</si>
  <si>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</si>
  <si>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</si>
  <si>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</si>
  <si>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</si>
  <si>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</si>
  <si>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Evidence of State EMS Office approval</t>
  </si>
  <si>
    <t>Standard III.A.1. Resources - Type and Amount
[same state satellite location(s)]</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</si>
  <si>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</si>
  <si>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</si>
  <si>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</si>
  <si>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</si>
  <si>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</si>
  <si>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</si>
  <si>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</si>
  <si>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</si>
  <si>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</si>
  <si>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</si>
  <si>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</si>
  <si>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</si>
  <si>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</si>
  <si>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</si>
  <si>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</si>
  <si>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</si>
  <si>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</si>
  <si>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</si>
  <si>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</si>
  <si>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</si>
  <si>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</si>
  <si>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</si>
  <si>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</si>
  <si>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</si>
  <si>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</si>
  <si>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</si>
  <si>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</si>
  <si>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</si>
  <si>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</si>
  <si>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</si>
  <si>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</si>
  <si>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</si>
  <si>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</si>
  <si>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</si>
  <si>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</si>
  <si>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</si>
  <si>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</si>
  <si>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</si>
  <si>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</si>
  <si>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</si>
  <si>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</si>
  <si>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POTENTIAL STANDARDS VIOLATIONS</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</si>
  <si>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</si>
  <si>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</si>
  <si>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</si>
  <si>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</si>
  <si>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</si>
  <si>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</si>
  <si>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</si>
  <si>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</si>
  <si>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</si>
  <si>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</si>
  <si>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</si>
  <si>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</si>
  <si>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</si>
  <si>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</si>
  <si>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</si>
  <si>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</si>
  <si>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</si>
  <si>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</si>
  <si>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</si>
  <si>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</si>
  <si>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 xml:space="preserve">         Does the program utilize the Associate MD position 
         or is there an Associate MD not currently CoAEMSP 
         approved and on file?</t>
  </si>
  <si>
    <t xml:space="preserve">         Does the program utilize the Assistant MD position 
         or is there an Assistant MD not currently CoAEMSP 
         approved and on file?</t>
  </si>
  <si>
    <t xml:space="preserve">         Does the program utilize the Lead Instructor position
         or is there an Associate MD not currently CoAEMSP 
         approved and on file?</t>
  </si>
  <si>
    <t>Documented preparedness plan</t>
  </si>
  <si>
    <t>Documented evidence of a pathway for credit or an articulation agreement</t>
  </si>
  <si>
    <t>DNE</t>
  </si>
  <si>
    <t>Met</t>
  </si>
  <si>
    <t>Not Met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</si>
</sst>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3">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b/>
      <sz val="10"/>
      <color theme="1"/>
      <name val="Arial"/>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i/>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b/>
      <sz val="24"/>
      <color theme="8"/>
      <name val="Arial"/>
      <family val="2"/>
    </font>
    <font>
      <b/>
      <i/>
      <sz val="24"/>
      <color theme="8"/>
      <name val="Arial"/>
      <family val="2"/>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i/>
      <sz val="11"/>
      <color rgb="FF000000"/>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sz val="11"/>
      <color rgb="FFFF0000"/>
      <name val="Arial"/>
      <family val="2"/>
    </font>
    <font>
      <sz val="11"/>
      <color rgb="FFFF0000"/>
      <name val="Arial (Body)"/>
    </font>
    <font>
      <sz val="14"/>
      <color rgb="FFFF0000"/>
      <name val="Arial"/>
      <family val="2"/>
      <scheme val="minor"/>
    </font>
    <font>
      <b/>
      <sz val="12"/>
      <name val="Arial"/>
      <family val="2"/>
    </font>
  </fonts>
  <fills count="30">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854">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5"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4" fillId="0" borderId="0" xfId="0" applyFont="1"/>
    <xf numFmtId="0" fontId="27"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6" fillId="0" borderId="0" xfId="0" applyFont="1" applyAlignment="1">
      <alignment horizontal="center"/>
    </xf>
    <xf numFmtId="14" fontId="0" fillId="8" borderId="1" xfId="0" applyNumberFormat="1" applyFill="1" applyBorder="1" applyProtection="1">
      <protection locked="0"/>
    </xf>
    <xf numFmtId="0" fontId="29" fillId="0" borderId="0" xfId="0" applyFont="1" applyAlignment="1">
      <alignment horizontal="center"/>
    </xf>
    <xf numFmtId="0" fontId="0" fillId="8" borderId="1" xfId="0" applyFill="1" applyBorder="1" applyProtection="1">
      <protection locked="0"/>
    </xf>
    <xf numFmtId="0" fontId="26"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2" fillId="0" borderId="0" xfId="0" applyFont="1"/>
    <xf numFmtId="0" fontId="0" fillId="0" borderId="7" xfId="0" applyBorder="1"/>
    <xf numFmtId="0" fontId="27" fillId="0" borderId="0" xfId="0" applyFont="1" applyAlignment="1">
      <alignment horizontal="right"/>
    </xf>
    <xf numFmtId="0" fontId="22" fillId="0" borderId="0" xfId="0" applyFont="1"/>
    <xf numFmtId="14" fontId="30"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3" fillId="0" borderId="0" xfId="0" applyFont="1"/>
    <xf numFmtId="0" fontId="34" fillId="0" borderId="0" xfId="0" applyFont="1"/>
    <xf numFmtId="0" fontId="35" fillId="0" borderId="0" xfId="0" applyFont="1"/>
    <xf numFmtId="0" fontId="0" fillId="0" borderId="4" xfId="0" applyBorder="1" applyAlignment="1">
      <alignment horizontal="left" vertical="top"/>
    </xf>
    <xf numFmtId="0" fontId="31"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9" fillId="3" borderId="14" xfId="0" applyFont="1" applyFill="1" applyBorder="1" applyAlignment="1">
      <alignment vertical="center"/>
    </xf>
    <xf numFmtId="0" fontId="19" fillId="3" borderId="12" xfId="0" applyFont="1" applyFill="1" applyBorder="1" applyAlignment="1">
      <alignment vertical="center"/>
    </xf>
    <xf numFmtId="0" fontId="19" fillId="3" borderId="16" xfId="0" applyFont="1" applyFill="1" applyBorder="1" applyAlignment="1">
      <alignment vertical="center"/>
    </xf>
    <xf numFmtId="0" fontId="21"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4" fillId="0" borderId="0" xfId="0" applyFont="1" applyProtection="1">
      <protection locked="0"/>
    </xf>
    <xf numFmtId="0" fontId="38" fillId="0" borderId="0" xfId="0" applyFont="1"/>
    <xf numFmtId="0" fontId="26" fillId="0" borderId="0" xfId="0" applyFont="1" applyAlignment="1">
      <alignment horizontal="left" vertical="center"/>
    </xf>
    <xf numFmtId="0" fontId="26" fillId="0" borderId="0" xfId="0" applyFont="1" applyAlignment="1">
      <alignment vertical="center"/>
    </xf>
    <xf numFmtId="0" fontId="26" fillId="0" borderId="0" xfId="0" applyFont="1" applyProtection="1">
      <protection locked="0"/>
    </xf>
    <xf numFmtId="0" fontId="0" fillId="0" borderId="15" xfId="0" applyBorder="1" applyAlignment="1">
      <alignment horizontal="right" vertical="center"/>
    </xf>
    <xf numFmtId="0" fontId="26" fillId="0" borderId="0" xfId="0" applyFont="1" applyAlignment="1">
      <alignment horizontal="center" vertical="center"/>
    </xf>
    <xf numFmtId="0" fontId="21"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9" fillId="0" borderId="0" xfId="0" applyFont="1" applyAlignment="1">
      <alignment horizontal="center" vertical="center"/>
    </xf>
    <xf numFmtId="0" fontId="39" fillId="0" borderId="0" xfId="0" applyFont="1" applyAlignment="1" applyProtection="1">
      <alignment horizontal="center" vertical="center"/>
      <protection locked="0"/>
    </xf>
    <xf numFmtId="0" fontId="6" fillId="0" borderId="0" xfId="0" applyFont="1" applyAlignment="1">
      <alignment vertical="center" wrapText="1"/>
    </xf>
    <xf numFmtId="1" fontId="22" fillId="0" borderId="0" xfId="0" applyNumberFormat="1" applyFont="1"/>
    <xf numFmtId="0" fontId="26" fillId="6" borderId="0" xfId="0" applyFont="1" applyFill="1"/>
    <xf numFmtId="1" fontId="22" fillId="0" borderId="0" xfId="0" applyNumberFormat="1" applyFont="1" applyProtection="1">
      <protection locked="0"/>
    </xf>
    <xf numFmtId="0" fontId="39" fillId="0" borderId="0" xfId="0" applyFont="1"/>
    <xf numFmtId="0" fontId="27"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6" fillId="0" borderId="0" xfId="0" applyFont="1" applyAlignment="1">
      <alignment wrapText="1"/>
    </xf>
    <xf numFmtId="0" fontId="44" fillId="0" borderId="0" xfId="0" applyFont="1" applyAlignment="1" applyProtection="1">
      <alignment horizontal="center"/>
      <protection locked="0"/>
    </xf>
    <xf numFmtId="0" fontId="2" fillId="6" borderId="2" xfId="0" applyFont="1" applyFill="1" applyBorder="1" applyAlignment="1">
      <alignment horizontal="left" vertical="center"/>
    </xf>
    <xf numFmtId="0" fontId="32" fillId="0" borderId="0" xfId="0" applyFont="1" applyAlignment="1">
      <alignment horizontal="right"/>
    </xf>
    <xf numFmtId="0" fontId="27" fillId="6" borderId="0" xfId="0" applyFont="1" applyFill="1" applyAlignment="1">
      <alignment vertical="center" wrapText="1"/>
    </xf>
    <xf numFmtId="0" fontId="41"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3" fillId="0" borderId="2" xfId="0" applyFont="1" applyBorder="1" applyAlignment="1">
      <alignment horizontal="left" vertical="center"/>
    </xf>
    <xf numFmtId="0" fontId="24" fillId="6" borderId="2" xfId="0" applyFont="1" applyFill="1" applyBorder="1" applyAlignment="1">
      <alignment vertical="center"/>
    </xf>
    <xf numFmtId="0" fontId="23" fillId="6" borderId="2" xfId="0" applyFont="1" applyFill="1" applyBorder="1" applyAlignment="1">
      <alignment vertical="center"/>
    </xf>
    <xf numFmtId="0" fontId="23"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3" fillId="13" borderId="1" xfId="0" applyFont="1" applyFill="1" applyBorder="1" applyAlignment="1" applyProtection="1">
      <alignment horizontal="center" vertical="center" wrapText="1"/>
      <protection locked="0"/>
    </xf>
    <xf numFmtId="0" fontId="44" fillId="13" borderId="1" xfId="0" applyFont="1" applyFill="1" applyBorder="1" applyAlignment="1" applyProtection="1">
      <alignment horizontal="center" vertical="center" wrapText="1"/>
      <protection locked="0"/>
    </xf>
    <xf numFmtId="0" fontId="42" fillId="2" borderId="1" xfId="0" applyFont="1" applyFill="1" applyBorder="1" applyAlignment="1" applyProtection="1">
      <alignment horizontal="center" vertical="center" wrapText="1"/>
      <protection locked="0"/>
    </xf>
    <xf numFmtId="0" fontId="26" fillId="6" borderId="0" xfId="0" applyFont="1" applyFill="1" applyAlignment="1">
      <alignment horizontal="center" vertical="center"/>
    </xf>
    <xf numFmtId="0" fontId="48" fillId="0" borderId="0" xfId="0" applyFont="1" applyAlignment="1">
      <alignment wrapText="1"/>
    </xf>
    <xf numFmtId="0" fontId="49" fillId="0" borderId="0" xfId="0" applyFont="1" applyAlignment="1">
      <alignment wrapText="1"/>
    </xf>
    <xf numFmtId="0" fontId="49" fillId="0" borderId="0" xfId="0" applyFont="1" applyAlignment="1" applyProtection="1">
      <alignment horizontal="center" vertical="center"/>
      <protection locked="0"/>
    </xf>
    <xf numFmtId="0" fontId="49" fillId="0" borderId="0" xfId="0" applyFont="1"/>
    <xf numFmtId="0" fontId="26" fillId="0" borderId="0" xfId="0" applyFont="1" applyAlignment="1" applyProtection="1">
      <alignment wrapText="1"/>
      <protection locked="0"/>
    </xf>
    <xf numFmtId="0" fontId="28"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9" fillId="0" borderId="0" xfId="0" applyFont="1" applyProtection="1">
      <protection locked="0"/>
    </xf>
    <xf numFmtId="1" fontId="4" fillId="0" borderId="0" xfId="0" applyNumberFormat="1" applyFont="1" applyProtection="1">
      <protection locked="0"/>
    </xf>
    <xf numFmtId="0" fontId="26" fillId="0" borderId="0" xfId="0" applyFont="1" applyAlignment="1" applyProtection="1">
      <alignment horizontal="center"/>
      <protection locked="0"/>
    </xf>
    <xf numFmtId="0" fontId="49" fillId="6" borderId="0" xfId="0" applyFont="1" applyFill="1" applyAlignment="1">
      <alignment vertical="center"/>
    </xf>
    <xf numFmtId="0" fontId="49" fillId="6" borderId="0" xfId="0" applyFont="1" applyFill="1" applyAlignment="1">
      <alignment vertical="center" wrapText="1"/>
    </xf>
    <xf numFmtId="1" fontId="4" fillId="0" borderId="0" xfId="0" applyNumberFormat="1" applyFont="1"/>
    <xf numFmtId="0" fontId="49" fillId="0" borderId="0" xfId="0" applyFont="1" applyAlignment="1">
      <alignment vertical="center"/>
    </xf>
    <xf numFmtId="0" fontId="49" fillId="0" borderId="0" xfId="0" applyFont="1" applyAlignment="1">
      <alignment vertical="center" wrapText="1"/>
    </xf>
    <xf numFmtId="0" fontId="49" fillId="0" borderId="0" xfId="0" applyFont="1" applyAlignment="1">
      <alignment horizontal="center" vertical="center" wrapText="1"/>
    </xf>
    <xf numFmtId="0" fontId="49" fillId="0" borderId="0" xfId="0" applyFont="1" applyAlignment="1">
      <alignment horizontal="center" vertical="center"/>
    </xf>
    <xf numFmtId="0" fontId="49" fillId="0" borderId="0" xfId="0" applyFont="1" applyAlignment="1" applyProtection="1">
      <alignment wrapText="1"/>
      <protection locked="0"/>
    </xf>
    <xf numFmtId="1" fontId="49" fillId="0" borderId="0" xfId="0" applyNumberFormat="1" applyFont="1" applyAlignment="1">
      <alignment wrapText="1"/>
    </xf>
    <xf numFmtId="0" fontId="49" fillId="0" borderId="0" xfId="0" applyFont="1" applyAlignment="1" applyProtection="1">
      <alignment horizontal="center" wrapText="1"/>
      <protection locked="0"/>
    </xf>
    <xf numFmtId="0" fontId="49" fillId="0" borderId="0" xfId="0" applyFont="1" applyAlignment="1" applyProtection="1">
      <alignment horizontal="center"/>
      <protection locked="0"/>
    </xf>
    <xf numFmtId="0" fontId="49" fillId="0" borderId="0" xfId="0" applyFont="1" applyAlignment="1">
      <alignment horizontal="center"/>
    </xf>
    <xf numFmtId="0" fontId="22" fillId="0" borderId="0" xfId="0" applyFont="1" applyAlignment="1">
      <alignment horizontal="center" vertical="center"/>
    </xf>
    <xf numFmtId="0" fontId="49" fillId="6" borderId="0" xfId="0" applyFont="1" applyFill="1" applyAlignment="1">
      <alignment horizontal="center" wrapText="1"/>
    </xf>
    <xf numFmtId="0" fontId="49" fillId="0" borderId="0" xfId="0" applyFont="1" applyAlignment="1">
      <alignment horizontal="center" wrapText="1"/>
    </xf>
    <xf numFmtId="0" fontId="43"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7" fillId="0" borderId="0" xfId="0" applyFont="1" applyAlignment="1">
      <alignment horizontal="right" vertical="center" wrapText="1"/>
    </xf>
    <xf numFmtId="0" fontId="32" fillId="0" borderId="0" xfId="0" applyFont="1" applyAlignment="1">
      <alignment horizontal="center" vertical="center"/>
    </xf>
    <xf numFmtId="0" fontId="24"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4" fillId="0" borderId="4" xfId="0" applyFont="1" applyBorder="1" applyAlignment="1">
      <alignment horizontal="right" vertical="center"/>
    </xf>
    <xf numFmtId="0" fontId="0" fillId="0" borderId="2" xfId="0" applyBorder="1" applyAlignment="1">
      <alignment horizontal="left" vertical="center"/>
    </xf>
    <xf numFmtId="0" fontId="53" fillId="0" borderId="0" xfId="0" applyFont="1" applyAlignment="1">
      <alignment wrapText="1"/>
    </xf>
    <xf numFmtId="0" fontId="45" fillId="17" borderId="1" xfId="0" applyFont="1" applyFill="1" applyBorder="1" applyAlignment="1">
      <alignment horizontal="center" vertical="center" wrapText="1"/>
    </xf>
    <xf numFmtId="0" fontId="2" fillId="18" borderId="2" xfId="0" applyFont="1" applyFill="1" applyBorder="1"/>
    <xf numFmtId="0" fontId="31" fillId="18" borderId="3" xfId="0" applyFont="1" applyFill="1" applyBorder="1" applyAlignment="1">
      <alignment horizontal="right"/>
    </xf>
    <xf numFmtId="0" fontId="31" fillId="18" borderId="3" xfId="0" applyFont="1" applyFill="1" applyBorder="1"/>
    <xf numFmtId="0" fontId="31"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7"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4" fillId="0" borderId="0" xfId="0" applyFont="1"/>
    <xf numFmtId="0" fontId="66" fillId="0" borderId="0" xfId="0" applyFont="1"/>
    <xf numFmtId="0" fontId="64" fillId="6" borderId="3" xfId="0" applyFont="1" applyFill="1" applyBorder="1" applyAlignment="1" applyProtection="1">
      <alignment horizontal="center" vertical="center"/>
      <protection locked="0"/>
    </xf>
    <xf numFmtId="0" fontId="64" fillId="6" borderId="3" xfId="0" applyFont="1" applyFill="1" applyBorder="1" applyAlignment="1" applyProtection="1">
      <alignment horizontal="center" vertical="center" wrapText="1"/>
      <protection locked="0"/>
    </xf>
    <xf numFmtId="0" fontId="71" fillId="0" borderId="0" xfId="0" applyFont="1" applyAlignment="1" applyProtection="1">
      <alignment horizontal="center" vertical="center"/>
      <protection locked="0"/>
    </xf>
    <xf numFmtId="0" fontId="64" fillId="0" borderId="0" xfId="0" applyFont="1" applyAlignment="1">
      <alignment vertical="center"/>
    </xf>
    <xf numFmtId="0" fontId="67" fillId="0" borderId="0" xfId="0" applyFont="1"/>
    <xf numFmtId="0" fontId="67" fillId="0" borderId="0" xfId="0" applyFont="1" applyAlignment="1">
      <alignment horizontal="center" vertical="center"/>
    </xf>
    <xf numFmtId="0" fontId="64" fillId="0" borderId="0" xfId="0" applyFont="1" applyAlignment="1">
      <alignment horizontal="right"/>
    </xf>
    <xf numFmtId="0" fontId="67" fillId="6" borderId="0" xfId="0" applyFont="1" applyFill="1"/>
    <xf numFmtId="0" fontId="64" fillId="0" borderId="0" xfId="0" applyFont="1" applyAlignment="1">
      <alignment horizontal="center"/>
    </xf>
    <xf numFmtId="0" fontId="71" fillId="0" borderId="0" xfId="0" applyFont="1" applyAlignment="1">
      <alignment vertical="center"/>
    </xf>
    <xf numFmtId="0" fontId="72" fillId="6" borderId="0" xfId="0" applyFont="1" applyFill="1" applyAlignment="1">
      <alignment vertical="center" wrapText="1"/>
    </xf>
    <xf numFmtId="0" fontId="65" fillId="0" borderId="0" xfId="0" applyFont="1" applyAlignment="1">
      <alignment horizontal="center" vertical="center"/>
    </xf>
    <xf numFmtId="0" fontId="73" fillId="0" borderId="0" xfId="0" applyFont="1" applyAlignment="1" applyProtection="1">
      <alignment horizontal="center" vertical="center" wrapText="1"/>
      <protection locked="0"/>
    </xf>
    <xf numFmtId="1" fontId="73" fillId="0" borderId="0" xfId="0" applyNumberFormat="1" applyFont="1" applyAlignment="1" applyProtection="1">
      <alignment horizontal="center" vertical="center" wrapText="1"/>
      <protection locked="0"/>
    </xf>
    <xf numFmtId="0" fontId="73" fillId="0" borderId="0" xfId="0" applyFont="1" applyAlignment="1" applyProtection="1">
      <alignment horizontal="center" vertical="center"/>
      <protection locked="0"/>
    </xf>
    <xf numFmtId="0" fontId="74" fillId="0" borderId="0" xfId="0" applyFont="1" applyAlignment="1" applyProtection="1">
      <alignment horizontal="left" vertical="top" wrapText="1"/>
      <protection locked="0"/>
    </xf>
    <xf numFmtId="0" fontId="74" fillId="0" borderId="0" xfId="0" applyFont="1" applyAlignment="1" applyProtection="1">
      <alignment vertical="top" wrapText="1"/>
      <protection locked="0"/>
    </xf>
    <xf numFmtId="0" fontId="71" fillId="0" borderId="0" xfId="0" applyFont="1"/>
    <xf numFmtId="0" fontId="62" fillId="0" borderId="0" xfId="0" applyFont="1" applyAlignment="1">
      <alignment horizontal="center" vertical="center" wrapText="1"/>
    </xf>
    <xf numFmtId="0" fontId="0" fillId="5" borderId="0" xfId="0" applyFill="1"/>
    <xf numFmtId="0" fontId="83" fillId="24" borderId="8" xfId="0" applyFont="1" applyFill="1" applyBorder="1" applyAlignment="1">
      <alignment horizontal="left"/>
    </xf>
    <xf numFmtId="0" fontId="83" fillId="24" borderId="0" xfId="0" applyFont="1" applyFill="1"/>
    <xf numFmtId="0" fontId="83" fillId="24" borderId="0" xfId="0" applyFont="1" applyFill="1" applyAlignment="1">
      <alignment horizontal="center" vertical="center"/>
    </xf>
    <xf numFmtId="0" fontId="83" fillId="24" borderId="7" xfId="0" applyFont="1" applyFill="1" applyBorder="1"/>
    <xf numFmtId="0" fontId="84" fillId="5" borderId="5" xfId="0" applyFont="1" applyFill="1" applyBorder="1" applyAlignment="1">
      <alignment vertical="center"/>
    </xf>
    <xf numFmtId="0" fontId="84" fillId="5" borderId="6" xfId="1" applyFont="1" applyFill="1" applyBorder="1" applyAlignment="1" applyProtection="1">
      <alignment horizontal="center" vertical="center" wrapText="1"/>
      <protection locked="0"/>
    </xf>
    <xf numFmtId="0" fontId="63" fillId="25" borderId="8" xfId="0" applyFont="1" applyFill="1" applyBorder="1" applyAlignment="1">
      <alignment horizontal="center" vertical="center" wrapText="1"/>
    </xf>
    <xf numFmtId="0" fontId="63" fillId="25" borderId="0" xfId="0" applyFont="1" applyFill="1" applyAlignment="1">
      <alignment horizontal="center" vertical="center" wrapText="1"/>
    </xf>
    <xf numFmtId="0" fontId="0" fillId="3" borderId="10"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64" fillId="3" borderId="12"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pplyProtection="1">
      <alignment horizontal="left" vertical="center" wrapText="1"/>
      <protection locked="0"/>
    </xf>
    <xf numFmtId="0" fontId="87" fillId="26" borderId="10" xfId="0" applyFont="1" applyFill="1" applyBorder="1" applyAlignment="1">
      <alignment horizontal="left" vertical="center" wrapText="1"/>
    </xf>
    <xf numFmtId="0" fontId="87"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87" fillId="26" borderId="13" xfId="0" applyFont="1" applyFill="1" applyBorder="1" applyAlignment="1" applyProtection="1">
      <alignment horizontal="left" vertical="center" wrapText="1"/>
      <protection locked="0"/>
    </xf>
    <xf numFmtId="0" fontId="87" fillId="26" borderId="11" xfId="0" applyFont="1" applyFill="1" applyBorder="1" applyAlignment="1">
      <alignment horizontal="left" vertical="center" wrapText="1"/>
    </xf>
    <xf numFmtId="0" fontId="87" fillId="26" borderId="2" xfId="0" applyFont="1" applyFill="1" applyBorder="1" applyAlignment="1">
      <alignment horizontal="left" vertical="center" wrapText="1"/>
    </xf>
    <xf numFmtId="0" fontId="87" fillId="26" borderId="1" xfId="0" applyFont="1" applyFill="1" applyBorder="1" applyAlignment="1">
      <alignment vertical="center" wrapText="1"/>
    </xf>
    <xf numFmtId="0" fontId="87" fillId="26" borderId="1" xfId="0" applyFont="1" applyFill="1" applyBorder="1" applyAlignment="1">
      <alignment horizontal="left" vertical="center"/>
    </xf>
    <xf numFmtId="0" fontId="87" fillId="26" borderId="10" xfId="0" applyFont="1" applyFill="1" applyBorder="1" applyAlignment="1" applyProtection="1">
      <alignment horizontal="center" vertical="center"/>
      <protection locked="0"/>
    </xf>
    <xf numFmtId="0" fontId="87" fillId="26" borderId="10" xfId="0" applyFont="1" applyFill="1" applyBorder="1" applyAlignment="1">
      <alignment horizontal="left" vertical="center"/>
    </xf>
    <xf numFmtId="0" fontId="87" fillId="26" borderId="2" xfId="0" applyFont="1" applyFill="1" applyBorder="1" applyAlignment="1" applyProtection="1">
      <alignment horizontal="left" vertical="center" wrapText="1"/>
      <protection locked="0"/>
    </xf>
    <xf numFmtId="0" fontId="89" fillId="26" borderId="1" xfId="0" applyFont="1" applyFill="1" applyBorder="1" applyAlignment="1" applyProtection="1">
      <alignment horizontal="center" vertical="center"/>
      <protection locked="0"/>
    </xf>
    <xf numFmtId="0" fontId="89" fillId="26" borderId="1" xfId="0" applyFont="1" applyFill="1" applyBorder="1" applyAlignment="1">
      <alignment horizontal="left" vertical="center" wrapText="1"/>
    </xf>
    <xf numFmtId="0" fontId="89" fillId="26" borderId="1" xfId="0" applyFont="1" applyFill="1" applyBorder="1" applyAlignment="1">
      <alignment vertical="center" wrapText="1"/>
    </xf>
    <xf numFmtId="0" fontId="87" fillId="26" borderId="11" xfId="0" applyFont="1" applyFill="1" applyBorder="1" applyAlignment="1" applyProtection="1">
      <alignment horizontal="center" vertical="center"/>
      <protection locked="0"/>
    </xf>
    <xf numFmtId="0" fontId="87" fillId="26" borderId="11" xfId="0" applyFont="1" applyFill="1" applyBorder="1" applyAlignment="1">
      <alignment vertical="center" wrapText="1"/>
    </xf>
    <xf numFmtId="0" fontId="87" fillId="26" borderId="10" xfId="0" applyFont="1" applyFill="1" applyBorder="1" applyAlignment="1">
      <alignment vertical="center" wrapText="1"/>
    </xf>
    <xf numFmtId="0" fontId="87" fillId="26" borderId="10" xfId="0" applyFont="1" applyFill="1" applyBorder="1" applyAlignment="1" applyProtection="1">
      <alignment vertical="center"/>
      <protection locked="0"/>
    </xf>
    <xf numFmtId="0" fontId="87" fillId="26" borderId="1" xfId="0" applyFont="1" applyFill="1" applyBorder="1" applyAlignment="1" applyProtection="1">
      <alignment vertical="center"/>
      <protection locked="0"/>
    </xf>
    <xf numFmtId="0" fontId="87" fillId="26" borderId="11" xfId="0" applyFont="1" applyFill="1" applyBorder="1" applyAlignment="1" applyProtection="1">
      <alignment vertical="center"/>
      <protection locked="0"/>
    </xf>
    <xf numFmtId="0" fontId="87" fillId="26" borderId="4" xfId="0" applyFont="1" applyFill="1" applyBorder="1" applyAlignment="1" applyProtection="1">
      <alignment horizontal="center" vertical="center"/>
      <protection locked="0"/>
    </xf>
    <xf numFmtId="0" fontId="87" fillId="26" borderId="13" xfId="0" applyFont="1" applyFill="1" applyBorder="1" applyAlignment="1" applyProtection="1">
      <alignment vertical="center"/>
      <protection locked="0"/>
    </xf>
    <xf numFmtId="0" fontId="87" fillId="26" borderId="5" xfId="0" applyFont="1" applyFill="1" applyBorder="1" applyAlignment="1" applyProtection="1">
      <alignment horizontal="center" vertical="center"/>
      <protection locked="0"/>
    </xf>
    <xf numFmtId="0" fontId="87" fillId="26" borderId="15" xfId="0" applyFont="1" applyFill="1" applyBorder="1" applyAlignment="1">
      <alignment horizontal="left" vertical="center" wrapText="1"/>
    </xf>
    <xf numFmtId="0" fontId="67" fillId="3" borderId="1" xfId="0" applyFont="1" applyFill="1" applyBorder="1" applyAlignment="1" applyProtection="1">
      <alignment horizontal="center" vertical="center" wrapText="1"/>
      <protection locked="0"/>
    </xf>
    <xf numFmtId="0" fontId="93" fillId="0" borderId="1" xfId="0" applyFont="1" applyBorder="1" applyAlignment="1">
      <alignment horizontal="center" vertical="center" wrapText="1"/>
    </xf>
    <xf numFmtId="0" fontId="94" fillId="0" borderId="13" xfId="0" applyFont="1" applyBorder="1" applyAlignment="1">
      <alignment horizontal="center" vertical="center"/>
    </xf>
    <xf numFmtId="0" fontId="89" fillId="26" borderId="13" xfId="0" applyFont="1" applyFill="1" applyBorder="1" applyAlignment="1">
      <alignment horizontal="left" vertical="center" wrapText="1"/>
    </xf>
    <xf numFmtId="0" fontId="96" fillId="0" borderId="2" xfId="0" applyFont="1" applyBorder="1" applyAlignment="1">
      <alignment horizontal="center" vertical="center"/>
    </xf>
    <xf numFmtId="0" fontId="97" fillId="3" borderId="4" xfId="0" applyFont="1" applyFill="1" applyBorder="1" applyAlignment="1" applyProtection="1">
      <alignment horizontal="center" vertical="center"/>
      <protection locked="0"/>
    </xf>
    <xf numFmtId="0" fontId="97" fillId="26" borderId="1" xfId="0" applyFont="1" applyFill="1" applyBorder="1" applyAlignment="1" applyProtection="1">
      <alignment horizontal="center" vertical="center"/>
      <protection locked="0"/>
    </xf>
    <xf numFmtId="0" fontId="97" fillId="26" borderId="1" xfId="0" applyFont="1" applyFill="1" applyBorder="1" applyAlignment="1" applyProtection="1">
      <alignment horizontal="left" vertical="center" wrapText="1"/>
      <protection locked="0"/>
    </xf>
    <xf numFmtId="0" fontId="97" fillId="0" borderId="0" xfId="0" applyFont="1"/>
    <xf numFmtId="0" fontId="98" fillId="0" borderId="0" xfId="0" applyFont="1"/>
    <xf numFmtId="0" fontId="94" fillId="0" borderId="2" xfId="0" applyFont="1" applyBorder="1" applyAlignment="1">
      <alignment horizontal="center" vertical="center"/>
    </xf>
    <xf numFmtId="0" fontId="89" fillId="3" borderId="16" xfId="0" applyFont="1" applyFill="1" applyBorder="1" applyAlignment="1" applyProtection="1">
      <alignment horizontal="center" vertical="center"/>
      <protection locked="0"/>
    </xf>
    <xf numFmtId="0" fontId="89" fillId="26" borderId="10" xfId="0" applyFont="1" applyFill="1" applyBorder="1" applyAlignment="1">
      <alignment horizontal="left" vertical="center" wrapText="1"/>
    </xf>
    <xf numFmtId="0" fontId="89" fillId="0" borderId="0" xfId="0" applyFont="1"/>
    <xf numFmtId="0" fontId="88" fillId="0" borderId="5"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88" fillId="0" borderId="10" xfId="0" applyFont="1" applyBorder="1" applyAlignment="1">
      <alignment horizontal="center" vertical="center"/>
    </xf>
    <xf numFmtId="0" fontId="87" fillId="3" borderId="10" xfId="0" applyFont="1" applyFill="1" applyBorder="1" applyAlignment="1" applyProtection="1">
      <alignment horizontal="center" vertical="center"/>
      <protection locked="0"/>
    </xf>
    <xf numFmtId="0" fontId="88" fillId="0" borderId="14"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3" borderId="1" xfId="0" applyFont="1" applyFill="1" applyBorder="1" applyAlignment="1">
      <alignment horizontal="center" vertical="center"/>
    </xf>
    <xf numFmtId="0" fontId="88" fillId="0" borderId="8" xfId="0" applyFont="1" applyBorder="1" applyAlignment="1">
      <alignment horizontal="center" vertical="center"/>
    </xf>
    <xf numFmtId="0" fontId="87" fillId="3" borderId="4" xfId="0" applyFont="1" applyFill="1" applyBorder="1" applyAlignment="1" applyProtection="1">
      <alignment horizontal="center" vertical="center"/>
      <protection locked="0"/>
    </xf>
    <xf numFmtId="0" fontId="87" fillId="3" borderId="15" xfId="0" applyFont="1" applyFill="1" applyBorder="1" applyAlignment="1" applyProtection="1">
      <alignment horizontal="center" vertical="center"/>
      <protection locked="0"/>
    </xf>
    <xf numFmtId="0" fontId="87" fillId="3" borderId="14" xfId="0" applyFont="1" applyFill="1" applyBorder="1" applyAlignment="1" applyProtection="1">
      <alignment horizontal="center" vertical="center"/>
      <protection locked="0"/>
    </xf>
    <xf numFmtId="0" fontId="88" fillId="0" borderId="2" xfId="0" applyFont="1" applyBorder="1" applyAlignment="1">
      <alignment horizontal="center" vertical="center"/>
    </xf>
    <xf numFmtId="0" fontId="88" fillId="3" borderId="1" xfId="0" applyFont="1" applyFill="1" applyBorder="1" applyAlignment="1" applyProtection="1">
      <alignment horizontal="center" vertical="center" wrapText="1"/>
      <protection locked="0"/>
    </xf>
    <xf numFmtId="0" fontId="67" fillId="3" borderId="6" xfId="0" applyFont="1" applyFill="1" applyBorder="1" applyAlignment="1">
      <alignment vertical="center" wrapText="1"/>
    </xf>
    <xf numFmtId="0" fontId="67" fillId="3" borderId="15" xfId="0" applyFont="1" applyFill="1" applyBorder="1" applyAlignment="1">
      <alignment vertical="center" wrapText="1"/>
    </xf>
    <xf numFmtId="0" fontId="87" fillId="26" borderId="5" xfId="0" applyFont="1" applyFill="1" applyBorder="1" applyAlignment="1" applyProtection="1">
      <alignment horizontal="left" vertical="center" wrapText="1"/>
      <protection locked="0"/>
    </xf>
    <xf numFmtId="0" fontId="87" fillId="26" borderId="11" xfId="0" applyFont="1" applyFill="1" applyBorder="1" applyAlignment="1" applyProtection="1">
      <alignment horizontal="left" vertical="center" wrapText="1"/>
      <protection locked="0"/>
    </xf>
    <xf numFmtId="0" fontId="87" fillId="3" borderId="1" xfId="0" applyFont="1" applyFill="1" applyBorder="1" applyAlignment="1" applyProtection="1">
      <alignment horizontal="center" vertical="center" wrapText="1"/>
      <protection locked="0"/>
    </xf>
    <xf numFmtId="0" fontId="96" fillId="0" borderId="0" xfId="0" applyFont="1" applyAlignment="1">
      <alignment vertical="center" wrapText="1"/>
    </xf>
    <xf numFmtId="0" fontId="103" fillId="0" borderId="0" xfId="0" applyFont="1" applyAlignment="1">
      <alignment horizontal="right" vertical="center" wrapText="1"/>
    </xf>
    <xf numFmtId="0" fontId="96" fillId="0" borderId="0" xfId="0" applyFont="1" applyAlignment="1" applyProtection="1">
      <alignment horizontal="center" vertical="center" wrapText="1"/>
      <protection locked="0"/>
    </xf>
    <xf numFmtId="0" fontId="100" fillId="0" borderId="1" xfId="0" applyFont="1" applyBorder="1" applyAlignment="1" applyProtection="1">
      <alignment horizontal="center" vertical="center" wrapText="1"/>
      <protection locked="0"/>
    </xf>
    <xf numFmtId="0" fontId="87" fillId="0" borderId="4" xfId="0" applyFont="1" applyBorder="1" applyAlignment="1" applyProtection="1">
      <alignment horizontal="left" vertical="center" wrapText="1"/>
      <protection locked="0"/>
    </xf>
    <xf numFmtId="0" fontId="87" fillId="0" borderId="16" xfId="0" applyFont="1" applyBorder="1" applyAlignment="1" applyProtection="1">
      <alignment horizontal="left" vertical="center" wrapText="1"/>
      <protection locked="0"/>
    </xf>
    <xf numFmtId="0" fontId="96" fillId="6" borderId="0" xfId="0" applyFont="1" applyFill="1"/>
    <xf numFmtId="0" fontId="103" fillId="3" borderId="1" xfId="0" applyFont="1" applyFill="1" applyBorder="1" applyAlignment="1" applyProtection="1">
      <alignment horizontal="left" vertical="center"/>
      <protection locked="0"/>
    </xf>
    <xf numFmtId="0" fontId="96" fillId="6" borderId="8" xfId="0" applyFont="1" applyFill="1" applyBorder="1" applyAlignment="1">
      <alignment vertical="center" wrapText="1"/>
    </xf>
    <xf numFmtId="0" fontId="108" fillId="6" borderId="0" xfId="0" applyFont="1" applyFill="1"/>
    <xf numFmtId="0" fontId="96" fillId="3" borderId="1" xfId="1" applyFont="1" applyFill="1" applyBorder="1" applyAlignment="1" applyProtection="1">
      <alignment horizontal="left" vertical="center"/>
      <protection locked="0"/>
    </xf>
    <xf numFmtId="14" fontId="103" fillId="6" borderId="0" xfId="0" applyNumberFormat="1" applyFont="1" applyFill="1" applyAlignment="1" applyProtection="1">
      <alignment horizontal="center" vertical="center"/>
      <protection locked="0"/>
    </xf>
    <xf numFmtId="0" fontId="103" fillId="6" borderId="0" xfId="0" applyFont="1" applyFill="1" applyAlignment="1" applyProtection="1">
      <alignment horizontal="center" vertical="center"/>
      <protection locked="0"/>
    </xf>
    <xf numFmtId="0" fontId="96" fillId="6" borderId="1" xfId="0" applyFont="1" applyFill="1" applyBorder="1" applyAlignment="1">
      <alignment horizontal="center" vertical="center"/>
    </xf>
    <xf numFmtId="0" fontId="103" fillId="6" borderId="0" xfId="0" applyFont="1" applyFill="1" applyAlignment="1">
      <alignment horizontal="center" wrapText="1"/>
    </xf>
    <xf numFmtId="0" fontId="103" fillId="6" borderId="0" xfId="0" applyFont="1" applyFill="1" applyAlignment="1">
      <alignment horizontal="center"/>
    </xf>
    <xf numFmtId="0" fontId="97" fillId="6" borderId="0" xfId="0" applyFont="1" applyFill="1"/>
    <xf numFmtId="0" fontId="97" fillId="26" borderId="1" xfId="0" applyFont="1" applyFill="1" applyBorder="1" applyAlignment="1">
      <alignment horizontal="center" vertical="center" wrapText="1"/>
    </xf>
    <xf numFmtId="165" fontId="103" fillId="3" borderId="4" xfId="0" applyNumberFormat="1" applyFont="1" applyFill="1" applyBorder="1" applyAlignment="1" applyProtection="1">
      <alignment horizontal="left" vertical="center"/>
      <protection locked="0"/>
    </xf>
    <xf numFmtId="0" fontId="88" fillId="22" borderId="0" xfId="0" applyFont="1" applyFill="1" applyAlignment="1">
      <alignment horizontal="center" vertical="center"/>
    </xf>
    <xf numFmtId="0" fontId="97" fillId="0" borderId="0" xfId="0" quotePrefix="1" applyFont="1"/>
    <xf numFmtId="0" fontId="108" fillId="3" borderId="1" xfId="0" applyFont="1" applyFill="1" applyBorder="1" applyAlignment="1" applyProtection="1">
      <alignment horizontal="center" vertical="center"/>
      <protection locked="0"/>
    </xf>
    <xf numFmtId="0" fontId="115" fillId="0" borderId="0" xfId="1" applyFont="1" applyProtection="1"/>
    <xf numFmtId="0" fontId="107" fillId="0" borderId="0" xfId="0" applyFont="1"/>
    <xf numFmtId="0" fontId="97" fillId="0" borderId="0" xfId="0" applyFont="1" applyAlignment="1">
      <alignment horizontal="left" vertical="center"/>
    </xf>
    <xf numFmtId="0" fontId="96" fillId="3" borderId="1" xfId="0" applyFont="1" applyFill="1" applyBorder="1" applyAlignment="1" applyProtection="1">
      <alignment horizontal="left" vertical="center"/>
      <protection locked="0"/>
    </xf>
    <xf numFmtId="0" fontId="97" fillId="0" borderId="0" xfId="0" applyFont="1" applyAlignment="1">
      <alignment horizontal="left"/>
    </xf>
    <xf numFmtId="0" fontId="114" fillId="0" borderId="0" xfId="0" applyFont="1" applyAlignment="1">
      <alignment horizontal="right" vertical="center" wrapText="1" indent="1"/>
    </xf>
    <xf numFmtId="0" fontId="97" fillId="0" borderId="0" xfId="0" applyFont="1" applyAlignment="1">
      <alignment horizontal="right" indent="1"/>
    </xf>
    <xf numFmtId="0" fontId="116" fillId="0" borderId="0" xfId="0" applyFont="1" applyAlignment="1">
      <alignment horizontal="left" vertical="center"/>
    </xf>
    <xf numFmtId="0" fontId="9" fillId="3" borderId="1" xfId="0" applyFont="1" applyFill="1" applyBorder="1" applyAlignment="1">
      <alignment horizontal="left" vertical="center" wrapText="1" indent="1"/>
    </xf>
    <xf numFmtId="0" fontId="89" fillId="2" borderId="1" xfId="0" applyFont="1" applyFill="1" applyBorder="1" applyAlignment="1">
      <alignment horizontal="center" vertical="center"/>
    </xf>
    <xf numFmtId="0" fontId="90"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1" fillId="0" borderId="0" xfId="0" applyFont="1" applyAlignment="1">
      <alignment vertical="center"/>
    </xf>
    <xf numFmtId="0" fontId="94" fillId="0" borderId="1" xfId="0" applyFont="1" applyBorder="1" applyAlignment="1">
      <alignment horizontal="center" vertical="center"/>
    </xf>
    <xf numFmtId="0" fontId="89" fillId="3" borderId="1" xfId="0" applyFont="1" applyFill="1" applyBorder="1" applyAlignment="1" applyProtection="1">
      <alignment horizontal="center" vertical="center"/>
      <protection locked="0"/>
    </xf>
    <xf numFmtId="0" fontId="64" fillId="0" borderId="0" xfId="0" quotePrefix="1" applyFont="1"/>
    <xf numFmtId="0" fontId="71" fillId="2" borderId="1" xfId="0" quotePrefix="1" applyFont="1" applyFill="1" applyBorder="1" applyAlignment="1">
      <alignment horizontal="center" vertical="center"/>
    </xf>
    <xf numFmtId="0" fontId="97" fillId="0" borderId="0" xfId="0" applyFont="1" applyAlignment="1" applyProtection="1">
      <alignment horizontal="center" vertical="center" wrapText="1"/>
      <protection locked="0"/>
    </xf>
    <xf numFmtId="0" fontId="71"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7" fillId="26" borderId="13" xfId="0" applyFont="1" applyFill="1" applyBorder="1" applyAlignment="1" applyProtection="1">
      <alignment horizontal="center" vertical="center"/>
      <protection locked="0"/>
    </xf>
    <xf numFmtId="0" fontId="21" fillId="0" borderId="0" xfId="0" applyFont="1" applyProtection="1">
      <protection locked="0"/>
    </xf>
    <xf numFmtId="0" fontId="119" fillId="0" borderId="0" xfId="0" applyFont="1"/>
    <xf numFmtId="0" fontId="120" fillId="0" borderId="0" xfId="0" applyFont="1"/>
    <xf numFmtId="0" fontId="121" fillId="0" borderId="0" xfId="0" applyFont="1"/>
    <xf numFmtId="0" fontId="21" fillId="0" borderId="0" xfId="0" applyFont="1" applyAlignment="1">
      <alignment horizontal="left" vertical="center"/>
    </xf>
    <xf numFmtId="0" fontId="53" fillId="0" borderId="0" xfId="0" applyFont="1" applyAlignment="1">
      <alignment horizontal="center"/>
    </xf>
    <xf numFmtId="0" fontId="21" fillId="0" borderId="0" xfId="0" quotePrefix="1" applyFont="1"/>
    <xf numFmtId="0" fontId="34" fillId="0" borderId="0" xfId="0" applyFont="1" applyAlignment="1">
      <alignment horizontal="right" vertical="center" wrapText="1"/>
    </xf>
    <xf numFmtId="0" fontId="100" fillId="0" borderId="11" xfId="0" applyFont="1" applyBorder="1" applyAlignment="1">
      <alignment horizontal="center" vertical="center"/>
    </xf>
    <xf numFmtId="0" fontId="87" fillId="3" borderId="0" xfId="0" applyFont="1" applyFill="1" applyAlignment="1" applyProtection="1">
      <alignment horizontal="center" vertical="center"/>
      <protection locked="0"/>
    </xf>
    <xf numFmtId="0" fontId="87" fillId="26" borderId="12" xfId="0" applyFont="1" applyFill="1" applyBorder="1" applyAlignment="1">
      <alignment horizontal="left" vertical="center" wrapText="1"/>
    </xf>
    <xf numFmtId="0" fontId="64" fillId="3" borderId="0" xfId="0" applyFont="1" applyFill="1" applyAlignment="1" applyProtection="1">
      <alignment horizontal="center" vertical="center"/>
      <protection locked="0"/>
    </xf>
    <xf numFmtId="0" fontId="87" fillId="26" borderId="0" xfId="0" applyFont="1" applyFill="1" applyAlignment="1" applyProtection="1">
      <alignment horizontal="center" vertical="center"/>
      <protection locked="0"/>
    </xf>
    <xf numFmtId="0" fontId="87" fillId="26" borderId="0" xfId="0" applyFont="1" applyFill="1" applyAlignment="1">
      <alignment horizontal="left" vertical="center" wrapText="1"/>
    </xf>
    <xf numFmtId="0" fontId="26" fillId="0" borderId="0" xfId="0" applyFont="1" applyAlignment="1">
      <alignment horizontal="left" vertical="center" wrapText="1"/>
    </xf>
    <xf numFmtId="0" fontId="88" fillId="26" borderId="1" xfId="0" applyFont="1" applyFill="1" applyBorder="1" applyAlignment="1" applyProtection="1">
      <alignment horizontal="center" vertical="center" wrapText="1"/>
      <protection locked="0"/>
    </xf>
    <xf numFmtId="0" fontId="67" fillId="26" borderId="6" xfId="0" applyFont="1" applyFill="1" applyBorder="1" applyAlignment="1">
      <alignment vertical="center" wrapText="1"/>
    </xf>
    <xf numFmtId="0" fontId="67" fillId="26" borderId="15" xfId="0" applyFont="1" applyFill="1" applyBorder="1" applyAlignment="1">
      <alignment vertical="center" wrapText="1"/>
    </xf>
    <xf numFmtId="0" fontId="87" fillId="26" borderId="5" xfId="0" applyFont="1" applyFill="1" applyBorder="1" applyAlignment="1">
      <alignment horizontal="left" vertical="center" wrapText="1"/>
    </xf>
    <xf numFmtId="0" fontId="87" fillId="26" borderId="3" xfId="0" applyFont="1" applyFill="1" applyBorder="1" applyAlignment="1">
      <alignment horizontal="left" vertical="center" wrapText="1"/>
    </xf>
    <xf numFmtId="0" fontId="67" fillId="6" borderId="6" xfId="0" applyFont="1" applyFill="1" applyBorder="1" applyAlignment="1">
      <alignment vertical="center" wrapText="1"/>
    </xf>
    <xf numFmtId="0" fontId="67" fillId="26" borderId="1" xfId="0" applyFont="1" applyFill="1" applyBorder="1" applyAlignment="1" applyProtection="1">
      <alignment horizontal="center" vertical="center" wrapText="1"/>
      <protection locked="0"/>
    </xf>
    <xf numFmtId="0" fontId="67" fillId="3" borderId="10" xfId="0" applyFont="1" applyFill="1" applyBorder="1" applyAlignment="1" applyProtection="1">
      <alignment horizontal="center" vertical="center" wrapText="1"/>
      <protection locked="0"/>
    </xf>
    <xf numFmtId="0" fontId="67" fillId="26" borderId="10" xfId="0" applyFont="1" applyFill="1" applyBorder="1" applyAlignment="1" applyProtection="1">
      <alignment horizontal="center" vertical="center" wrapText="1"/>
      <protection locked="0"/>
    </xf>
    <xf numFmtId="0" fontId="67" fillId="26" borderId="0" xfId="0" applyFont="1" applyFill="1" applyAlignment="1">
      <alignment vertical="center" wrapText="1"/>
    </xf>
    <xf numFmtId="0" fontId="67" fillId="26" borderId="7" xfId="0" applyFont="1" applyFill="1" applyBorder="1" applyAlignment="1">
      <alignment vertical="center" wrapText="1"/>
    </xf>
    <xf numFmtId="0" fontId="88" fillId="0" borderId="0" xfId="0" applyFont="1" applyAlignment="1">
      <alignment horizontal="center" vertical="center"/>
    </xf>
    <xf numFmtId="0" fontId="87" fillId="26" borderId="15" xfId="0" applyFont="1" applyFill="1" applyBorder="1" applyAlignment="1" applyProtection="1">
      <alignment horizontal="center" vertical="center"/>
      <protection locked="0"/>
    </xf>
    <xf numFmtId="0" fontId="23" fillId="0" borderId="1" xfId="0" applyFont="1" applyBorder="1" applyAlignment="1">
      <alignment horizontal="center" vertical="center"/>
    </xf>
    <xf numFmtId="0" fontId="23" fillId="0" borderId="14" xfId="0" applyFont="1" applyBorder="1" applyAlignment="1">
      <alignment horizontal="center" vertical="center"/>
    </xf>
    <xf numFmtId="0" fontId="69" fillId="0" borderId="14" xfId="0" applyFont="1" applyBorder="1" applyAlignment="1">
      <alignment horizontal="center" vertical="center"/>
    </xf>
    <xf numFmtId="0" fontId="122" fillId="6" borderId="6" xfId="0" applyFont="1" applyFill="1" applyBorder="1" applyAlignment="1">
      <alignment horizontal="right" vertical="center" wrapText="1"/>
    </xf>
    <xf numFmtId="0" fontId="67" fillId="26" borderId="3" xfId="0" applyFont="1" applyFill="1" applyBorder="1" applyAlignment="1">
      <alignment vertical="center" wrapText="1"/>
    </xf>
    <xf numFmtId="0" fontId="67" fillId="26" borderId="4" xfId="0" applyFont="1" applyFill="1" applyBorder="1" applyAlignment="1">
      <alignment vertical="center" wrapText="1"/>
    </xf>
    <xf numFmtId="0" fontId="69" fillId="0" borderId="0" xfId="0" applyFont="1" applyAlignment="1">
      <alignment horizontal="center" vertical="center"/>
    </xf>
    <xf numFmtId="0" fontId="88" fillId="0" borderId="1" xfId="0" applyFont="1" applyBorder="1" applyAlignment="1">
      <alignment horizontal="center" vertical="center"/>
    </xf>
    <xf numFmtId="0" fontId="23" fillId="0" borderId="2" xfId="0" applyFont="1" applyBorder="1" applyAlignment="1">
      <alignment horizontal="left" vertical="center" wrapText="1"/>
    </xf>
    <xf numFmtId="0" fontId="23" fillId="0" borderId="4" xfId="0" applyFont="1" applyBorder="1" applyAlignment="1">
      <alignment horizontal="left" vertical="center" wrapText="1"/>
    </xf>
    <xf numFmtId="0" fontId="24" fillId="0" borderId="2" xfId="0" applyFont="1" applyBorder="1" applyAlignment="1">
      <alignment horizontal="left"/>
    </xf>
    <xf numFmtId="0" fontId="24" fillId="0" borderId="4" xfId="0" applyFont="1" applyBorder="1" applyAlignment="1">
      <alignment horizontal="left"/>
    </xf>
    <xf numFmtId="14" fontId="27" fillId="14" borderId="2" xfId="0" applyNumberFormat="1" applyFont="1" applyFill="1" applyBorder="1" applyAlignment="1">
      <alignment horizontal="justify" vertical="center" wrapText="1"/>
    </xf>
    <xf numFmtId="14" fontId="27" fillId="14" borderId="3" xfId="0" applyNumberFormat="1" applyFont="1" applyFill="1" applyBorder="1" applyAlignment="1">
      <alignment horizontal="justify" vertical="center" wrapText="1"/>
    </xf>
    <xf numFmtId="14" fontId="27" fillId="14" borderId="4" xfId="0" applyNumberFormat="1" applyFont="1" applyFill="1" applyBorder="1" applyAlignment="1">
      <alignment horizontal="justify" vertical="center" wrapText="1"/>
    </xf>
    <xf numFmtId="0" fontId="0" fillId="4" borderId="1" xfId="0" applyFill="1" applyBorder="1"/>
    <xf numFmtId="0" fontId="0" fillId="4" borderId="11" xfId="0" applyFill="1" applyBorder="1"/>
    <xf numFmtId="0" fontId="27" fillId="19" borderId="2" xfId="0" applyFont="1" applyFill="1" applyBorder="1" applyAlignment="1" applyProtection="1">
      <alignment horizontal="left" vertical="center"/>
      <protection locked="0"/>
    </xf>
    <xf numFmtId="0" fontId="27" fillId="19" borderId="3" xfId="0" applyFont="1" applyFill="1" applyBorder="1" applyAlignment="1" applyProtection="1">
      <alignment horizontal="left" vertical="center"/>
      <protection locked="0"/>
    </xf>
    <xf numFmtId="0" fontId="27" fillId="19" borderId="4" xfId="0" applyFont="1" applyFill="1" applyBorder="1" applyAlignment="1" applyProtection="1">
      <alignment horizontal="left" vertical="center"/>
      <protection locked="0"/>
    </xf>
    <xf numFmtId="0" fontId="43" fillId="13" borderId="2" xfId="0" applyFont="1" applyFill="1" applyBorder="1" applyAlignment="1" applyProtection="1">
      <alignment horizontal="left" vertical="center" wrapText="1"/>
      <protection locked="0"/>
    </xf>
    <xf numFmtId="0" fontId="43" fillId="13" borderId="4" xfId="0" applyFont="1" applyFill="1" applyBorder="1" applyAlignment="1" applyProtection="1">
      <alignment horizontal="left" vertical="center" wrapText="1"/>
      <protection locked="0"/>
    </xf>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6" fillId="0" borderId="0" xfId="0" applyFont="1" applyAlignment="1" applyProtection="1">
      <alignment wrapText="1"/>
      <protection locked="0"/>
    </xf>
    <xf numFmtId="0" fontId="0" fillId="0" borderId="0" xfId="0" applyAlignment="1" applyProtection="1">
      <alignment wrapText="1"/>
      <protection locked="0"/>
    </xf>
    <xf numFmtId="0" fontId="23"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41" fillId="0" borderId="0" xfId="0" applyFont="1"/>
    <xf numFmtId="0" fontId="41" fillId="0" borderId="0" xfId="0" applyFont="1" applyAlignment="1">
      <alignment vertical="center"/>
    </xf>
    <xf numFmtId="0" fontId="23" fillId="18" borderId="2" xfId="0" applyFont="1" applyFill="1" applyBorder="1" applyAlignment="1">
      <alignment vertical="top"/>
    </xf>
    <xf numFmtId="0" fontId="23" fillId="18" borderId="3" xfId="0" applyFont="1" applyFill="1" applyBorder="1" applyAlignment="1">
      <alignment vertical="top"/>
    </xf>
    <xf numFmtId="0" fontId="23" fillId="18" borderId="4" xfId="0" applyFont="1" applyFill="1" applyBorder="1" applyAlignment="1">
      <alignment vertical="top"/>
    </xf>
    <xf numFmtId="0" fontId="24" fillId="0" borderId="2" xfId="0" applyFont="1" applyBorder="1" applyAlignment="1">
      <alignment horizontal="left" vertical="center"/>
    </xf>
    <xf numFmtId="0" fontId="24" fillId="0" borderId="4" xfId="0" applyFont="1" applyBorder="1" applyAlignment="1">
      <alignment horizontal="left" vertical="center"/>
    </xf>
    <xf numFmtId="0" fontId="23" fillId="18" borderId="5" xfId="0" applyFont="1" applyFill="1" applyBorder="1"/>
    <xf numFmtId="0" fontId="23" fillId="18" borderId="6" xfId="0" applyFont="1" applyFill="1" applyBorder="1"/>
    <xf numFmtId="0" fontId="23" fillId="18" borderId="15" xfId="0" applyFont="1" applyFill="1" applyBorder="1"/>
    <xf numFmtId="0" fontId="23" fillId="0" borderId="2" xfId="0" applyFont="1" applyBorder="1" applyAlignment="1">
      <alignment horizontal="left" wrapText="1"/>
    </xf>
    <xf numFmtId="0" fontId="23"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6" fillId="0" borderId="0" xfId="0" applyFont="1" applyProtection="1">
      <protection locked="0"/>
    </xf>
    <xf numFmtId="0" fontId="20" fillId="0" borderId="12" xfId="0" applyFont="1" applyBorder="1" applyAlignment="1">
      <alignment vertical="center" wrapText="1"/>
    </xf>
    <xf numFmtId="0" fontId="20" fillId="0" borderId="0" xfId="0" applyFont="1" applyAlignment="1">
      <alignment vertical="center" wrapText="1"/>
    </xf>
    <xf numFmtId="0" fontId="50" fillId="0" borderId="0" xfId="0" applyFont="1" applyAlignment="1">
      <alignment vertical="center" wrapText="1"/>
    </xf>
    <xf numFmtId="0" fontId="23" fillId="17" borderId="2" xfId="0" applyFont="1" applyFill="1" applyBorder="1" applyAlignment="1">
      <alignment vertical="center"/>
    </xf>
    <xf numFmtId="0" fontId="23" fillId="17" borderId="4" xfId="0" applyFont="1" applyFill="1" applyBorder="1" applyAlignment="1">
      <alignment vertical="center"/>
    </xf>
    <xf numFmtId="0" fontId="45" fillId="17" borderId="2" xfId="0" applyFont="1" applyFill="1" applyBorder="1" applyAlignment="1">
      <alignment horizontal="center" vertical="center" wrapText="1"/>
    </xf>
    <xf numFmtId="0" fontId="45" fillId="17" borderId="4" xfId="0" applyFont="1" applyFill="1" applyBorder="1" applyAlignment="1">
      <alignment horizontal="center" vertical="center" wrapText="1"/>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7" fillId="0" borderId="0" xfId="0" applyFont="1" applyAlignment="1">
      <alignment horizontal="center" wrapText="1"/>
    </xf>
    <xf numFmtId="0" fontId="37"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7" fillId="2" borderId="1" xfId="0" applyFont="1" applyFill="1" applyBorder="1" applyAlignment="1" applyProtection="1">
      <alignment horizontal="left" vertical="center" wrapText="1"/>
      <protection locked="0"/>
    </xf>
    <xf numFmtId="0" fontId="114" fillId="0" borderId="0" xfId="0" applyFont="1" applyAlignment="1">
      <alignment horizontal="right" vertical="center" indent="1"/>
    </xf>
    <xf numFmtId="0" fontId="114" fillId="0" borderId="7" xfId="0" applyFont="1" applyBorder="1" applyAlignment="1">
      <alignment horizontal="right" vertical="center" indent="1"/>
    </xf>
    <xf numFmtId="0" fontId="114" fillId="0" borderId="0" xfId="0" applyFont="1" applyAlignment="1">
      <alignment horizontal="center" vertical="center"/>
    </xf>
    <xf numFmtId="0" fontId="114" fillId="0" borderId="7" xfId="0" applyFont="1" applyBorder="1" applyAlignment="1">
      <alignment horizontal="center" vertical="center"/>
    </xf>
    <xf numFmtId="0" fontId="108" fillId="3" borderId="2" xfId="0" applyFont="1" applyFill="1" applyBorder="1" applyAlignment="1" applyProtection="1">
      <alignment horizontal="left" vertical="center"/>
      <protection locked="0"/>
    </xf>
    <xf numFmtId="0" fontId="108" fillId="3" borderId="3" xfId="0" applyFont="1" applyFill="1" applyBorder="1" applyAlignment="1" applyProtection="1">
      <alignment horizontal="left" vertical="center"/>
      <protection locked="0"/>
    </xf>
    <xf numFmtId="0" fontId="108" fillId="3" borderId="4" xfId="0" applyFont="1" applyFill="1" applyBorder="1" applyAlignment="1" applyProtection="1">
      <alignment horizontal="left" vertical="center"/>
      <protection locked="0"/>
    </xf>
    <xf numFmtId="0" fontId="78" fillId="25" borderId="0" xfId="0" applyFont="1" applyFill="1" applyAlignment="1">
      <alignment horizontal="center" vertical="center" wrapText="1"/>
    </xf>
    <xf numFmtId="0" fontId="77" fillId="24" borderId="0" xfId="0" applyFont="1" applyFill="1" applyAlignment="1">
      <alignment horizontal="center" vertical="center"/>
    </xf>
    <xf numFmtId="0" fontId="11" fillId="24" borderId="0" xfId="0" applyFont="1" applyFill="1" applyAlignment="1">
      <alignment horizontal="center" vertical="center"/>
    </xf>
    <xf numFmtId="0" fontId="96" fillId="0" borderId="8" xfId="0" applyFont="1" applyBorder="1" applyAlignment="1">
      <alignment horizontal="right" vertical="center" indent="1"/>
    </xf>
    <xf numFmtId="0" fontId="96" fillId="0" borderId="7" xfId="0" applyFont="1" applyBorder="1" applyAlignment="1">
      <alignment horizontal="right" vertical="center" indent="1"/>
    </xf>
    <xf numFmtId="0" fontId="108" fillId="3" borderId="2" xfId="0" applyFont="1" applyFill="1" applyBorder="1" applyAlignment="1" applyProtection="1">
      <alignment horizontal="center" vertical="center"/>
      <protection locked="0"/>
    </xf>
    <xf numFmtId="0" fontId="108" fillId="3" borderId="3" xfId="0" applyFont="1" applyFill="1" applyBorder="1" applyAlignment="1" applyProtection="1">
      <alignment horizontal="center" vertical="center"/>
      <protection locked="0"/>
    </xf>
    <xf numFmtId="0" fontId="108" fillId="3" borderId="4" xfId="0" applyFont="1" applyFill="1" applyBorder="1" applyAlignment="1" applyProtection="1">
      <alignment horizontal="center" vertical="center"/>
      <protection locked="0"/>
    </xf>
    <xf numFmtId="0" fontId="55" fillId="0" borderId="0" xfId="0" applyFont="1" applyAlignment="1">
      <alignment horizontal="center" vertical="center" wrapText="1"/>
    </xf>
    <xf numFmtId="0" fontId="72" fillId="3" borderId="2" xfId="0" applyFont="1" applyFill="1" applyBorder="1" applyAlignment="1" applyProtection="1">
      <alignment horizontal="center" vertical="center"/>
      <protection locked="0"/>
    </xf>
    <xf numFmtId="0" fontId="72" fillId="3" borderId="3" xfId="0" applyFont="1" applyFill="1" applyBorder="1" applyAlignment="1" applyProtection="1">
      <alignment horizontal="center" vertical="center"/>
      <protection locked="0"/>
    </xf>
    <xf numFmtId="0" fontId="72" fillId="3" borderId="4" xfId="0" applyFont="1" applyFill="1" applyBorder="1" applyAlignment="1" applyProtection="1">
      <alignment horizontal="center" vertical="center"/>
      <protection locked="0"/>
    </xf>
    <xf numFmtId="164" fontId="108" fillId="3" borderId="2" xfId="0" applyNumberFormat="1" applyFont="1" applyFill="1" applyBorder="1" applyAlignment="1" applyProtection="1">
      <alignment horizontal="left" vertical="center"/>
      <protection locked="0"/>
    </xf>
    <xf numFmtId="164" fontId="108" fillId="3" borderId="3" xfId="0" applyNumberFormat="1" applyFont="1" applyFill="1" applyBorder="1" applyAlignment="1" applyProtection="1">
      <alignment horizontal="left" vertical="center"/>
      <protection locked="0"/>
    </xf>
    <xf numFmtId="164" fontId="108"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8" fillId="5" borderId="0" xfId="0" applyFont="1" applyFill="1" applyAlignment="1">
      <alignment horizontal="left" vertical="center" wrapText="1"/>
    </xf>
    <xf numFmtId="0" fontId="7" fillId="5" borderId="0" xfId="0" applyFont="1" applyFill="1" applyAlignment="1">
      <alignment horizontal="left" vertical="center" wrapText="1"/>
    </xf>
    <xf numFmtId="0" fontId="79" fillId="5" borderId="9" xfId="0" applyFont="1" applyFill="1" applyBorder="1" applyAlignment="1">
      <alignment horizontal="center" vertical="center"/>
    </xf>
    <xf numFmtId="0" fontId="17" fillId="5" borderId="0" xfId="0" applyFont="1" applyFill="1" applyAlignment="1">
      <alignment horizontal="left" vertical="center" wrapText="1"/>
    </xf>
    <xf numFmtId="0" fontId="79" fillId="5" borderId="0" xfId="0" applyFont="1" applyFill="1" applyAlignment="1">
      <alignment horizontal="center" vertical="center"/>
    </xf>
    <xf numFmtId="0" fontId="81" fillId="0" borderId="8" xfId="0" applyFont="1" applyBorder="1" applyAlignment="1">
      <alignment horizontal="left" vertical="center" wrapText="1"/>
    </xf>
    <xf numFmtId="0" fontId="81" fillId="0" borderId="0" xfId="0" applyFont="1" applyAlignment="1">
      <alignment horizontal="left" vertical="center" wrapText="1"/>
    </xf>
    <xf numFmtId="0" fontId="0" fillId="22" borderId="0" xfId="0" applyFill="1" applyAlignment="1">
      <alignment horizontal="center"/>
    </xf>
    <xf numFmtId="0" fontId="87" fillId="26" borderId="1" xfId="0" applyFont="1" applyFill="1" applyBorder="1" applyAlignment="1">
      <alignment horizontal="left" vertical="center" wrapText="1"/>
    </xf>
    <xf numFmtId="0" fontId="87" fillId="26" borderId="1" xfId="0" applyFont="1" applyFill="1" applyBorder="1" applyAlignment="1" applyProtection="1">
      <alignment horizontal="center" vertical="center"/>
      <protection locked="0"/>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65" fillId="2" borderId="2" xfId="0" applyFont="1" applyFill="1" applyBorder="1" applyAlignment="1">
      <alignment vertical="center"/>
    </xf>
    <xf numFmtId="0" fontId="65" fillId="2" borderId="3" xfId="0" applyFont="1" applyFill="1" applyBorder="1" applyAlignment="1">
      <alignment vertical="center"/>
    </xf>
    <xf numFmtId="0" fontId="65" fillId="2" borderId="4" xfId="0" applyFont="1" applyFill="1" applyBorder="1" applyAlignment="1">
      <alignment vertical="center"/>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69" fillId="0" borderId="5" xfId="0" applyFont="1" applyBorder="1" applyAlignment="1">
      <alignment horizontal="left" vertical="center" wrapText="1"/>
    </xf>
    <xf numFmtId="0" fontId="69" fillId="0" borderId="6" xfId="0" applyFont="1" applyBorder="1" applyAlignment="1">
      <alignment horizontal="left" vertical="center" wrapText="1"/>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65" fillId="2" borderId="2" xfId="0" applyFont="1" applyFill="1" applyBorder="1" applyAlignment="1">
      <alignment vertical="center" wrapText="1"/>
    </xf>
    <xf numFmtId="0" fontId="65" fillId="2" borderId="2" xfId="0" applyFont="1" applyFill="1" applyBorder="1" applyAlignment="1">
      <alignment horizontal="left" vertical="center" wrapText="1" indent="2"/>
    </xf>
    <xf numFmtId="0" fontId="65" fillId="2" borderId="3" xfId="0" applyFont="1" applyFill="1" applyBorder="1" applyAlignment="1">
      <alignment horizontal="left" vertical="center" indent="2"/>
    </xf>
    <xf numFmtId="0" fontId="65" fillId="2" borderId="4" xfId="0" applyFont="1" applyFill="1" applyBorder="1" applyAlignment="1">
      <alignment horizontal="left" vertical="center" indent="2"/>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87" fillId="3" borderId="14" xfId="0" applyFont="1" applyFill="1" applyBorder="1" applyAlignment="1" applyProtection="1">
      <alignment vertical="top" wrapText="1"/>
      <protection locked="0"/>
    </xf>
    <xf numFmtId="0" fontId="87" fillId="3" borderId="12" xfId="0" applyFont="1" applyFill="1" applyBorder="1" applyAlignment="1" applyProtection="1">
      <alignment vertical="top" wrapText="1"/>
      <protection locked="0"/>
    </xf>
    <xf numFmtId="0" fontId="87" fillId="3" borderId="16" xfId="0" applyFont="1" applyFill="1" applyBorder="1" applyAlignment="1" applyProtection="1">
      <alignment vertical="top" wrapText="1"/>
      <protection locked="0"/>
    </xf>
    <xf numFmtId="0" fontId="87" fillId="3" borderId="8" xfId="0" applyFont="1" applyFill="1" applyBorder="1" applyAlignment="1" applyProtection="1">
      <alignment vertical="top" wrapText="1"/>
      <protection locked="0"/>
    </xf>
    <xf numFmtId="0" fontId="87" fillId="3" borderId="0" xfId="0" applyFont="1" applyFill="1" applyAlignment="1" applyProtection="1">
      <alignment vertical="top" wrapText="1"/>
      <protection locked="0"/>
    </xf>
    <xf numFmtId="0" fontId="87" fillId="3" borderId="7" xfId="0" applyFont="1" applyFill="1" applyBorder="1" applyAlignment="1" applyProtection="1">
      <alignment vertical="top" wrapText="1"/>
      <protection locked="0"/>
    </xf>
    <xf numFmtId="0" fontId="87" fillId="3" borderId="2" xfId="0" applyFont="1" applyFill="1" applyBorder="1" applyAlignment="1">
      <alignment horizontal="left" vertical="top" wrapText="1"/>
    </xf>
    <xf numFmtId="0" fontId="87" fillId="3" borderId="3" xfId="0" applyFont="1" applyFill="1" applyBorder="1" applyAlignment="1">
      <alignment horizontal="left" vertical="top" wrapText="1"/>
    </xf>
    <xf numFmtId="0" fontId="87" fillId="3" borderId="4" xfId="0" applyFont="1" applyFill="1" applyBorder="1" applyAlignment="1">
      <alignment horizontal="left" vertical="top" wrapText="1"/>
    </xf>
    <xf numFmtId="0" fontId="87" fillId="7" borderId="14" xfId="0" applyFont="1" applyFill="1" applyBorder="1" applyAlignment="1">
      <alignment horizontal="center" vertical="center" wrapText="1"/>
    </xf>
    <xf numFmtId="0" fontId="87" fillId="7" borderId="16" xfId="0" applyFont="1" applyFill="1" applyBorder="1" applyAlignment="1">
      <alignment horizontal="center" vertical="center" wrapText="1"/>
    </xf>
    <xf numFmtId="0" fontId="87" fillId="3" borderId="16" xfId="0" applyFont="1" applyFill="1" applyBorder="1" applyAlignment="1" applyProtection="1">
      <alignment horizontal="center" vertical="center"/>
      <protection locked="0"/>
    </xf>
    <xf numFmtId="0" fontId="87" fillId="3" borderId="0" xfId="0" applyFont="1" applyFill="1" applyAlignment="1" applyProtection="1">
      <alignment horizontal="center" vertical="center"/>
      <protection locked="0"/>
    </xf>
    <xf numFmtId="0" fontId="87" fillId="3" borderId="6" xfId="0" applyFont="1" applyFill="1" applyBorder="1" applyAlignment="1" applyProtection="1">
      <alignment horizontal="center" vertical="center"/>
      <protection locked="0"/>
    </xf>
    <xf numFmtId="0" fontId="71" fillId="0" borderId="0" xfId="0" applyFont="1" applyAlignment="1" applyProtection="1">
      <alignment vertical="center"/>
      <protection locked="0"/>
    </xf>
    <xf numFmtId="0" fontId="71" fillId="0" borderId="0" xfId="0" applyFont="1" applyAlignment="1" applyProtection="1">
      <alignment horizontal="left" vertical="top" wrapText="1"/>
      <protection locked="0"/>
    </xf>
    <xf numFmtId="0" fontId="64" fillId="0" borderId="0" xfId="0" applyFont="1" applyAlignment="1">
      <alignment vertical="center"/>
    </xf>
    <xf numFmtId="0" fontId="64" fillId="0" borderId="0" xfId="0" applyFont="1" applyAlignment="1">
      <alignment horizontal="right"/>
    </xf>
    <xf numFmtId="0" fontId="71" fillId="0" borderId="0" xfId="0" applyFont="1" applyAlignment="1" applyProtection="1">
      <alignment horizontal="left" vertical="center"/>
      <protection locked="0"/>
    </xf>
    <xf numFmtId="0" fontId="64" fillId="0" borderId="0" xfId="0" applyFont="1" applyAlignment="1">
      <alignment vertical="center" wrapText="1"/>
    </xf>
    <xf numFmtId="0" fontId="64" fillId="0" borderId="0" xfId="0" applyFont="1" applyAlignment="1">
      <alignment horizontal="right" vertical="center"/>
    </xf>
    <xf numFmtId="0" fontId="101" fillId="0" borderId="2" xfId="0" applyFont="1" applyBorder="1" applyAlignment="1">
      <alignment horizontal="right" vertical="center" wrapText="1"/>
    </xf>
    <xf numFmtId="0" fontId="101" fillId="0" borderId="3" xfId="0" applyFont="1" applyBorder="1" applyAlignment="1">
      <alignment horizontal="right" vertical="center" wrapText="1"/>
    </xf>
    <xf numFmtId="0" fontId="101" fillId="0" borderId="4" xfId="0" applyFont="1" applyBorder="1" applyAlignment="1">
      <alignment horizontal="right" vertical="center" wrapText="1"/>
    </xf>
    <xf numFmtId="0" fontId="82" fillId="24" borderId="14" xfId="0" applyFont="1" applyFill="1" applyBorder="1" applyAlignment="1">
      <alignment horizontal="center" vertical="center"/>
    </xf>
    <xf numFmtId="0" fontId="82" fillId="24" borderId="12" xfId="0" applyFont="1" applyFill="1" applyBorder="1" applyAlignment="1">
      <alignment horizontal="center" vertical="center"/>
    </xf>
    <xf numFmtId="0" fontId="82" fillId="24" borderId="16" xfId="0" applyFont="1" applyFill="1" applyBorder="1" applyAlignment="1">
      <alignment horizontal="center" vertical="center"/>
    </xf>
    <xf numFmtId="0" fontId="87" fillId="26" borderId="2" xfId="0" applyFont="1" applyFill="1" applyBorder="1" applyAlignment="1">
      <alignment horizontal="left" vertical="center" wrapText="1"/>
    </xf>
    <xf numFmtId="0" fontId="87" fillId="26" borderId="4" xfId="0" applyFont="1" applyFill="1" applyBorder="1" applyAlignment="1">
      <alignment horizontal="left" vertical="center" wrapText="1"/>
    </xf>
    <xf numFmtId="0" fontId="87" fillId="3" borderId="5" xfId="0" applyFont="1" applyFill="1" applyBorder="1" applyAlignment="1">
      <alignment horizontal="left" vertical="top" wrapText="1"/>
    </xf>
    <xf numFmtId="0" fontId="87" fillId="3" borderId="6" xfId="0" applyFont="1" applyFill="1" applyBorder="1" applyAlignment="1">
      <alignment horizontal="left" vertical="top" wrapText="1"/>
    </xf>
    <xf numFmtId="0" fontId="87" fillId="3" borderId="15" xfId="0" applyFont="1" applyFill="1" applyBorder="1" applyAlignment="1">
      <alignment horizontal="left" vertical="top" wrapText="1"/>
    </xf>
    <xf numFmtId="0" fontId="87" fillId="3" borderId="8" xfId="0" applyFont="1" applyFill="1" applyBorder="1" applyAlignment="1" applyProtection="1">
      <alignment horizontal="left" vertical="top" wrapText="1"/>
      <protection locked="0"/>
    </xf>
    <xf numFmtId="0" fontId="87" fillId="3" borderId="0" xfId="0" applyFont="1" applyFill="1" applyAlignment="1" applyProtection="1">
      <alignment horizontal="left" vertical="top" wrapText="1"/>
      <protection locked="0"/>
    </xf>
    <xf numFmtId="0" fontId="87" fillId="3" borderId="7" xfId="0" applyFont="1" applyFill="1" applyBorder="1" applyAlignment="1" applyProtection="1">
      <alignment horizontal="left" vertical="top" wrapText="1"/>
      <protection locked="0"/>
    </xf>
    <xf numFmtId="0" fontId="65" fillId="2" borderId="0" xfId="0" applyFont="1" applyFill="1" applyAlignment="1">
      <alignment vertical="center"/>
    </xf>
    <xf numFmtId="0" fontId="87" fillId="3" borderId="1" xfId="0" applyFont="1" applyFill="1" applyBorder="1" applyAlignment="1" applyProtection="1">
      <alignment horizontal="center" vertical="center"/>
      <protection locked="0"/>
    </xf>
    <xf numFmtId="0" fontId="69" fillId="0" borderId="10" xfId="0" applyFont="1" applyBorder="1" applyAlignment="1">
      <alignment horizontal="center" vertical="center"/>
    </xf>
    <xf numFmtId="0" fontId="69" fillId="0" borderId="11" xfId="0" applyFont="1" applyBorder="1" applyAlignment="1">
      <alignment horizontal="center" vertical="center"/>
    </xf>
    <xf numFmtId="0" fontId="87" fillId="3" borderId="10" xfId="0" applyFont="1" applyFill="1" applyBorder="1" applyAlignment="1" applyProtection="1">
      <alignment horizontal="center" vertical="center"/>
      <protection locked="0"/>
    </xf>
    <xf numFmtId="0" fontId="87" fillId="3" borderId="13" xfId="0" applyFont="1" applyFill="1" applyBorder="1" applyAlignment="1" applyProtection="1">
      <alignment horizontal="center" vertical="center"/>
      <protection locked="0"/>
    </xf>
    <xf numFmtId="0" fontId="97" fillId="0" borderId="2" xfId="0" applyFont="1" applyBorder="1" applyAlignment="1">
      <alignment vertical="center" wrapText="1"/>
    </xf>
    <xf numFmtId="0" fontId="97" fillId="0" borderId="3" xfId="0" applyFont="1" applyBorder="1" applyAlignment="1">
      <alignment vertical="center" wrapText="1"/>
    </xf>
    <xf numFmtId="0" fontId="97" fillId="0" borderId="4" xfId="0" applyFont="1" applyBorder="1" applyAlignment="1">
      <alignment vertical="center" wrapText="1"/>
    </xf>
    <xf numFmtId="0" fontId="64" fillId="0" borderId="0" xfId="0" applyFont="1"/>
    <xf numFmtId="0" fontId="70" fillId="24" borderId="0" xfId="0" applyFont="1" applyFill="1" applyAlignment="1">
      <alignment horizontal="center" vertical="center" wrapText="1"/>
    </xf>
    <xf numFmtId="0" fontId="87" fillId="3" borderId="11" xfId="0" applyFont="1" applyFill="1" applyBorder="1" applyAlignment="1" applyProtection="1">
      <alignment horizontal="center" vertical="center"/>
      <protection locked="0"/>
    </xf>
    <xf numFmtId="0" fontId="87" fillId="0" borderId="2" xfId="0" applyFont="1" applyBorder="1" applyAlignment="1">
      <alignment horizontal="right" vertical="center" wrapText="1"/>
    </xf>
    <xf numFmtId="0" fontId="87" fillId="0" borderId="3" xfId="0" applyFont="1" applyBorder="1" applyAlignment="1">
      <alignment horizontal="right" vertical="center"/>
    </xf>
    <xf numFmtId="0" fontId="87" fillId="0" borderId="4" xfId="0" applyFont="1" applyBorder="1" applyAlignment="1">
      <alignment horizontal="right" vertical="center"/>
    </xf>
    <xf numFmtId="0" fontId="72" fillId="6" borderId="0" xfId="0" applyFont="1" applyFill="1" applyAlignment="1">
      <alignment horizontal="center" vertical="center"/>
    </xf>
    <xf numFmtId="0" fontId="69" fillId="0" borderId="0" xfId="0" applyFont="1" applyAlignment="1">
      <alignment horizontal="left" vertical="center"/>
    </xf>
    <xf numFmtId="0" fontId="65" fillId="6" borderId="0" xfId="0" applyFont="1" applyFill="1" applyAlignment="1">
      <alignment horizontal="center" vertical="center"/>
    </xf>
    <xf numFmtId="0" fontId="68" fillId="6" borderId="0" xfId="0" applyFont="1" applyFill="1" applyAlignment="1">
      <alignment vertical="center"/>
    </xf>
    <xf numFmtId="0" fontId="67" fillId="0" borderId="0" xfId="0" applyFont="1" applyAlignment="1">
      <alignment vertical="center"/>
    </xf>
    <xf numFmtId="0" fontId="102" fillId="0" borderId="0" xfId="0" applyFont="1" applyAlignment="1">
      <alignment horizontal="right" vertical="center" wrapText="1"/>
    </xf>
    <xf numFmtId="0" fontId="64" fillId="0" borderId="0" xfId="0" applyFont="1" applyAlignment="1">
      <alignment horizontal="left" vertical="center"/>
    </xf>
    <xf numFmtId="0" fontId="65" fillId="15" borderId="14" xfId="0" applyFont="1" applyFill="1" applyBorder="1" applyAlignment="1">
      <alignment vertical="center"/>
    </xf>
    <xf numFmtId="0" fontId="65" fillId="15" borderId="12" xfId="0" applyFont="1" applyFill="1" applyBorder="1" applyAlignment="1">
      <alignment vertical="center"/>
    </xf>
    <xf numFmtId="0" fontId="65" fillId="15" borderId="16" xfId="0" applyFont="1" applyFill="1" applyBorder="1" applyAlignment="1">
      <alignment vertical="center"/>
    </xf>
    <xf numFmtId="0" fontId="87" fillId="0" borderId="3" xfId="0" applyFont="1" applyBorder="1" applyAlignment="1">
      <alignment horizontal="right" vertical="center" wrapText="1"/>
    </xf>
    <xf numFmtId="0" fontId="87" fillId="0" borderId="4" xfId="0" applyFont="1" applyBorder="1" applyAlignment="1">
      <alignment horizontal="right" vertical="center" wrapText="1"/>
    </xf>
    <xf numFmtId="0" fontId="88" fillId="0" borderId="14" xfId="0" applyFont="1" applyBorder="1" applyAlignment="1">
      <alignment horizontal="center" vertical="center"/>
    </xf>
    <xf numFmtId="0" fontId="88" fillId="0" borderId="5" xfId="0" applyFont="1" applyBorder="1" applyAlignment="1">
      <alignment horizontal="center" vertical="center"/>
    </xf>
    <xf numFmtId="0" fontId="87" fillId="0" borderId="1" xfId="0" applyFont="1" applyBorder="1" applyAlignment="1">
      <alignment horizontal="left" vertical="center" wrapText="1"/>
    </xf>
    <xf numFmtId="0" fontId="88" fillId="0" borderId="1" xfId="0" applyFont="1" applyBorder="1" applyAlignment="1">
      <alignment horizontal="center" vertical="center"/>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72" fillId="6" borderId="2" xfId="0" applyFont="1" applyFill="1" applyBorder="1" applyAlignment="1">
      <alignment horizontal="center" vertical="center"/>
    </xf>
    <xf numFmtId="0" fontId="72" fillId="6" borderId="3" xfId="0" applyFont="1" applyFill="1" applyBorder="1" applyAlignment="1">
      <alignment horizontal="center" vertical="center"/>
    </xf>
    <xf numFmtId="0" fontId="72" fillId="6" borderId="4" xfId="0" applyFont="1" applyFill="1" applyBorder="1" applyAlignment="1">
      <alignment horizontal="center" vertical="center"/>
    </xf>
    <xf numFmtId="0" fontId="87" fillId="26" borderId="10" xfId="0" applyFont="1" applyFill="1" applyBorder="1" applyAlignment="1">
      <alignment vertical="center" wrapText="1"/>
    </xf>
    <xf numFmtId="0" fontId="87" fillId="26" borderId="13" xfId="0" applyFont="1" applyFill="1" applyBorder="1" applyAlignment="1">
      <alignment vertical="center" wrapText="1"/>
    </xf>
    <xf numFmtId="0" fontId="87" fillId="26" borderId="11" xfId="0" applyFont="1" applyFill="1" applyBorder="1" applyAlignment="1">
      <alignment vertical="center" wrapText="1"/>
    </xf>
    <xf numFmtId="0" fontId="88" fillId="0" borderId="10" xfId="0" applyFont="1" applyBorder="1" applyAlignment="1">
      <alignment horizontal="center" vertical="center"/>
    </xf>
    <xf numFmtId="0" fontId="88" fillId="0" borderId="13" xfId="0" applyFont="1" applyBorder="1" applyAlignment="1">
      <alignment horizontal="center" vertical="center"/>
    </xf>
    <xf numFmtId="0" fontId="88" fillId="0" borderId="11" xfId="0" applyFont="1" applyBorder="1" applyAlignment="1">
      <alignment horizontal="center" vertical="center"/>
    </xf>
    <xf numFmtId="0" fontId="87" fillId="0" borderId="0" xfId="0" applyFont="1" applyAlignment="1">
      <alignment horizontal="left" vertical="center" wrapText="1"/>
    </xf>
    <xf numFmtId="0" fontId="87" fillId="0" borderId="6" xfId="0" applyFont="1" applyBorder="1" applyAlignment="1">
      <alignment horizontal="left" vertical="center" wrapText="1"/>
    </xf>
    <xf numFmtId="0" fontId="87" fillId="3" borderId="5" xfId="0" applyFont="1" applyFill="1" applyBorder="1" applyAlignment="1" applyProtection="1">
      <alignment vertical="top" wrapText="1"/>
      <protection locked="0"/>
    </xf>
    <xf numFmtId="0" fontId="87" fillId="3" borderId="6" xfId="0" applyFont="1" applyFill="1" applyBorder="1" applyAlignment="1" applyProtection="1">
      <alignment vertical="top" wrapText="1"/>
      <protection locked="0"/>
    </xf>
    <xf numFmtId="0" fontId="87" fillId="3" borderId="15" xfId="0" applyFont="1" applyFill="1" applyBorder="1" applyAlignment="1" applyProtection="1">
      <alignment vertical="top" wrapText="1"/>
      <protection locked="0"/>
    </xf>
    <xf numFmtId="0" fontId="87" fillId="3" borderId="5" xfId="0" applyFont="1" applyFill="1" applyBorder="1" applyAlignment="1">
      <alignment horizontal="left" vertical="center" wrapText="1"/>
    </xf>
    <xf numFmtId="0" fontId="87" fillId="3" borderId="6" xfId="0" applyFont="1" applyFill="1" applyBorder="1" applyAlignment="1">
      <alignment horizontal="left" vertical="center" wrapText="1"/>
    </xf>
    <xf numFmtId="0" fontId="87" fillId="3" borderId="15" xfId="0" applyFont="1" applyFill="1" applyBorder="1" applyAlignment="1">
      <alignment horizontal="left" vertical="center" wrapText="1"/>
    </xf>
    <xf numFmtId="0" fontId="87" fillId="0" borderId="8" xfId="0" applyFont="1" applyBorder="1" applyAlignment="1">
      <alignment horizontal="left" vertical="center" wrapText="1"/>
    </xf>
    <xf numFmtId="0" fontId="87" fillId="0" borderId="7" xfId="0" applyFont="1" applyBorder="1" applyAlignment="1">
      <alignment horizontal="left" vertical="center" wrapText="1"/>
    </xf>
    <xf numFmtId="0" fontId="87" fillId="0" borderId="5" xfId="0" applyFont="1" applyBorder="1" applyAlignment="1">
      <alignment horizontal="left" vertical="center" wrapText="1"/>
    </xf>
    <xf numFmtId="0" fontId="87" fillId="0" borderId="15" xfId="0" applyFont="1" applyBorder="1" applyAlignment="1">
      <alignment horizontal="left" vertical="center" wrapText="1"/>
    </xf>
    <xf numFmtId="0" fontId="87" fillId="3" borderId="2" xfId="0" applyFont="1" applyFill="1" applyBorder="1" applyAlignment="1" applyProtection="1">
      <alignment vertical="top" wrapText="1"/>
      <protection locked="0"/>
    </xf>
    <xf numFmtId="0" fontId="87" fillId="3" borderId="3" xfId="0" applyFont="1" applyFill="1" applyBorder="1" applyAlignment="1" applyProtection="1">
      <alignment vertical="top" wrapText="1"/>
      <protection locked="0"/>
    </xf>
    <xf numFmtId="0" fontId="87" fillId="3" borderId="4" xfId="0" applyFont="1" applyFill="1" applyBorder="1" applyAlignment="1" applyProtection="1">
      <alignment vertical="top" wrapText="1"/>
      <protection locked="0"/>
    </xf>
    <xf numFmtId="0" fontId="87" fillId="26" borderId="13" xfId="0" applyFont="1" applyFill="1" applyBorder="1" applyAlignment="1" applyProtection="1">
      <alignment horizontal="center" vertical="center"/>
      <protection locked="0"/>
    </xf>
    <xf numFmtId="0" fontId="87" fillId="3" borderId="7" xfId="0" applyFont="1" applyFill="1" applyBorder="1" applyAlignment="1" applyProtection="1">
      <alignment horizontal="center" vertical="center"/>
      <protection locked="0"/>
    </xf>
    <xf numFmtId="0" fontId="87" fillId="3" borderId="15" xfId="0" applyFont="1" applyFill="1" applyBorder="1" applyAlignment="1" applyProtection="1">
      <alignment horizontal="center" vertical="center"/>
      <protection locked="0"/>
    </xf>
    <xf numFmtId="0" fontId="87" fillId="0" borderId="14" xfId="0" applyFont="1" applyBorder="1" applyAlignment="1">
      <alignment vertical="center" wrapText="1"/>
    </xf>
    <xf numFmtId="0" fontId="87" fillId="0" borderId="12" xfId="0" applyFont="1" applyBorder="1" applyAlignment="1">
      <alignment vertical="center" wrapText="1"/>
    </xf>
    <xf numFmtId="0" fontId="87" fillId="0" borderId="16" xfId="0" applyFont="1" applyBorder="1" applyAlignment="1">
      <alignment vertical="center" wrapText="1"/>
    </xf>
    <xf numFmtId="0" fontId="87" fillId="0" borderId="8" xfId="0" applyFont="1" applyBorder="1" applyAlignment="1">
      <alignment vertical="center" wrapText="1"/>
    </xf>
    <xf numFmtId="0" fontId="87" fillId="0" borderId="0" xfId="0" applyFont="1" applyAlignment="1">
      <alignment vertical="center" wrapText="1"/>
    </xf>
    <xf numFmtId="0" fontId="87" fillId="0" borderId="7" xfId="0" applyFont="1" applyBorder="1" applyAlignment="1">
      <alignment vertical="center" wrapText="1"/>
    </xf>
    <xf numFmtId="0" fontId="87" fillId="0" borderId="5" xfId="0" applyFont="1" applyBorder="1" applyAlignment="1">
      <alignment vertical="center" wrapText="1"/>
    </xf>
    <xf numFmtId="0" fontId="87" fillId="0" borderId="6" xfId="0" applyFont="1" applyBorder="1" applyAlignment="1">
      <alignment vertical="center" wrapText="1"/>
    </xf>
    <xf numFmtId="0" fontId="87" fillId="0" borderId="15" xfId="0" applyFont="1" applyBorder="1" applyAlignment="1">
      <alignment vertical="center" wrapText="1"/>
    </xf>
    <xf numFmtId="0" fontId="88" fillId="0" borderId="10" xfId="0" applyFont="1" applyBorder="1" applyAlignment="1">
      <alignment horizontal="center" vertical="center" wrapText="1"/>
    </xf>
    <xf numFmtId="0" fontId="88" fillId="0" borderId="13" xfId="0" applyFont="1" applyBorder="1" applyAlignment="1">
      <alignment horizontal="center" vertical="center" wrapText="1"/>
    </xf>
    <xf numFmtId="0" fontId="88" fillId="0" borderId="11" xfId="0" applyFont="1" applyBorder="1" applyAlignment="1">
      <alignment horizontal="center" vertical="center" wrapText="1"/>
    </xf>
    <xf numFmtId="0" fontId="88" fillId="0" borderId="8" xfId="0" applyFont="1" applyBorder="1" applyAlignment="1">
      <alignment horizontal="center" vertical="center"/>
    </xf>
    <xf numFmtId="0" fontId="87" fillId="7" borderId="5" xfId="0" applyFont="1" applyFill="1" applyBorder="1" applyAlignment="1">
      <alignment horizontal="center" vertical="center" wrapText="1"/>
    </xf>
    <xf numFmtId="0" fontId="87" fillId="7" borderId="15" xfId="0" applyFont="1" applyFill="1" applyBorder="1" applyAlignment="1">
      <alignment horizontal="center" vertical="center" wrapText="1"/>
    </xf>
    <xf numFmtId="0" fontId="87" fillId="3" borderId="2" xfId="0" applyFont="1" applyFill="1" applyBorder="1" applyAlignment="1">
      <alignment horizontal="left" vertical="center" wrapText="1"/>
    </xf>
    <xf numFmtId="0" fontId="87" fillId="3" borderId="3" xfId="0" applyFont="1" applyFill="1" applyBorder="1" applyAlignment="1">
      <alignment horizontal="left" vertical="center" wrapText="1"/>
    </xf>
    <xf numFmtId="0" fontId="87" fillId="3" borderId="4" xfId="0" applyFont="1" applyFill="1" applyBorder="1" applyAlignment="1">
      <alignment horizontal="left" vertical="center" wrapText="1"/>
    </xf>
    <xf numFmtId="0" fontId="89" fillId="0" borderId="14" xfId="0" applyFont="1" applyBorder="1" applyAlignment="1">
      <alignment horizontal="left" vertical="center" wrapText="1"/>
    </xf>
    <xf numFmtId="0" fontId="89" fillId="0" borderId="12" xfId="0" applyFont="1" applyBorder="1" applyAlignment="1">
      <alignment horizontal="left" vertical="center" wrapText="1"/>
    </xf>
    <xf numFmtId="0" fontId="89" fillId="0" borderId="16" xfId="0" applyFont="1" applyBorder="1" applyAlignment="1">
      <alignment horizontal="left" vertical="center" wrapText="1"/>
    </xf>
    <xf numFmtId="0" fontId="89" fillId="0" borderId="5" xfId="0" applyFont="1" applyBorder="1" applyAlignment="1">
      <alignment horizontal="left" vertical="center" wrapText="1"/>
    </xf>
    <xf numFmtId="0" fontId="89" fillId="0" borderId="6" xfId="0" applyFont="1" applyBorder="1" applyAlignment="1">
      <alignment horizontal="left" vertical="center" wrapText="1"/>
    </xf>
    <xf numFmtId="0" fontId="89" fillId="0" borderId="15" xfId="0" applyFont="1" applyBorder="1" applyAlignment="1">
      <alignment horizontal="left" vertical="center" wrapText="1"/>
    </xf>
    <xf numFmtId="0" fontId="89" fillId="3" borderId="10" xfId="0" applyFont="1" applyFill="1" applyBorder="1" applyAlignment="1" applyProtection="1">
      <alignment horizontal="center" vertical="center"/>
      <protection locked="0"/>
    </xf>
    <xf numFmtId="0" fontId="89" fillId="3" borderId="11" xfId="0" applyFont="1" applyFill="1" applyBorder="1" applyAlignment="1" applyProtection="1">
      <alignment horizontal="center" vertical="center"/>
      <protection locked="0"/>
    </xf>
    <xf numFmtId="0" fontId="94" fillId="0" borderId="14" xfId="0" applyFont="1" applyBorder="1" applyAlignment="1">
      <alignment horizontal="center" vertical="center"/>
    </xf>
    <xf numFmtId="0" fontId="94" fillId="0" borderId="5" xfId="0" applyFont="1" applyBorder="1" applyAlignment="1">
      <alignment horizontal="center" vertical="center"/>
    </xf>
    <xf numFmtId="0" fontId="89" fillId="3" borderId="14" xfId="0" applyFont="1" applyFill="1" applyBorder="1" applyAlignment="1" applyProtection="1">
      <alignment horizontal="left" vertical="top" wrapText="1"/>
      <protection locked="0"/>
    </xf>
    <xf numFmtId="0" fontId="89" fillId="3" borderId="12" xfId="0" applyFont="1" applyFill="1" applyBorder="1" applyAlignment="1" applyProtection="1">
      <alignment horizontal="left" vertical="top" wrapText="1"/>
      <protection locked="0"/>
    </xf>
    <xf numFmtId="0" fontId="89" fillId="3" borderId="16" xfId="0" applyFont="1" applyFill="1" applyBorder="1" applyAlignment="1" applyProtection="1">
      <alignment horizontal="left" vertical="top" wrapText="1"/>
      <protection locked="0"/>
    </xf>
    <xf numFmtId="0" fontId="89" fillId="3" borderId="5" xfId="0" applyFont="1" applyFill="1" applyBorder="1" applyAlignment="1" applyProtection="1">
      <alignment horizontal="left" vertical="top" wrapText="1"/>
      <protection locked="0"/>
    </xf>
    <xf numFmtId="0" fontId="89" fillId="3" borderId="6" xfId="0" applyFont="1" applyFill="1" applyBorder="1" applyAlignment="1" applyProtection="1">
      <alignment horizontal="left" vertical="top" wrapText="1"/>
      <protection locked="0"/>
    </xf>
    <xf numFmtId="0" fontId="89" fillId="3" borderId="15" xfId="0" applyFont="1" applyFill="1" applyBorder="1" applyAlignment="1" applyProtection="1">
      <alignment horizontal="left" vertical="top" wrapText="1"/>
      <protection locked="0"/>
    </xf>
    <xf numFmtId="0" fontId="72" fillId="3" borderId="1" xfId="0" applyFont="1" applyFill="1" applyBorder="1" applyAlignment="1">
      <alignment horizontal="center" vertical="center"/>
    </xf>
    <xf numFmtId="0" fontId="91" fillId="22" borderId="14" xfId="0" applyFont="1" applyFill="1" applyBorder="1" applyAlignment="1">
      <alignment vertical="center"/>
    </xf>
    <xf numFmtId="0" fontId="91" fillId="22" borderId="12" xfId="0" applyFont="1" applyFill="1" applyBorder="1" applyAlignment="1">
      <alignment vertical="center"/>
    </xf>
    <xf numFmtId="0" fontId="91" fillId="22" borderId="16" xfId="0" applyFont="1" applyFill="1" applyBorder="1" applyAlignment="1">
      <alignment vertical="center"/>
    </xf>
    <xf numFmtId="0" fontId="88" fillId="26" borderId="2" xfId="0" applyFont="1" applyFill="1" applyBorder="1" applyAlignment="1">
      <alignment horizontal="left" vertical="center" wrapText="1"/>
    </xf>
    <xf numFmtId="0" fontId="64" fillId="3" borderId="0" xfId="0" applyFont="1" applyFill="1" applyAlignment="1" applyProtection="1">
      <alignment horizontal="left" vertical="top" wrapText="1"/>
      <protection locked="0"/>
    </xf>
    <xf numFmtId="0" fontId="65" fillId="2" borderId="6" xfId="0" applyFont="1" applyFill="1" applyBorder="1" applyAlignment="1">
      <alignment vertical="center"/>
    </xf>
    <xf numFmtId="0" fontId="89" fillId="0" borderId="1" xfId="0" applyFont="1" applyBorder="1" applyAlignment="1">
      <alignment horizontal="left" vertical="center" wrapText="1" indent="1"/>
    </xf>
    <xf numFmtId="0" fontId="89" fillId="0" borderId="2" xfId="0" applyFont="1" applyBorder="1" applyAlignment="1">
      <alignment horizontal="left" vertical="center" wrapText="1"/>
    </xf>
    <xf numFmtId="0" fontId="89" fillId="0" borderId="3" xfId="0" applyFont="1" applyBorder="1" applyAlignment="1">
      <alignment horizontal="left" vertical="center" wrapText="1"/>
    </xf>
    <xf numFmtId="0" fontId="89" fillId="0" borderId="4" xfId="0" applyFont="1" applyBorder="1" applyAlignment="1">
      <alignment horizontal="left" vertical="center" wrapText="1"/>
    </xf>
    <xf numFmtId="0" fontId="97" fillId="3" borderId="2" xfId="0" applyFont="1" applyFill="1" applyBorder="1" applyAlignment="1" applyProtection="1">
      <alignment horizontal="left" vertical="top" wrapText="1"/>
      <protection locked="0"/>
    </xf>
    <xf numFmtId="0" fontId="97" fillId="3" borderId="3" xfId="0" applyFont="1" applyFill="1" applyBorder="1" applyAlignment="1" applyProtection="1">
      <alignment horizontal="left" vertical="top" wrapText="1"/>
      <protection locked="0"/>
    </xf>
    <xf numFmtId="0" fontId="97" fillId="3" borderId="4" xfId="0" applyFont="1" applyFill="1" applyBorder="1" applyAlignment="1" applyProtection="1">
      <alignment horizontal="left" vertical="top" wrapText="1"/>
      <protection locked="0"/>
    </xf>
    <xf numFmtId="0" fontId="96" fillId="0" borderId="10" xfId="0" applyFont="1" applyBorder="1" applyAlignment="1">
      <alignment horizontal="center" vertical="center"/>
    </xf>
    <xf numFmtId="0" fontId="96" fillId="0" borderId="8" xfId="0" applyFont="1" applyBorder="1" applyAlignment="1">
      <alignment horizontal="center" vertical="center"/>
    </xf>
    <xf numFmtId="0" fontId="96" fillId="0" borderId="5" xfId="0" applyFont="1" applyBorder="1" applyAlignment="1">
      <alignment horizontal="center" vertical="center"/>
    </xf>
    <xf numFmtId="0" fontId="89" fillId="3" borderId="2" xfId="0" applyFont="1" applyFill="1" applyBorder="1" applyAlignment="1" applyProtection="1">
      <alignment horizontal="left" vertical="top" wrapText="1"/>
      <protection locked="0"/>
    </xf>
    <xf numFmtId="0" fontId="89" fillId="3" borderId="3" xfId="0" applyFont="1" applyFill="1" applyBorder="1" applyAlignment="1" applyProtection="1">
      <alignment horizontal="left" vertical="top" wrapText="1"/>
      <protection locked="0"/>
    </xf>
    <xf numFmtId="0" fontId="89" fillId="3" borderId="4" xfId="0" applyFont="1" applyFill="1" applyBorder="1" applyAlignment="1" applyProtection="1">
      <alignment horizontal="left" vertical="top" wrapText="1"/>
      <protection locked="0"/>
    </xf>
    <xf numFmtId="0" fontId="65" fillId="2" borderId="5" xfId="0" applyFont="1" applyFill="1" applyBorder="1" applyAlignment="1">
      <alignment vertical="center"/>
    </xf>
    <xf numFmtId="0" fontId="65" fillId="2" borderId="15" xfId="0" applyFont="1" applyFill="1" applyBorder="1" applyAlignment="1">
      <alignment vertical="center"/>
    </xf>
    <xf numFmtId="0" fontId="97" fillId="0" borderId="8" xfId="0" applyFont="1" applyBorder="1" applyAlignment="1">
      <alignment vertical="center" wrapText="1"/>
    </xf>
    <xf numFmtId="0" fontId="97" fillId="0" borderId="0" xfId="0" applyFont="1" applyAlignment="1">
      <alignment vertical="center" wrapText="1"/>
    </xf>
    <xf numFmtId="0" fontId="97" fillId="0" borderId="7" xfId="0" applyFont="1" applyBorder="1" applyAlignment="1">
      <alignment vertical="center" wrapText="1"/>
    </xf>
    <xf numFmtId="0" fontId="97" fillId="0" borderId="8" xfId="0" applyFont="1" applyBorder="1" applyAlignment="1">
      <alignment horizontal="left" vertical="center" wrapText="1"/>
    </xf>
    <xf numFmtId="0" fontId="97" fillId="0" borderId="0" xfId="0" applyFont="1" applyAlignment="1">
      <alignment horizontal="left" vertical="center" wrapText="1"/>
    </xf>
    <xf numFmtId="0" fontId="97" fillId="0" borderId="7" xfId="0" applyFont="1" applyBorder="1" applyAlignment="1">
      <alignment horizontal="left" vertical="center" wrapText="1"/>
    </xf>
    <xf numFmtId="0" fontId="97" fillId="0" borderId="5" xfId="0" applyFont="1" applyBorder="1" applyAlignment="1">
      <alignment horizontal="left" vertical="center" wrapText="1"/>
    </xf>
    <xf numFmtId="0" fontId="97" fillId="0" borderId="6" xfId="0" applyFont="1" applyBorder="1" applyAlignment="1">
      <alignment horizontal="left" vertical="center" wrapText="1"/>
    </xf>
    <xf numFmtId="0" fontId="97" fillId="0" borderId="15" xfId="0" applyFont="1" applyBorder="1" applyAlignment="1">
      <alignment horizontal="left" vertical="center" wrapText="1"/>
    </xf>
    <xf numFmtId="0" fontId="97" fillId="0" borderId="14" xfId="0" applyFont="1" applyBorder="1" applyAlignment="1">
      <alignment vertical="center" wrapText="1"/>
    </xf>
    <xf numFmtId="0" fontId="97" fillId="0" borderId="12" xfId="0" applyFont="1" applyBorder="1" applyAlignment="1">
      <alignment vertical="center" wrapText="1"/>
    </xf>
    <xf numFmtId="0" fontId="97" fillId="0" borderId="16" xfId="0" applyFont="1" applyBorder="1" applyAlignment="1">
      <alignment vertical="center" wrapText="1"/>
    </xf>
    <xf numFmtId="0" fontId="97" fillId="3" borderId="10" xfId="0" applyFont="1" applyFill="1" applyBorder="1" applyAlignment="1" applyProtection="1">
      <alignment horizontal="center" vertical="center"/>
      <protection locked="0"/>
    </xf>
    <xf numFmtId="0" fontId="97" fillId="3" borderId="13" xfId="0" applyFont="1" applyFill="1" applyBorder="1" applyAlignment="1" applyProtection="1">
      <alignment horizontal="center" vertical="center"/>
      <protection locked="0"/>
    </xf>
    <xf numFmtId="0" fontId="97" fillId="3" borderId="11" xfId="0" applyFont="1" applyFill="1" applyBorder="1" applyAlignment="1" applyProtection="1">
      <alignment horizontal="center" vertical="center"/>
      <protection locked="0"/>
    </xf>
    <xf numFmtId="0" fontId="97" fillId="3" borderId="14" xfId="0" applyFont="1" applyFill="1" applyBorder="1" applyAlignment="1" applyProtection="1">
      <alignment horizontal="left" vertical="top" wrapText="1"/>
      <protection locked="0"/>
    </xf>
    <xf numFmtId="0" fontId="97" fillId="3" borderId="12" xfId="0" applyFont="1" applyFill="1" applyBorder="1" applyAlignment="1" applyProtection="1">
      <alignment horizontal="left" vertical="top" wrapText="1"/>
      <protection locked="0"/>
    </xf>
    <xf numFmtId="0" fontId="97" fillId="3" borderId="16" xfId="0" applyFont="1" applyFill="1" applyBorder="1" applyAlignment="1" applyProtection="1">
      <alignment horizontal="left" vertical="top" wrapText="1"/>
      <protection locked="0"/>
    </xf>
    <xf numFmtId="0" fontId="97" fillId="3" borderId="8" xfId="0" applyFont="1" applyFill="1" applyBorder="1" applyAlignment="1" applyProtection="1">
      <alignment horizontal="left" vertical="top" wrapText="1"/>
      <protection locked="0"/>
    </xf>
    <xf numFmtId="0" fontId="97" fillId="3" borderId="0" xfId="0" applyFont="1" applyFill="1" applyAlignment="1" applyProtection="1">
      <alignment horizontal="left" vertical="top" wrapText="1"/>
      <protection locked="0"/>
    </xf>
    <xf numFmtId="0" fontId="97" fillId="3" borderId="7" xfId="0" applyFont="1" applyFill="1" applyBorder="1" applyAlignment="1" applyProtection="1">
      <alignment horizontal="left" vertical="top" wrapText="1"/>
      <protection locked="0"/>
    </xf>
    <xf numFmtId="0" fontId="97" fillId="3" borderId="5" xfId="0" applyFont="1" applyFill="1" applyBorder="1" applyAlignment="1" applyProtection="1">
      <alignment horizontal="left" vertical="top" wrapText="1"/>
      <protection locked="0"/>
    </xf>
    <xf numFmtId="0" fontId="97" fillId="3" borderId="6" xfId="0" applyFont="1" applyFill="1" applyBorder="1" applyAlignment="1" applyProtection="1">
      <alignment horizontal="left" vertical="top" wrapText="1"/>
      <protection locked="0"/>
    </xf>
    <xf numFmtId="0" fontId="97" fillId="3" borderId="15" xfId="0" applyFont="1" applyFill="1" applyBorder="1" applyAlignment="1" applyProtection="1">
      <alignment horizontal="left" vertical="top" wrapText="1"/>
      <protection locked="0"/>
    </xf>
    <xf numFmtId="0" fontId="17" fillId="0" borderId="0" xfId="0" applyFont="1" applyAlignment="1">
      <alignment vertical="center" wrapText="1"/>
    </xf>
    <xf numFmtId="0" fontId="84" fillId="5" borderId="6" xfId="1" applyFont="1" applyFill="1" applyBorder="1" applyAlignment="1" applyProtection="1">
      <alignment horizontal="center" vertical="center" wrapText="1"/>
      <protection locked="0"/>
    </xf>
    <xf numFmtId="0" fontId="17" fillId="29" borderId="0" xfId="0" applyFont="1" applyFill="1" applyAlignment="1">
      <alignment horizontal="left"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64" fillId="6" borderId="3" xfId="0" applyFont="1" applyFill="1" applyBorder="1" applyAlignment="1" applyProtection="1">
      <alignment wrapText="1"/>
      <protection locked="0"/>
    </xf>
    <xf numFmtId="0" fontId="63" fillId="25" borderId="0" xfId="0" applyFont="1" applyFill="1" applyAlignment="1">
      <alignment horizontal="center" vertical="center" wrapText="1"/>
    </xf>
    <xf numFmtId="0" fontId="63" fillId="25" borderId="7" xfId="0" applyFont="1" applyFill="1" applyBorder="1" applyAlignment="1">
      <alignment horizontal="center" vertical="center" wrapText="1"/>
    </xf>
    <xf numFmtId="0" fontId="69" fillId="0" borderId="0" xfId="0" applyFont="1" applyAlignment="1">
      <alignment horizontal="center" vertical="center"/>
    </xf>
    <xf numFmtId="0" fontId="17" fillId="3" borderId="0" xfId="0" applyFont="1" applyFill="1" applyAlignment="1" applyProtection="1">
      <alignment horizontal="left" vertical="top" wrapText="1"/>
      <protection locked="0"/>
    </xf>
    <xf numFmtId="0" fontId="64" fillId="3" borderId="0" xfId="0" applyFont="1" applyFill="1" applyAlignment="1" applyProtection="1">
      <alignment horizontal="center" vertical="center"/>
      <protection locked="0"/>
    </xf>
    <xf numFmtId="49" fontId="92" fillId="12" borderId="14" xfId="0" applyNumberFormat="1" applyFont="1" applyFill="1" applyBorder="1" applyAlignment="1" applyProtection="1">
      <alignment horizontal="left" vertical="center" wrapText="1"/>
      <protection locked="0"/>
    </xf>
    <xf numFmtId="49" fontId="92" fillId="12" borderId="12" xfId="0" applyNumberFormat="1" applyFont="1" applyFill="1" applyBorder="1" applyAlignment="1" applyProtection="1">
      <alignment horizontal="left" vertical="center" wrapText="1"/>
      <protection locked="0"/>
    </xf>
    <xf numFmtId="49" fontId="92" fillId="12" borderId="8" xfId="0" applyNumberFormat="1" applyFont="1" applyFill="1" applyBorder="1" applyAlignment="1" applyProtection="1">
      <alignment horizontal="left" vertical="center" wrapText="1"/>
      <protection locked="0"/>
    </xf>
    <xf numFmtId="49" fontId="92" fillId="12" borderId="0" xfId="0" applyNumberFormat="1" applyFont="1" applyFill="1" applyAlignment="1" applyProtection="1">
      <alignment horizontal="left" vertical="center" wrapText="1"/>
      <protection locked="0"/>
    </xf>
    <xf numFmtId="0" fontId="87" fillId="26" borderId="10" xfId="0" applyFont="1" applyFill="1" applyBorder="1" applyAlignment="1">
      <alignment horizontal="left" vertical="center" wrapText="1"/>
    </xf>
    <xf numFmtId="0" fontId="0" fillId="0" borderId="11" xfId="0"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15" xfId="0" applyBorder="1" applyAlignment="1">
      <alignment horizontal="left" vertical="top" wrapText="1"/>
    </xf>
    <xf numFmtId="49" fontId="87"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7" fillId="23" borderId="2" xfId="0" applyFont="1" applyFill="1" applyBorder="1" applyAlignment="1">
      <alignment horizontal="left" vertical="center" wrapText="1"/>
    </xf>
    <xf numFmtId="0" fontId="87" fillId="23" borderId="4" xfId="0" applyFont="1" applyFill="1" applyBorder="1" applyAlignment="1">
      <alignment horizontal="left" vertical="center" wrapText="1"/>
    </xf>
    <xf numFmtId="0" fontId="65" fillId="2" borderId="1" xfId="0" applyFont="1" applyFill="1" applyBorder="1" applyAlignment="1">
      <alignment vertical="center" wrapText="1"/>
    </xf>
    <xf numFmtId="0" fontId="83" fillId="24" borderId="0" xfId="0" applyFont="1" applyFill="1" applyAlignment="1">
      <alignment horizontal="left" vertical="center"/>
    </xf>
    <xf numFmtId="0" fontId="89" fillId="0" borderId="8" xfId="0" applyFont="1" applyBorder="1" applyAlignment="1">
      <alignment horizontal="left" vertical="center" wrapText="1"/>
    </xf>
    <xf numFmtId="0" fontId="89" fillId="0" borderId="0" xfId="0" applyFont="1" applyAlignment="1">
      <alignment horizontal="left" vertical="center" wrapText="1"/>
    </xf>
    <xf numFmtId="0" fontId="89" fillId="0" borderId="7" xfId="0" applyFont="1" applyBorder="1" applyAlignment="1">
      <alignment horizontal="left" vertical="center" wrapText="1"/>
    </xf>
    <xf numFmtId="0" fontId="63" fillId="25" borderId="0" xfId="0" applyFont="1" applyFill="1" applyAlignment="1">
      <alignment horizontal="center" vertical="center"/>
    </xf>
    <xf numFmtId="0" fontId="87" fillId="3" borderId="1" xfId="0" applyFont="1" applyFill="1" applyBorder="1" applyAlignment="1" applyProtection="1">
      <alignment horizontal="left" vertical="top" wrapText="1"/>
      <protection locked="0"/>
    </xf>
    <xf numFmtId="0" fontId="117" fillId="22" borderId="8" xfId="0" applyFont="1" applyFill="1" applyBorder="1" applyAlignment="1">
      <alignment horizontal="center" vertical="center"/>
    </xf>
    <xf numFmtId="0" fontId="117" fillId="22" borderId="0" xfId="0" applyFont="1" applyFill="1" applyAlignment="1">
      <alignment horizontal="center" vertical="center"/>
    </xf>
    <xf numFmtId="0" fontId="117" fillId="22" borderId="7" xfId="0" applyFont="1" applyFill="1" applyBorder="1" applyAlignment="1">
      <alignment horizontal="center" vertical="center"/>
    </xf>
    <xf numFmtId="0" fontId="84" fillId="5" borderId="6" xfId="1" applyFont="1" applyFill="1" applyBorder="1" applyAlignment="1" applyProtection="1">
      <alignment vertical="center" wrapText="1"/>
      <protection locked="0"/>
    </xf>
    <xf numFmtId="0" fontId="84" fillId="5" borderId="15" xfId="1" applyFont="1" applyFill="1" applyBorder="1" applyAlignment="1" applyProtection="1">
      <alignment vertical="center" wrapText="1"/>
      <protection locked="0"/>
    </xf>
    <xf numFmtId="0" fontId="100" fillId="0" borderId="2" xfId="0" applyFont="1" applyBorder="1" applyAlignment="1">
      <alignment vertical="center" wrapText="1"/>
    </xf>
    <xf numFmtId="0" fontId="100" fillId="0" borderId="3" xfId="0" applyFont="1" applyBorder="1" applyAlignment="1">
      <alignment vertical="center"/>
    </xf>
    <xf numFmtId="0" fontId="84" fillId="5" borderId="0" xfId="1" applyFont="1" applyFill="1" applyAlignment="1" applyProtection="1">
      <alignment vertical="center" wrapText="1"/>
      <protection locked="0"/>
    </xf>
    <xf numFmtId="0" fontId="87" fillId="7" borderId="2" xfId="0" applyFont="1" applyFill="1" applyBorder="1" applyAlignment="1">
      <alignment horizontal="left" vertical="center" wrapText="1"/>
    </xf>
    <xf numFmtId="0" fontId="87" fillId="7" borderId="4" xfId="0" applyFont="1" applyFill="1" applyBorder="1" applyAlignment="1">
      <alignment horizontal="left" vertical="center" wrapText="1"/>
    </xf>
    <xf numFmtId="0" fontId="87" fillId="26" borderId="0" xfId="0" applyFont="1" applyFill="1" applyAlignment="1">
      <alignment horizontal="left" vertical="center" wrapText="1"/>
    </xf>
    <xf numFmtId="0" fontId="87" fillId="26" borderId="0" xfId="0" applyFont="1" applyFill="1" applyAlignment="1" applyProtection="1">
      <alignment horizontal="center" vertical="center"/>
      <protection locked="0"/>
    </xf>
    <xf numFmtId="0" fontId="88" fillId="26" borderId="2" xfId="0" applyFont="1" applyFill="1" applyBorder="1" applyAlignment="1">
      <alignment vertical="center" wrapText="1"/>
    </xf>
    <xf numFmtId="0" fontId="88" fillId="26" borderId="4" xfId="0" applyFont="1" applyFill="1" applyBorder="1" applyAlignment="1">
      <alignment vertical="center" wrapText="1"/>
    </xf>
    <xf numFmtId="0" fontId="64" fillId="3" borderId="14" xfId="0" applyFont="1" applyFill="1" applyBorder="1" applyAlignment="1" applyProtection="1">
      <alignment horizontal="left" vertical="top" wrapText="1"/>
      <protection locked="0"/>
    </xf>
    <xf numFmtId="0" fontId="64" fillId="3" borderId="12" xfId="0" applyFont="1" applyFill="1" applyBorder="1" applyAlignment="1" applyProtection="1">
      <alignment horizontal="left" vertical="top" wrapText="1"/>
      <protection locked="0"/>
    </xf>
    <xf numFmtId="0" fontId="64" fillId="3" borderId="16" xfId="0" applyFont="1" applyFill="1" applyBorder="1" applyAlignment="1" applyProtection="1">
      <alignment horizontal="left" vertical="top" wrapText="1"/>
      <protection locked="0"/>
    </xf>
    <xf numFmtId="0" fontId="64" fillId="3" borderId="5" xfId="0" applyFont="1" applyFill="1" applyBorder="1" applyAlignment="1" applyProtection="1">
      <alignment horizontal="left" vertical="top" wrapText="1"/>
      <protection locked="0"/>
    </xf>
    <xf numFmtId="0" fontId="64" fillId="3" borderId="6" xfId="0" applyFont="1" applyFill="1" applyBorder="1" applyAlignment="1" applyProtection="1">
      <alignment horizontal="left" vertical="top" wrapText="1"/>
      <protection locked="0"/>
    </xf>
    <xf numFmtId="0" fontId="64" fillId="3" borderId="15" xfId="0" applyFont="1" applyFill="1" applyBorder="1" applyAlignment="1" applyProtection="1">
      <alignment horizontal="left" vertical="top" wrapText="1"/>
      <protection locked="0"/>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64" fillId="3" borderId="10" xfId="0" applyFont="1" applyFill="1" applyBorder="1" applyAlignment="1" applyProtection="1">
      <alignment horizontal="center" vertical="center"/>
      <protection locked="0"/>
    </xf>
    <xf numFmtId="0" fontId="64" fillId="3" borderId="11" xfId="0" applyFont="1" applyFill="1" applyBorder="1" applyAlignment="1" applyProtection="1">
      <alignment horizontal="center" vertical="center"/>
      <protection locked="0"/>
    </xf>
    <xf numFmtId="0" fontId="87" fillId="26" borderId="11" xfId="0" applyFont="1" applyFill="1" applyBorder="1" applyAlignment="1">
      <alignment horizontal="left" vertical="center" wrapText="1"/>
    </xf>
    <xf numFmtId="0" fontId="0" fillId="3" borderId="14"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17" fillId="0" borderId="14" xfId="0" applyFont="1" applyBorder="1" applyAlignment="1">
      <alignment vertical="center" wrapText="1"/>
    </xf>
    <xf numFmtId="0" fontId="17" fillId="0" borderId="12" xfId="0" applyFont="1" applyBorder="1" applyAlignment="1">
      <alignment vertical="center" wrapText="1"/>
    </xf>
    <xf numFmtId="0" fontId="17" fillId="0" borderId="16" xfId="0" applyFont="1" applyBorder="1" applyAlignment="1">
      <alignment vertical="center" wrapText="1"/>
    </xf>
    <xf numFmtId="0" fontId="17" fillId="0" borderId="5" xfId="0" applyFont="1" applyBorder="1" applyAlignment="1">
      <alignment vertical="center" wrapText="1"/>
    </xf>
    <xf numFmtId="0" fontId="17" fillId="0" borderId="6" xfId="0" applyFont="1" applyBorder="1" applyAlignment="1">
      <alignment vertical="center" wrapText="1"/>
    </xf>
    <xf numFmtId="0" fontId="17" fillId="0" borderId="15" xfId="0" applyFont="1" applyBorder="1" applyAlignment="1">
      <alignment vertical="center" wrapText="1"/>
    </xf>
    <xf numFmtId="0" fontId="72" fillId="6" borderId="0" xfId="0" applyFont="1" applyFill="1" applyAlignment="1">
      <alignment horizontal="center" vertical="center" wrapText="1"/>
    </xf>
    <xf numFmtId="0" fontId="40" fillId="6" borderId="0" xfId="0" applyFont="1" applyFill="1" applyAlignment="1">
      <alignment horizontal="center" vertical="center"/>
    </xf>
    <xf numFmtId="0" fontId="87" fillId="3" borderId="14" xfId="0" applyFont="1" applyFill="1" applyBorder="1" applyAlignment="1" applyProtection="1">
      <alignment horizontal="center" vertical="center"/>
      <protection locked="0"/>
    </xf>
    <xf numFmtId="0" fontId="87" fillId="3" borderId="5" xfId="0" applyFont="1" applyFill="1" applyBorder="1" applyAlignment="1" applyProtection="1">
      <alignment horizontal="center" vertical="center"/>
      <protection locked="0"/>
    </xf>
    <xf numFmtId="0" fontId="87" fillId="3" borderId="12" xfId="0" applyFont="1" applyFill="1" applyBorder="1" applyAlignment="1" applyProtection="1">
      <alignment horizontal="center" vertical="center"/>
      <protection locked="0"/>
    </xf>
    <xf numFmtId="0" fontId="24" fillId="0" borderId="1" xfId="0" applyFont="1" applyBorder="1" applyAlignment="1">
      <alignment horizontal="left" vertical="center" wrapText="1"/>
    </xf>
    <xf numFmtId="0" fontId="24" fillId="0" borderId="12" xfId="0" applyFont="1" applyBorder="1" applyAlignment="1">
      <alignment horizontal="left" vertical="center" wrapText="1"/>
    </xf>
    <xf numFmtId="0" fontId="24" fillId="0" borderId="16" xfId="0" applyFont="1" applyBorder="1" applyAlignment="1">
      <alignment horizontal="left" vertical="center" wrapText="1"/>
    </xf>
    <xf numFmtId="0" fontId="24" fillId="3" borderId="14" xfId="0" applyFont="1" applyFill="1" applyBorder="1" applyAlignment="1" applyProtection="1">
      <alignment horizontal="left" vertical="top" wrapText="1"/>
      <protection locked="0"/>
    </xf>
    <xf numFmtId="0" fontId="24" fillId="3" borderId="12" xfId="0" applyFont="1" applyFill="1" applyBorder="1" applyAlignment="1" applyProtection="1">
      <alignment horizontal="left" vertical="top" wrapText="1"/>
      <protection locked="0"/>
    </xf>
    <xf numFmtId="0" fontId="24" fillId="3" borderId="16" xfId="0" applyFont="1" applyFill="1" applyBorder="1" applyAlignment="1" applyProtection="1">
      <alignment horizontal="left" vertical="top" wrapText="1"/>
      <protection locked="0"/>
    </xf>
    <xf numFmtId="0" fontId="87" fillId="3" borderId="8" xfId="0" applyFont="1" applyFill="1" applyBorder="1" applyAlignment="1" applyProtection="1">
      <alignment horizontal="center" vertical="center"/>
      <protection locked="0"/>
    </xf>
    <xf numFmtId="0" fontId="87" fillId="6" borderId="2" xfId="0" applyFont="1" applyFill="1" applyBorder="1" applyAlignment="1">
      <alignment horizontal="left" vertical="center" wrapText="1"/>
    </xf>
    <xf numFmtId="0" fontId="87" fillId="6" borderId="3" xfId="0" applyFont="1" applyFill="1" applyBorder="1" applyAlignment="1">
      <alignment horizontal="left" vertical="center" wrapText="1"/>
    </xf>
    <xf numFmtId="0" fontId="87" fillId="6" borderId="4"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122" fillId="0" borderId="2" xfId="0" applyFont="1" applyBorder="1" applyAlignment="1">
      <alignment horizontal="right" vertical="center" wrapText="1"/>
    </xf>
    <xf numFmtId="0" fontId="122" fillId="0" borderId="4" xfId="0" applyFont="1" applyBorder="1" applyAlignment="1">
      <alignment horizontal="right" vertical="center" wrapText="1"/>
    </xf>
    <xf numFmtId="0" fontId="65" fillId="2" borderId="12" xfId="0" applyFont="1" applyFill="1" applyBorder="1" applyAlignment="1">
      <alignment horizontal="left" vertical="center" indent="2"/>
    </xf>
    <xf numFmtId="0" fontId="65" fillId="2" borderId="16" xfId="0" applyFont="1" applyFill="1" applyBorder="1" applyAlignment="1">
      <alignment horizontal="left" vertical="center" indent="2"/>
    </xf>
    <xf numFmtId="0" fontId="122" fillId="0" borderId="5" xfId="0" applyFont="1" applyBorder="1" applyAlignment="1">
      <alignment horizontal="left" vertical="center" wrapText="1"/>
    </xf>
    <xf numFmtId="0" fontId="122" fillId="0" borderId="6" xfId="0" applyFont="1" applyBorder="1" applyAlignment="1">
      <alignment horizontal="left" vertical="center" wrapText="1"/>
    </xf>
    <xf numFmtId="0" fontId="122" fillId="6" borderId="2" xfId="0" applyFont="1" applyFill="1" applyBorder="1" applyAlignment="1">
      <alignment horizontal="center" vertical="center" wrapText="1"/>
    </xf>
    <xf numFmtId="0" fontId="122" fillId="6" borderId="4" xfId="0" applyFont="1" applyFill="1" applyBorder="1" applyAlignment="1">
      <alignment horizontal="center" vertical="center" wrapText="1"/>
    </xf>
    <xf numFmtId="0" fontId="69" fillId="0" borderId="8" xfId="0" applyFont="1" applyBorder="1" applyAlignment="1">
      <alignment horizontal="left" vertical="center" wrapText="1"/>
    </xf>
    <xf numFmtId="0" fontId="69" fillId="0" borderId="0" xfId="0" applyFont="1" applyAlignment="1">
      <alignment horizontal="left" vertical="center" wrapText="1"/>
    </xf>
    <xf numFmtId="0" fontId="87" fillId="26" borderId="10" xfId="0" applyFont="1" applyFill="1" applyBorder="1" applyAlignment="1" applyProtection="1">
      <alignment vertical="center"/>
      <protection locked="0"/>
    </xf>
    <xf numFmtId="0" fontId="87" fillId="26" borderId="11" xfId="0" applyFont="1" applyFill="1" applyBorder="1" applyAlignment="1" applyProtection="1">
      <alignment vertical="center"/>
      <protection locked="0"/>
    </xf>
    <xf numFmtId="0" fontId="68" fillId="6" borderId="14" xfId="0" applyFont="1" applyFill="1" applyBorder="1" applyAlignment="1">
      <alignment horizontal="right" vertical="center" wrapText="1"/>
    </xf>
    <xf numFmtId="0" fontId="68" fillId="6" borderId="16" xfId="0" applyFont="1" applyFill="1" applyBorder="1" applyAlignment="1">
      <alignment horizontal="right" vertical="center" wrapText="1"/>
    </xf>
    <xf numFmtId="0" fontId="17" fillId="0" borderId="14" xfId="0" applyFont="1" applyBorder="1" applyAlignment="1">
      <alignment horizontal="left" vertical="center" wrapText="1"/>
    </xf>
    <xf numFmtId="0" fontId="17" fillId="0" borderId="12" xfId="0" applyFont="1" applyBorder="1" applyAlignment="1">
      <alignment horizontal="left" vertical="center" wrapText="1"/>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17" fillId="0" borderId="15" xfId="0" applyFont="1" applyBorder="1" applyAlignment="1">
      <alignment horizontal="left" vertical="center" wrapText="1"/>
    </xf>
    <xf numFmtId="0" fontId="87" fillId="0" borderId="2" xfId="0" applyFont="1" applyBorder="1" applyAlignment="1" applyProtection="1">
      <alignment horizontal="left" vertical="top" wrapText="1"/>
      <protection locked="0"/>
    </xf>
    <xf numFmtId="0" fontId="87" fillId="0" borderId="3" xfId="0" applyFont="1" applyBorder="1" applyAlignment="1" applyProtection="1">
      <alignment horizontal="left" vertical="top" wrapText="1"/>
      <protection locked="0"/>
    </xf>
    <xf numFmtId="0" fontId="87" fillId="0" borderId="4" xfId="0" applyFont="1" applyBorder="1" applyAlignment="1" applyProtection="1">
      <alignment horizontal="left" vertical="top" wrapText="1"/>
      <protection locked="0"/>
    </xf>
    <xf numFmtId="0" fontId="88" fillId="0" borderId="2" xfId="0" applyFont="1" applyBorder="1" applyAlignment="1" applyProtection="1">
      <alignment horizontal="left" vertical="center" wrapText="1"/>
      <protection locked="0"/>
    </xf>
    <xf numFmtId="0" fontId="88" fillId="0" borderId="4" xfId="0" applyFont="1" applyBorder="1" applyAlignment="1" applyProtection="1">
      <alignment horizontal="left" vertical="center" wrapText="1"/>
      <protection locked="0"/>
    </xf>
    <xf numFmtId="0" fontId="65" fillId="22" borderId="2" xfId="0" applyFont="1" applyFill="1" applyBorder="1" applyAlignment="1">
      <alignment vertical="center" wrapText="1"/>
    </xf>
    <xf numFmtId="0" fontId="65" fillId="22" borderId="3" xfId="0" applyFont="1" applyFill="1" applyBorder="1" applyAlignment="1">
      <alignment vertical="center"/>
    </xf>
    <xf numFmtId="0" fontId="65" fillId="22" borderId="4" xfId="0" applyFont="1" applyFill="1" applyBorder="1" applyAlignment="1">
      <alignment vertical="center"/>
    </xf>
    <xf numFmtId="0" fontId="109" fillId="24" borderId="0" xfId="0" applyFont="1" applyFill="1" applyAlignment="1">
      <alignment horizontal="left" vertical="center" wrapText="1" indent="1"/>
    </xf>
    <xf numFmtId="0" fontId="65" fillId="24" borderId="0" xfId="0" applyFont="1" applyFill="1" applyAlignment="1">
      <alignment horizontal="left" vertical="center" indent="1"/>
    </xf>
    <xf numFmtId="0" fontId="27" fillId="0" borderId="0" xfId="0" applyFont="1" applyAlignment="1">
      <alignment horizontal="center" vertical="center"/>
    </xf>
    <xf numFmtId="0" fontId="52" fillId="0" borderId="0" xfId="0" applyFont="1" applyAlignment="1">
      <alignment horizontal="center" vertical="center"/>
    </xf>
    <xf numFmtId="0" fontId="82" fillId="24" borderId="0" xfId="0" applyFont="1" applyFill="1" applyAlignment="1">
      <alignment horizontal="center" vertical="center"/>
    </xf>
    <xf numFmtId="0" fontId="82" fillId="24" borderId="7" xfId="0" applyFont="1" applyFill="1" applyBorder="1" applyAlignment="1">
      <alignment horizontal="center" vertical="center"/>
    </xf>
    <xf numFmtId="0" fontId="101" fillId="0" borderId="2" xfId="0" applyFont="1" applyBorder="1" applyAlignment="1" applyProtection="1">
      <alignment vertical="center" wrapText="1"/>
      <protection locked="0"/>
    </xf>
    <xf numFmtId="0" fontId="101" fillId="0" borderId="3" xfId="0" applyFont="1" applyBorder="1" applyAlignment="1" applyProtection="1">
      <alignment vertical="center" wrapText="1"/>
      <protection locked="0"/>
    </xf>
    <xf numFmtId="0" fontId="101" fillId="0" borderId="4" xfId="0" applyFont="1" applyBorder="1" applyAlignment="1" applyProtection="1">
      <alignment vertical="center" wrapText="1"/>
      <protection locked="0"/>
    </xf>
    <xf numFmtId="0" fontId="92" fillId="5" borderId="2" xfId="0" applyFont="1" applyFill="1" applyBorder="1" applyAlignment="1">
      <alignment horizontal="center" vertical="center" wrapText="1"/>
    </xf>
    <xf numFmtId="0" fontId="92" fillId="5" borderId="3" xfId="0" applyFont="1" applyFill="1" applyBorder="1" applyAlignment="1">
      <alignment horizontal="center" vertical="center"/>
    </xf>
    <xf numFmtId="0" fontId="92" fillId="5" borderId="4" xfId="0" applyFont="1" applyFill="1" applyBorder="1" applyAlignment="1">
      <alignment horizontal="center" vertical="center"/>
    </xf>
    <xf numFmtId="0" fontId="72" fillId="3" borderId="3" xfId="0" applyFont="1" applyFill="1" applyBorder="1" applyAlignment="1">
      <alignment horizontal="center" vertical="center"/>
    </xf>
    <xf numFmtId="0" fontId="72" fillId="3"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88" fillId="0" borderId="3" xfId="0" applyFont="1"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83" fillId="24" borderId="0" xfId="0" applyFont="1" applyFill="1" applyAlignment="1">
      <alignment horizontal="left"/>
    </xf>
    <xf numFmtId="0" fontId="83" fillId="24" borderId="7" xfId="0" applyFont="1" applyFill="1" applyBorder="1" applyAlignment="1">
      <alignment horizontal="left"/>
    </xf>
    <xf numFmtId="0" fontId="104" fillId="22" borderId="5" xfId="0" applyFont="1" applyFill="1" applyBorder="1" applyAlignment="1">
      <alignment horizontal="center" vertical="center"/>
    </xf>
    <xf numFmtId="0" fontId="104" fillId="22" borderId="6" xfId="0" applyFont="1" applyFill="1" applyBorder="1" applyAlignment="1">
      <alignment horizontal="center" vertical="center"/>
    </xf>
    <xf numFmtId="0" fontId="104" fillId="22" borderId="15" xfId="0" applyFont="1" applyFill="1" applyBorder="1" applyAlignment="1">
      <alignment horizontal="center" vertical="center"/>
    </xf>
    <xf numFmtId="0" fontId="92" fillId="5" borderId="8" xfId="0" applyFont="1" applyFill="1" applyBorder="1" applyAlignment="1">
      <alignment horizontal="center" vertical="center" wrapText="1"/>
    </xf>
    <xf numFmtId="0" fontId="92" fillId="5" borderId="0" xfId="0" applyFont="1" applyFill="1" applyAlignment="1">
      <alignment horizontal="center" vertical="center" wrapText="1"/>
    </xf>
    <xf numFmtId="0" fontId="92" fillId="5" borderId="7" xfId="0" applyFont="1" applyFill="1" applyBorder="1" applyAlignment="1">
      <alignment horizontal="center" vertical="center" wrapText="1"/>
    </xf>
    <xf numFmtId="0" fontId="65" fillId="22" borderId="2" xfId="0" applyFont="1" applyFill="1" applyBorder="1" applyAlignment="1">
      <alignment horizontal="left" vertical="center" wrapText="1" indent="1"/>
    </xf>
    <xf numFmtId="0" fontId="65" fillId="22" borderId="3" xfId="0" applyFont="1" applyFill="1" applyBorder="1" applyAlignment="1">
      <alignment horizontal="left" vertical="center" indent="1"/>
    </xf>
    <xf numFmtId="0" fontId="65" fillId="22" borderId="4" xfId="0" applyFont="1" applyFill="1" applyBorder="1" applyAlignment="1">
      <alignment horizontal="left" vertical="center" indent="1"/>
    </xf>
    <xf numFmtId="0" fontId="2" fillId="3" borderId="14" xfId="0" applyFont="1" applyFill="1" applyBorder="1"/>
    <xf numFmtId="0" fontId="2" fillId="3" borderId="12" xfId="0" applyFont="1" applyFill="1" applyBorder="1"/>
    <xf numFmtId="0" fontId="2" fillId="3" borderId="16" xfId="0" applyFont="1" applyFill="1" applyBorder="1"/>
    <xf numFmtId="49" fontId="106" fillId="6" borderId="8" xfId="0" applyNumberFormat="1" applyFont="1" applyFill="1" applyBorder="1" applyAlignment="1">
      <alignment horizontal="left" vertical="center" wrapText="1" indent="2"/>
    </xf>
    <xf numFmtId="49" fontId="106" fillId="6" borderId="0" xfId="0" applyNumberFormat="1" applyFont="1" applyFill="1" applyAlignment="1">
      <alignment horizontal="left" vertical="center" wrapText="1" indent="2"/>
    </xf>
    <xf numFmtId="49" fontId="106" fillId="6" borderId="7" xfId="0" applyNumberFormat="1" applyFont="1" applyFill="1" applyBorder="1" applyAlignment="1">
      <alignment horizontal="left" vertical="center" wrapText="1" indent="2"/>
    </xf>
    <xf numFmtId="0" fontId="75" fillId="24" borderId="5" xfId="0" applyFont="1" applyFill="1" applyBorder="1" applyAlignment="1">
      <alignment horizontal="left" vertical="center"/>
    </xf>
    <xf numFmtId="0" fontId="75" fillId="24" borderId="6" xfId="0" applyFont="1" applyFill="1" applyBorder="1" applyAlignment="1">
      <alignment horizontal="left" vertical="center"/>
    </xf>
    <xf numFmtId="0" fontId="63" fillId="24" borderId="6" xfId="0" applyFont="1" applyFill="1" applyBorder="1" applyAlignment="1">
      <alignment horizontal="left" vertical="center"/>
    </xf>
    <xf numFmtId="0" fontId="63" fillId="24" borderId="15" xfId="0" applyFont="1" applyFill="1" applyBorder="1" applyAlignment="1">
      <alignment horizontal="left" vertical="center"/>
    </xf>
    <xf numFmtId="0" fontId="100" fillId="0" borderId="5" xfId="0" applyFont="1" applyBorder="1" applyAlignment="1">
      <alignment horizontal="center" vertical="center"/>
    </xf>
    <xf numFmtId="0" fontId="100" fillId="0" borderId="6" xfId="0" applyFont="1" applyBorder="1" applyAlignment="1">
      <alignment horizontal="center" vertical="center"/>
    </xf>
    <xf numFmtId="0" fontId="100" fillId="0" borderId="15" xfId="0" applyFont="1" applyBorder="1" applyAlignment="1">
      <alignment horizontal="center" vertical="center"/>
    </xf>
    <xf numFmtId="0" fontId="83" fillId="24" borderId="8" xfId="0" applyFont="1" applyFill="1" applyBorder="1" applyAlignment="1">
      <alignment horizontal="center"/>
    </xf>
    <xf numFmtId="0" fontId="83" fillId="24" borderId="0" xfId="0" applyFont="1" applyFill="1" applyAlignment="1">
      <alignment horizontal="center"/>
    </xf>
    <xf numFmtId="0" fontId="65" fillId="22" borderId="14" xfId="0" applyFont="1" applyFill="1" applyBorder="1" applyAlignment="1">
      <alignment horizontal="left" vertical="center" wrapText="1" indent="1"/>
    </xf>
    <xf numFmtId="0" fontId="65" fillId="22" borderId="12" xfId="0" applyFont="1" applyFill="1" applyBorder="1" applyAlignment="1">
      <alignment horizontal="left" vertical="center" indent="1"/>
    </xf>
    <xf numFmtId="0" fontId="65" fillId="22" borderId="16" xfId="0" applyFont="1" applyFill="1" applyBorder="1" applyAlignment="1">
      <alignment horizontal="left" vertical="center" indent="1"/>
    </xf>
    <xf numFmtId="0" fontId="65" fillId="22" borderId="5" xfId="0" applyFont="1" applyFill="1" applyBorder="1" applyAlignment="1">
      <alignment horizontal="left" vertical="center" wrapText="1" indent="1"/>
    </xf>
    <xf numFmtId="0" fontId="65" fillId="22" borderId="6" xfId="0" applyFont="1" applyFill="1" applyBorder="1" applyAlignment="1">
      <alignment horizontal="left" vertical="center" indent="1"/>
    </xf>
    <xf numFmtId="0" fontId="65" fillId="22" borderId="15" xfId="0" applyFont="1" applyFill="1" applyBorder="1" applyAlignment="1">
      <alignment horizontal="left" vertical="center" indent="1"/>
    </xf>
    <xf numFmtId="0" fontId="103" fillId="3" borderId="2" xfId="0" applyFont="1" applyFill="1" applyBorder="1" applyAlignment="1">
      <alignment horizontal="left" vertical="center"/>
    </xf>
    <xf numFmtId="0" fontId="103" fillId="3" borderId="4" xfId="0" applyFont="1" applyFill="1" applyBorder="1" applyAlignment="1">
      <alignment horizontal="left" vertical="center"/>
    </xf>
    <xf numFmtId="0" fontId="96" fillId="6" borderId="0" xfId="0" applyFont="1" applyFill="1"/>
    <xf numFmtId="0" fontId="106" fillId="6" borderId="1" xfId="0" applyFont="1" applyFill="1" applyBorder="1" applyAlignment="1" applyProtection="1">
      <alignment horizontal="left" vertical="center" wrapText="1"/>
      <protection locked="0"/>
    </xf>
    <xf numFmtId="0" fontId="88" fillId="0" borderId="2" xfId="0" applyFont="1" applyBorder="1" applyAlignment="1" applyProtection="1">
      <alignment horizontal="left" vertical="center"/>
      <protection locked="0"/>
    </xf>
    <xf numFmtId="0" fontId="88" fillId="0" borderId="4" xfId="0" applyFont="1" applyBorder="1" applyAlignment="1" applyProtection="1">
      <alignment horizontal="left" vertical="center"/>
      <protection locked="0"/>
    </xf>
    <xf numFmtId="0" fontId="90" fillId="5" borderId="8" xfId="0" applyFont="1" applyFill="1" applyBorder="1" applyAlignment="1">
      <alignment vertical="center" wrapText="1"/>
    </xf>
    <xf numFmtId="0" fontId="90" fillId="5" borderId="0" xfId="0" applyFont="1" applyFill="1" applyAlignment="1">
      <alignment vertical="center"/>
    </xf>
    <xf numFmtId="0" fontId="90" fillId="5" borderId="7" xfId="0" applyFont="1" applyFill="1" applyBorder="1" applyAlignment="1">
      <alignment vertical="center"/>
    </xf>
    <xf numFmtId="0" fontId="101" fillId="0" borderId="3" xfId="0" applyFont="1" applyBorder="1" applyAlignment="1" applyProtection="1">
      <alignment horizontal="left" vertical="center" wrapText="1"/>
      <protection locked="0"/>
    </xf>
    <xf numFmtId="0" fontId="101" fillId="0" borderId="4" xfId="0" applyFont="1" applyBorder="1" applyAlignment="1" applyProtection="1">
      <alignment horizontal="left" vertical="center" wrapText="1"/>
      <protection locked="0"/>
    </xf>
    <xf numFmtId="0" fontId="106" fillId="6" borderId="2" xfId="0" applyFont="1" applyFill="1" applyBorder="1" applyAlignment="1" applyProtection="1">
      <alignment horizontal="left" vertical="center" wrapText="1"/>
      <protection locked="0"/>
    </xf>
    <xf numFmtId="0" fontId="106" fillId="6" borderId="3" xfId="0" applyFont="1" applyFill="1" applyBorder="1" applyAlignment="1" applyProtection="1">
      <alignment horizontal="left" vertical="center" wrapText="1"/>
      <protection locked="0"/>
    </xf>
    <xf numFmtId="0" fontId="106" fillId="6" borderId="4" xfId="0" applyFont="1" applyFill="1" applyBorder="1" applyAlignment="1" applyProtection="1">
      <alignment horizontal="left" vertical="center" wrapText="1"/>
      <protection locked="0"/>
    </xf>
    <xf numFmtId="0" fontId="96" fillId="26" borderId="3" xfId="0" applyFont="1" applyFill="1" applyBorder="1" applyAlignment="1">
      <alignment horizontal="left" vertical="center" wrapText="1"/>
    </xf>
    <xf numFmtId="0" fontId="96" fillId="26" borderId="4" xfId="0" applyFont="1" applyFill="1" applyBorder="1" applyAlignment="1">
      <alignment horizontal="left" vertical="center" wrapText="1"/>
    </xf>
    <xf numFmtId="0" fontId="108" fillId="6" borderId="0" xfId="0" applyFont="1" applyFill="1" applyAlignment="1">
      <alignment horizontal="left"/>
    </xf>
    <xf numFmtId="0" fontId="103" fillId="6" borderId="2" xfId="0" applyFont="1" applyFill="1" applyBorder="1" applyAlignment="1" applyProtection="1">
      <alignment vertical="center" wrapText="1"/>
      <protection locked="0"/>
    </xf>
    <xf numFmtId="0" fontId="103" fillId="6" borderId="3" xfId="0" applyFont="1" applyFill="1" applyBorder="1" applyAlignment="1" applyProtection="1">
      <alignment vertical="center" wrapText="1"/>
      <protection locked="0"/>
    </xf>
    <xf numFmtId="0" fontId="103" fillId="6" borderId="4" xfId="0" applyFont="1" applyFill="1" applyBorder="1" applyAlignment="1" applyProtection="1">
      <alignment vertical="center" wrapText="1"/>
      <protection locked="0"/>
    </xf>
    <xf numFmtId="0" fontId="96" fillId="6" borderId="2" xfId="0" applyFont="1" applyFill="1" applyBorder="1" applyAlignment="1">
      <alignment horizontal="center" vertical="center"/>
    </xf>
    <xf numFmtId="0" fontId="96" fillId="6" borderId="4" xfId="0" applyFont="1" applyFill="1" applyBorder="1" applyAlignment="1">
      <alignment horizontal="center" vertical="center"/>
    </xf>
    <xf numFmtId="0" fontId="112" fillId="5" borderId="0" xfId="0" applyFont="1" applyFill="1" applyAlignment="1">
      <alignment horizontal="left" vertical="center" wrapText="1"/>
    </xf>
    <xf numFmtId="0" fontId="88" fillId="0" borderId="14" xfId="0" applyFont="1" applyBorder="1" applyAlignment="1" applyProtection="1">
      <alignment horizontal="left" vertical="center"/>
      <protection locked="0"/>
    </xf>
    <xf numFmtId="0" fontId="88" fillId="0" borderId="16" xfId="0" applyFont="1" applyBorder="1" applyAlignment="1" applyProtection="1">
      <alignment horizontal="left" vertical="center"/>
      <protection locked="0"/>
    </xf>
    <xf numFmtId="0" fontId="87" fillId="0" borderId="14" xfId="0" applyFont="1" applyBorder="1" applyAlignment="1" applyProtection="1">
      <alignment horizontal="left" vertical="top" wrapText="1"/>
      <protection locked="0"/>
    </xf>
    <xf numFmtId="0" fontId="87" fillId="0" borderId="12" xfId="0" applyFont="1" applyBorder="1" applyAlignment="1" applyProtection="1">
      <alignment horizontal="left" vertical="top" wrapText="1"/>
      <protection locked="0"/>
    </xf>
    <xf numFmtId="0" fontId="87" fillId="0" borderId="16" xfId="0" applyFont="1" applyBorder="1" applyAlignment="1" applyProtection="1">
      <alignment horizontal="left" vertical="top" wrapText="1"/>
      <protection locked="0"/>
    </xf>
    <xf numFmtId="0" fontId="88" fillId="22" borderId="5" xfId="0" applyFont="1" applyFill="1" applyBorder="1" applyAlignment="1">
      <alignment horizontal="center" vertical="center"/>
    </xf>
    <xf numFmtId="0" fontId="88" fillId="22" borderId="6" xfId="0" applyFont="1" applyFill="1" applyBorder="1" applyAlignment="1">
      <alignment horizontal="center" vertical="center"/>
    </xf>
    <xf numFmtId="0" fontId="110" fillId="5" borderId="2" xfId="0" applyFont="1" applyFill="1" applyBorder="1" applyAlignment="1">
      <alignment vertical="center" wrapText="1"/>
    </xf>
    <xf numFmtId="0" fontId="110" fillId="5" borderId="3" xfId="0" applyFont="1" applyFill="1" applyBorder="1" applyAlignment="1">
      <alignment vertical="center"/>
    </xf>
    <xf numFmtId="0" fontId="110" fillId="5" borderId="4" xfId="0" applyFont="1" applyFill="1" applyBorder="1" applyAlignment="1">
      <alignment vertical="center"/>
    </xf>
    <xf numFmtId="0" fontId="66" fillId="24" borderId="5" xfId="0" applyFont="1" applyFill="1" applyBorder="1" applyAlignment="1">
      <alignment horizontal="left" vertical="center" wrapText="1" indent="1"/>
    </xf>
    <xf numFmtId="0" fontId="65" fillId="24" borderId="6" xfId="0" applyFont="1" applyFill="1" applyBorder="1" applyAlignment="1">
      <alignment horizontal="left" vertical="center" indent="1"/>
    </xf>
    <xf numFmtId="0" fontId="65" fillId="24" borderId="15" xfId="0" applyFont="1" applyFill="1" applyBorder="1" applyAlignment="1">
      <alignment horizontal="left" vertical="center" indent="1"/>
    </xf>
    <xf numFmtId="0" fontId="72" fillId="3" borderId="14" xfId="0" applyFont="1" applyFill="1" applyBorder="1" applyAlignment="1">
      <alignment horizontal="center" vertical="center"/>
    </xf>
    <xf numFmtId="0" fontId="72" fillId="3" borderId="12" xfId="0" applyFont="1" applyFill="1" applyBorder="1" applyAlignment="1">
      <alignment horizontal="center" vertical="center"/>
    </xf>
    <xf numFmtId="0" fontId="72" fillId="3" borderId="16" xfId="0" applyFont="1" applyFill="1" applyBorder="1" applyAlignment="1">
      <alignment horizontal="center" vertical="center"/>
    </xf>
    <xf numFmtId="0" fontId="88" fillId="22" borderId="15" xfId="0" applyFont="1" applyFill="1" applyBorder="1" applyAlignment="1">
      <alignment horizontal="center" vertical="center"/>
    </xf>
    <xf numFmtId="0" fontId="0" fillId="0" borderId="0" xfId="0" applyAlignment="1">
      <alignment horizontal="center"/>
    </xf>
    <xf numFmtId="0" fontId="39" fillId="0" borderId="0" xfId="0" applyFont="1" applyAlignment="1">
      <alignment horizontal="center"/>
    </xf>
    <xf numFmtId="0" fontId="26" fillId="0" borderId="0" xfId="0" applyFont="1" applyAlignment="1">
      <alignment horizontal="center"/>
    </xf>
    <xf numFmtId="0" fontId="67" fillId="0" borderId="0" xfId="0" applyFont="1" applyAlignment="1">
      <alignment horizontal="right" vertical="center" wrapText="1"/>
    </xf>
    <xf numFmtId="0" fontId="74" fillId="0" borderId="0" xfId="0" applyFont="1" applyAlignment="1" applyProtection="1">
      <alignment horizontal="left" vertical="top" wrapText="1"/>
      <protection locked="0"/>
    </xf>
    <xf numFmtId="0" fontId="74" fillId="0" borderId="0" xfId="0" applyFont="1" applyAlignment="1" applyProtection="1">
      <alignment vertical="top" wrapText="1"/>
      <protection locked="0"/>
    </xf>
    <xf numFmtId="0" fontId="73" fillId="0" borderId="0" xfId="0" applyFont="1" applyAlignment="1" applyProtection="1">
      <alignment horizontal="center" vertical="center"/>
      <protection locked="0"/>
    </xf>
    <xf numFmtId="0" fontId="67" fillId="0" borderId="0" xfId="0" applyFont="1" applyAlignment="1">
      <alignment horizontal="center" vertical="center" wrapText="1"/>
    </xf>
    <xf numFmtId="0" fontId="71" fillId="0" borderId="0" xfId="0" applyFont="1"/>
    <xf numFmtId="0" fontId="73" fillId="0" borderId="0" xfId="0" applyFont="1" applyAlignment="1" applyProtection="1">
      <alignment horizontal="center" vertical="center" wrapText="1"/>
      <protection locked="0"/>
    </xf>
    <xf numFmtId="0" fontId="62" fillId="0" borderId="0" xfId="0" applyFont="1" applyAlignment="1">
      <alignment horizontal="center" vertical="center" wrapText="1"/>
    </xf>
    <xf numFmtId="1" fontId="73" fillId="0" borderId="0" xfId="0" applyNumberFormat="1" applyFont="1" applyAlignment="1" applyProtection="1">
      <alignment horizontal="center" vertical="center"/>
      <protection locked="0"/>
    </xf>
    <xf numFmtId="1" fontId="73" fillId="0" borderId="0" xfId="0" applyNumberFormat="1" applyFont="1" applyAlignment="1" applyProtection="1">
      <alignment horizontal="center" vertical="center" wrapText="1"/>
      <protection locked="0"/>
    </xf>
    <xf numFmtId="0" fontId="65" fillId="0" borderId="0" xfId="0" applyFont="1" applyAlignment="1">
      <alignment horizontal="center" vertical="center"/>
    </xf>
    <xf numFmtId="0" fontId="3" fillId="0" borderId="0" xfId="0" applyFont="1" applyAlignment="1">
      <alignment horizontal="center" vertical="center"/>
    </xf>
    <xf numFmtId="0" fontId="64" fillId="0" borderId="1" xfId="0" applyFont="1" applyBorder="1" applyAlignment="1">
      <alignment horizontal="center" vertical="center" wrapText="1"/>
    </xf>
    <xf numFmtId="0" fontId="40" fillId="27" borderId="1" xfId="0" applyFont="1" applyFill="1" applyBorder="1" applyAlignment="1">
      <alignment horizontal="center" vertical="center"/>
    </xf>
    <xf numFmtId="0" fontId="69" fillId="28" borderId="1" xfId="0" applyFont="1" applyFill="1" applyBorder="1" applyAlignment="1">
      <alignment horizontal="left" vertical="center" wrapText="1"/>
    </xf>
    <xf numFmtId="0" fontId="64" fillId="0" borderId="0" xfId="0" applyFont="1" applyAlignment="1">
      <alignment horizontal="center" vertical="center" wrapText="1"/>
    </xf>
    <xf numFmtId="0" fontId="56" fillId="21" borderId="2" xfId="0" applyFont="1" applyFill="1" applyBorder="1" applyAlignment="1">
      <alignment horizontal="left" vertical="center" wrapText="1"/>
    </xf>
    <xf numFmtId="0" fontId="56" fillId="21" borderId="3" xfId="0" applyFont="1" applyFill="1" applyBorder="1" applyAlignment="1">
      <alignment horizontal="left" vertical="center"/>
    </xf>
    <xf numFmtId="0" fontId="56"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8" fillId="9" borderId="8" xfId="0" applyFont="1" applyFill="1" applyBorder="1" applyAlignment="1">
      <alignment horizontal="justify" vertical="center" wrapText="1"/>
    </xf>
    <xf numFmtId="0" fontId="25" fillId="9" borderId="0" xfId="0" applyFont="1" applyFill="1" applyAlignment="1">
      <alignment horizontal="justify" vertical="center" wrapText="1"/>
    </xf>
    <xf numFmtId="0" fontId="25" fillId="9" borderId="7" xfId="0" applyFont="1" applyFill="1" applyBorder="1" applyAlignment="1">
      <alignment horizontal="justify" vertical="center" wrapText="1"/>
    </xf>
    <xf numFmtId="0" fontId="59" fillId="9" borderId="8" xfId="0" applyFont="1" applyFill="1" applyBorder="1" applyAlignment="1">
      <alignment horizontal="left" vertical="center" wrapText="1"/>
    </xf>
    <xf numFmtId="0" fontId="59" fillId="9" borderId="0" xfId="0" applyFont="1" applyFill="1" applyAlignment="1">
      <alignment horizontal="left" vertical="center" wrapText="1"/>
    </xf>
    <xf numFmtId="0" fontId="59" fillId="9" borderId="7" xfId="0" applyFont="1" applyFill="1" applyBorder="1" applyAlignment="1">
      <alignment horizontal="left" vertical="center" wrapText="1"/>
    </xf>
    <xf numFmtId="0" fontId="58" fillId="9" borderId="0" xfId="0" applyFont="1" applyFill="1" applyAlignment="1">
      <alignment horizontal="justify" vertical="center" wrapText="1"/>
    </xf>
    <xf numFmtId="0" fontId="58" fillId="9" borderId="7" xfId="0" applyFont="1" applyFill="1" applyBorder="1" applyAlignment="1">
      <alignment horizontal="justify" vertical="center" wrapText="1"/>
    </xf>
    <xf numFmtId="0" fontId="51" fillId="20" borderId="8" xfId="0" applyFont="1" applyFill="1" applyBorder="1" applyAlignment="1">
      <alignment wrapText="1"/>
    </xf>
    <xf numFmtId="0" fontId="51" fillId="20" borderId="0" xfId="0" applyFont="1" applyFill="1" applyAlignment="1">
      <alignment wrapText="1"/>
    </xf>
    <xf numFmtId="0" fontId="51" fillId="20" borderId="7" xfId="0" applyFont="1" applyFill="1" applyBorder="1" applyAlignment="1">
      <alignment wrapText="1"/>
    </xf>
    <xf numFmtId="0" fontId="58" fillId="9" borderId="8" xfId="0" applyFont="1" applyFill="1" applyBorder="1" applyAlignment="1">
      <alignment horizontal="justify" wrapText="1"/>
    </xf>
    <xf numFmtId="0" fontId="58" fillId="9" borderId="0" xfId="0" applyFont="1" applyFill="1" applyAlignment="1">
      <alignment horizontal="justify" wrapText="1"/>
    </xf>
    <xf numFmtId="0" fontId="58" fillId="9" borderId="7" xfId="0" applyFont="1" applyFill="1" applyBorder="1" applyAlignment="1">
      <alignment horizontal="justify" wrapText="1"/>
    </xf>
    <xf numFmtId="0" fontId="58" fillId="9" borderId="5" xfId="0" applyFont="1" applyFill="1" applyBorder="1" applyAlignment="1">
      <alignment horizontal="justify" vertical="center" wrapText="1"/>
    </xf>
    <xf numFmtId="0" fontId="58" fillId="9" borderId="6" xfId="0" applyFont="1" applyFill="1" applyBorder="1" applyAlignment="1">
      <alignment horizontal="justify" vertical="center" wrapText="1"/>
    </xf>
    <xf numFmtId="0" fontId="58" fillId="9" borderId="15" xfId="0" applyFont="1" applyFill="1" applyBorder="1" applyAlignment="1">
      <alignment horizontal="justify" vertical="center" wrapText="1"/>
    </xf>
    <xf numFmtId="0" fontId="60" fillId="20" borderId="8" xfId="0" applyFont="1" applyFill="1" applyBorder="1" applyAlignment="1">
      <alignment wrapText="1"/>
    </xf>
  </cellXfs>
  <cellStyles count="2">
    <cellStyle name="Hyperlink" xfId="1" builtinId="8"/>
    <cellStyle name="Normal" xfId="0" builtinId="0"/>
  </cellStyles>
  <dxfs count="128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0" tint="-0.34998626667073579"/>
        </patternFill>
      </fill>
      <border>
        <left/>
        <right/>
        <top/>
        <bottom/>
        <vertical/>
        <horizontal/>
      </border>
    </dxf>
    <dxf>
      <fill>
        <patternFill>
          <bgColor theme="4" tint="0.79998168889431442"/>
        </patternFill>
      </fill>
    </dxf>
    <dxf>
      <fill>
        <patternFill>
          <bgColor theme="0" tint="-0.34998626667073579"/>
        </patternFill>
      </fill>
      <border>
        <left/>
        <right/>
        <top/>
        <bottom/>
        <vertical/>
        <horizontal/>
      </border>
    </dxf>
    <dxf>
      <fill>
        <patternFill>
          <bgColor theme="4" tint="0.79998168889431442"/>
        </patternFill>
      </fill>
    </dxf>
    <dxf>
      <fill>
        <patternFill>
          <bgColor theme="0" tint="-0.34998626667073579"/>
        </patternFill>
      </fill>
      <border>
        <left/>
        <right/>
        <top/>
        <bottom/>
        <vertical/>
        <horizontal/>
      </border>
    </dxf>
    <dxf>
      <fill>
        <patternFill>
          <bgColor theme="4" tint="0.79998168889431442"/>
        </patternFill>
      </fill>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tint="-0.34998626667073579"/>
        </patternFill>
      </fill>
      <border>
        <left/>
        <right/>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dxf>
    <dxf>
      <fill>
        <patternFill>
          <bgColor rgb="FFFFC7CE"/>
        </patternFill>
      </fill>
    </dxf>
    <dxf>
      <fill>
        <patternFill>
          <bgColor theme="0" tint="-0.34998626667073579"/>
        </patternFill>
      </fill>
      <border>
        <left/>
        <right/>
        <top/>
        <bottom/>
      </border>
    </dxf>
    <dxf>
      <fill>
        <patternFill>
          <bgColor theme="9" tint="0.39994506668294322"/>
        </patternFill>
      </fill>
    </dxf>
    <dxf>
      <fill>
        <patternFill>
          <bgColor theme="0" tint="-0.34998626667073579"/>
        </patternFill>
      </fill>
    </dxf>
    <dxf>
      <fill>
        <patternFill>
          <bgColor theme="9" tint="0.39994506668294322"/>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dxf>
    <dxf>
      <fill>
        <patternFill>
          <bgColor rgb="FFCCFF9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fill>
        <patternFill>
          <bgColor rgb="FFA9D08E"/>
        </patternFill>
      </fill>
      <border>
        <left style="thin">
          <color auto="1"/>
        </left>
        <right/>
        <top/>
        <bottom style="thin">
          <color auto="1"/>
        </bottom>
        <vertical/>
        <horizontal/>
      </border>
    </dxf>
    <dxf>
      <fill>
        <patternFill>
          <bgColor rgb="FFC7A1E3"/>
        </patternFill>
      </fill>
      <border>
        <left/>
        <right/>
        <top/>
        <bottom/>
      </border>
    </dxf>
    <dxf>
      <fill>
        <patternFill>
          <bgColor rgb="FFE2CFF1"/>
        </patternFill>
      </fill>
      <border>
        <left/>
        <right/>
        <top/>
        <bottom/>
        <vertical/>
        <horizontal/>
      </border>
    </dxf>
    <dxf>
      <fill>
        <patternFill>
          <bgColor rgb="FFFDCC2F"/>
        </patternFill>
      </fill>
    </dxf>
    <dxf>
      <fill>
        <patternFill>
          <bgColor rgb="FF76B7DF"/>
        </patternFill>
      </fill>
    </dxf>
    <dxf>
      <fill>
        <patternFill>
          <bgColor rgb="FF76B7DF"/>
        </patternFill>
      </fill>
    </dxf>
    <dxf>
      <fill>
        <patternFill>
          <bgColor rgb="FFFDCC2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DCC2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76B7DF"/>
        </patternFill>
      </fill>
    </dxf>
    <dxf>
      <fill>
        <patternFill>
          <bgColor rgb="FFFDCC2F"/>
        </patternFill>
      </fill>
    </dxf>
    <dxf>
      <font>
        <color rgb="FF002060"/>
      </font>
      <fill>
        <patternFill>
          <bgColor theme="8" tint="0.79998168889431442"/>
        </patternFill>
      </fill>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rgb="FFD0EAB4"/>
        </patternFill>
      </fill>
    </dxf>
    <dxf>
      <fill>
        <patternFill>
          <bgColor rgb="FFFF8B8B"/>
        </patternFill>
      </fill>
    </dxf>
    <dxf>
      <fill>
        <patternFill>
          <bgColor theme="4" tint="0.79998168889431442"/>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FF8B8B"/>
        </patternFill>
      </fill>
    </dxf>
    <dxf>
      <fill>
        <patternFill>
          <bgColor theme="6" tint="0.79998168889431442"/>
        </patternFill>
      </fill>
    </dxf>
    <dxf>
      <fill>
        <patternFill>
          <bgColor rgb="FFD0EAB4"/>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FF8B8B"/>
        </patternFill>
      </fill>
    </dxf>
    <dxf>
      <fill>
        <patternFill>
          <bgColor rgb="FFD0EAB4"/>
        </patternFill>
      </fill>
    </dxf>
    <dxf>
      <fill>
        <patternFill>
          <bgColor theme="6" tint="0.79998168889431442"/>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D0EAB4"/>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92D050"/>
        </patternFill>
      </fill>
    </dxf>
    <dxf>
      <fill>
        <patternFill>
          <bgColor theme="7" tint="0.39994506668294322"/>
        </patternFill>
      </fill>
    </dxf>
    <dxf>
      <fill>
        <patternFill>
          <bgColor rgb="FFFFBDBD"/>
        </patternFill>
      </fill>
    </dxf>
    <dxf>
      <fill>
        <patternFill>
          <bgColor theme="1" tint="0.499984740745262"/>
        </patternFill>
      </fill>
    </dxf>
    <dxf>
      <fill>
        <patternFill>
          <bgColor theme="1" tint="0.499984740745262"/>
        </patternFill>
      </fill>
    </dxf>
    <dxf>
      <fill>
        <patternFill>
          <bgColor rgb="FFFF8B8B"/>
        </patternFill>
      </fill>
    </dxf>
    <dxf>
      <fill>
        <patternFill>
          <bgColor theme="6" tint="0.79998168889431442"/>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CCFF99"/>
      <color rgb="FFF1E8F8"/>
      <color rgb="FFCCCCFF"/>
      <color rgb="FFE1CCF0"/>
      <color rgb="FFC198E0"/>
      <color rgb="FFE2EFDA"/>
      <color rgb="FFA9D08E"/>
      <color rgb="FFFDCC2F"/>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257</xdr:row>
          <xdr:rowOff>66675</xdr:rowOff>
        </xdr:from>
        <xdr:to>
          <xdr:col>1</xdr:col>
          <xdr:colOff>495300</xdr:colOff>
          <xdr:row>257</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262</xdr:row>
          <xdr:rowOff>66675</xdr:rowOff>
        </xdr:from>
        <xdr:to>
          <xdr:col>1</xdr:col>
          <xdr:colOff>495300</xdr:colOff>
          <xdr:row>262</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268</xdr:row>
          <xdr:rowOff>28575</xdr:rowOff>
        </xdr:from>
        <xdr:to>
          <xdr:col>1</xdr:col>
          <xdr:colOff>495300</xdr:colOff>
          <xdr:row>268</xdr:row>
          <xdr:rowOff>257175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274</xdr:row>
          <xdr:rowOff>28575</xdr:rowOff>
        </xdr:from>
        <xdr:to>
          <xdr:col>1</xdr:col>
          <xdr:colOff>523875</xdr:colOff>
          <xdr:row>274</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252</xdr:row>
          <xdr:rowOff>66675</xdr:rowOff>
        </xdr:from>
        <xdr:to>
          <xdr:col>1</xdr:col>
          <xdr:colOff>495300</xdr:colOff>
          <xdr:row>252</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defaultColWidth="9.125" defaultRowHeight="14.25"/>
  <cols>
    <col min="1" max="1" width="3.625" customWidth="1"/>
    <col min="2" max="2" width="28.125" customWidth="1"/>
    <col min="3" max="3" width="15.625" customWidth="1"/>
    <col min="4" max="4" width="9.5" customWidth="1"/>
    <col min="5" max="5" width="10.875" customWidth="1"/>
    <col min="6" max="6" width="45.375" customWidth="1"/>
    <col min="7" max="7" width="9.375" customWidth="1"/>
    <col min="8" max="8" width="15.5" customWidth="1"/>
    <col min="9" max="9" width="14.375" customWidth="1"/>
    <col min="10" max="10" width="12.625" customWidth="1"/>
    <col min="11" max="11" width="12.125" customWidth="1"/>
    <col min="12" max="12" width="14.375" customWidth="1"/>
    <col min="13" max="13" width="28" customWidth="1"/>
    <col min="14" max="14" width="19.375" customWidth="1"/>
    <col min="15" max="15" width="10.875" customWidth="1"/>
    <col min="16" max="16" width="10.5" customWidth="1"/>
    <col min="17" max="17" width="13.375" customWidth="1"/>
    <col min="18" max="18" width="11.375" customWidth="1"/>
  </cols>
  <sheetData>
    <row r="1" spans="1:13" ht="14.45" customHeight="1">
      <c r="C1" s="368" t="s">
        <v>108</v>
      </c>
      <c r="D1" s="368"/>
      <c r="E1" s="368"/>
      <c r="F1" s="368"/>
      <c r="G1" s="12"/>
    </row>
    <row r="2" spans="1:13" ht="14.45" customHeight="1">
      <c r="C2" s="368"/>
      <c r="D2" s="368"/>
      <c r="E2" s="368"/>
      <c r="F2" s="368"/>
      <c r="G2" s="12"/>
    </row>
    <row r="3" spans="1:13" ht="30" customHeight="1">
      <c r="C3" s="369" t="s">
        <v>506</v>
      </c>
      <c r="D3" s="369"/>
      <c r="E3" s="369"/>
      <c r="F3" s="369"/>
      <c r="I3" s="123" t="s">
        <v>109</v>
      </c>
      <c r="J3" s="370" t="s">
        <v>507</v>
      </c>
      <c r="K3" s="370"/>
    </row>
    <row r="4" spans="1:13" ht="15">
      <c r="F4" s="111" t="s">
        <v>110</v>
      </c>
      <c r="J4" t="s">
        <v>111</v>
      </c>
      <c r="K4" t="s">
        <v>112</v>
      </c>
    </row>
    <row r="5" spans="1:13" ht="18">
      <c r="B5" s="132" t="s">
        <v>113</v>
      </c>
      <c r="C5" s="134"/>
      <c r="D5" s="13"/>
      <c r="H5" s="371" t="s">
        <v>114</v>
      </c>
      <c r="I5" s="372"/>
      <c r="J5" s="14" t="s">
        <v>115</v>
      </c>
      <c r="K5" s="14" t="s">
        <v>115</v>
      </c>
    </row>
    <row r="6" spans="1:13" ht="14.45" customHeight="1">
      <c r="B6" s="133" t="s">
        <v>116</v>
      </c>
      <c r="C6" s="373"/>
      <c r="D6" s="373"/>
      <c r="E6" s="373"/>
      <c r="F6" s="373"/>
      <c r="G6" s="15">
        <f>LEN(C6)</f>
        <v>0</v>
      </c>
      <c r="I6" s="121" t="s">
        <v>436</v>
      </c>
      <c r="J6" s="16"/>
      <c r="K6" s="16"/>
      <c r="L6" s="72"/>
    </row>
    <row r="7" spans="1:13" ht="14.45" customHeight="1">
      <c r="C7" s="373"/>
      <c r="D7" s="373"/>
      <c r="E7" s="373"/>
      <c r="F7" s="373"/>
      <c r="G7" s="17"/>
      <c r="I7" s="121" t="s">
        <v>437</v>
      </c>
      <c r="J7" s="16"/>
      <c r="K7" s="18"/>
      <c r="L7" s="121"/>
    </row>
    <row r="8" spans="1:13" ht="18.75" customHeight="1">
      <c r="B8" s="132" t="s">
        <v>137</v>
      </c>
      <c r="C8" s="366"/>
      <c r="D8" s="367"/>
      <c r="E8" s="132" t="s">
        <v>2</v>
      </c>
      <c r="F8" s="82"/>
      <c r="G8" s="19"/>
      <c r="I8" s="121" t="s">
        <v>438</v>
      </c>
      <c r="J8" s="16"/>
      <c r="K8" s="18"/>
    </row>
    <row r="9" spans="1:13" ht="39" customHeight="1">
      <c r="B9" s="359" t="s">
        <v>470</v>
      </c>
      <c r="C9" s="361" t="s">
        <v>473</v>
      </c>
      <c r="D9" s="361"/>
      <c r="E9" s="361"/>
      <c r="F9" s="361"/>
      <c r="G9" s="19"/>
      <c r="I9" s="121"/>
    </row>
    <row r="10" spans="1:13" ht="24.75" customHeight="1">
      <c r="B10" s="360"/>
      <c r="C10" s="361" t="s">
        <v>472</v>
      </c>
      <c r="D10" s="361"/>
      <c r="E10" s="361"/>
      <c r="F10" s="361"/>
      <c r="G10" s="19"/>
      <c r="I10" s="121"/>
    </row>
    <row r="11" spans="1:13" ht="22.5" customHeight="1">
      <c r="B11" s="360"/>
      <c r="C11" s="361" t="s">
        <v>471</v>
      </c>
      <c r="D11" s="361"/>
      <c r="E11" s="361"/>
      <c r="F11" s="361"/>
      <c r="G11" s="19" t="s">
        <v>119</v>
      </c>
      <c r="I11" s="121"/>
    </row>
    <row r="12" spans="1:13" ht="9.75" customHeight="1">
      <c r="F12" s="1"/>
      <c r="G12" s="11"/>
    </row>
    <row r="13" spans="1:13" ht="73.5" customHeight="1">
      <c r="B13" s="322"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23"/>
      <c r="D13" s="323"/>
      <c r="E13" s="323"/>
      <c r="F13" s="324"/>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6">
      <c r="B14" s="362" t="s">
        <v>508</v>
      </c>
      <c r="C14" s="363"/>
      <c r="D14" s="127" t="s">
        <v>392</v>
      </c>
      <c r="E14" s="364" t="s">
        <v>457</v>
      </c>
      <c r="F14" s="365"/>
      <c r="G14" s="86"/>
    </row>
    <row r="15" spans="1:13" ht="15">
      <c r="A15" s="65"/>
      <c r="B15" s="75" t="s">
        <v>462</v>
      </c>
      <c r="C15" s="120"/>
      <c r="D15" s="83"/>
      <c r="E15" s="330"/>
      <c r="F15" s="331"/>
      <c r="G15" s="1"/>
      <c r="H15" s="341"/>
      <c r="I15" s="341"/>
      <c r="J15" s="341"/>
      <c r="K15" s="3"/>
      <c r="L15" s="60"/>
    </row>
    <row r="16" spans="1:13" ht="15" customHeight="1">
      <c r="B16" s="75" t="s">
        <v>463</v>
      </c>
      <c r="C16" s="120"/>
      <c r="D16" s="83"/>
      <c r="E16" s="330"/>
      <c r="F16" s="331"/>
      <c r="G16" s="1"/>
      <c r="H16" s="342"/>
      <c r="I16" s="342"/>
      <c r="J16" s="342"/>
      <c r="K16" s="61"/>
      <c r="L16" s="60"/>
      <c r="M16" t="str">
        <f>IF(L15="Yes","&lt;== Select from drop down","")</f>
        <v/>
      </c>
    </row>
    <row r="17" spans="2:36" ht="15" customHeight="1">
      <c r="B17" s="343" t="s">
        <v>120</v>
      </c>
      <c r="C17" s="344"/>
      <c r="D17" s="344"/>
      <c r="E17" s="344"/>
      <c r="F17" s="345"/>
      <c r="G17" s="1"/>
      <c r="H17" s="74"/>
      <c r="I17" s="87"/>
      <c r="J17" s="88" t="s">
        <v>391</v>
      </c>
      <c r="K17" s="88" t="s">
        <v>509</v>
      </c>
      <c r="L17" s="89" t="s">
        <v>482</v>
      </c>
      <c r="M17" s="126"/>
      <c r="N17" s="90"/>
      <c r="O17" s="19"/>
      <c r="P17" s="19"/>
      <c r="Q17" s="19"/>
      <c r="R17" s="19"/>
      <c r="S17" s="19"/>
      <c r="T17" s="19"/>
      <c r="U17" s="19"/>
    </row>
    <row r="18" spans="2:36" ht="15">
      <c r="B18" s="75" t="s">
        <v>510</v>
      </c>
      <c r="C18" s="33"/>
      <c r="D18" s="83"/>
      <c r="E18" s="330"/>
      <c r="F18" s="331"/>
      <c r="G18" s="1"/>
      <c r="I18" s="19"/>
      <c r="J18" s="19"/>
      <c r="K18" s="91"/>
      <c r="L18" s="91"/>
      <c r="M18" s="19"/>
      <c r="N18" s="19"/>
      <c r="O18" s="19"/>
      <c r="P18" s="19"/>
      <c r="Q18" s="19"/>
      <c r="R18" s="19"/>
      <c r="S18" s="19"/>
      <c r="T18" s="19"/>
      <c r="U18" s="19"/>
    </row>
    <row r="19" spans="2:36" ht="15" customHeight="1">
      <c r="B19" s="346" t="s">
        <v>458</v>
      </c>
      <c r="C19" s="347"/>
      <c r="D19" s="85"/>
      <c r="H19" s="73"/>
      <c r="I19" s="92"/>
      <c r="J19" s="92"/>
      <c r="K19" s="92"/>
      <c r="L19" s="92"/>
      <c r="M19" s="93"/>
      <c r="N19" s="94"/>
      <c r="O19" s="93"/>
      <c r="P19" s="95"/>
      <c r="Q19" s="19"/>
      <c r="R19" s="19"/>
      <c r="S19" s="19"/>
      <c r="T19" s="19"/>
      <c r="U19" s="19"/>
    </row>
    <row r="20" spans="2:36" ht="15" customHeight="1">
      <c r="B20" s="346" t="s">
        <v>459</v>
      </c>
      <c r="C20" s="347"/>
      <c r="D20" s="85"/>
      <c r="H20" s="73"/>
      <c r="I20" s="92"/>
      <c r="J20" s="92"/>
      <c r="K20" s="92"/>
      <c r="L20" s="92"/>
      <c r="M20" s="93"/>
      <c r="N20" s="94"/>
      <c r="O20" s="93"/>
      <c r="P20" s="95"/>
      <c r="Q20" s="19"/>
      <c r="R20" s="19"/>
      <c r="S20" s="19"/>
      <c r="T20" s="19"/>
      <c r="U20" s="19"/>
    </row>
    <row r="21" spans="2:36" ht="15" customHeight="1">
      <c r="B21" s="346" t="s">
        <v>460</v>
      </c>
      <c r="C21" s="347"/>
      <c r="D21" s="85"/>
      <c r="H21" s="73"/>
      <c r="I21" s="92"/>
      <c r="J21" s="92"/>
      <c r="K21" s="92"/>
      <c r="L21" s="92"/>
      <c r="M21" s="93"/>
      <c r="N21" s="94"/>
      <c r="O21" s="93"/>
      <c r="P21" s="95"/>
      <c r="Q21" s="19"/>
      <c r="R21" s="19"/>
      <c r="S21" s="19"/>
      <c r="T21" s="19"/>
      <c r="U21" s="19"/>
    </row>
    <row r="22" spans="2:36" ht="15" customHeight="1">
      <c r="B22" s="346" t="s">
        <v>474</v>
      </c>
      <c r="C22" s="347"/>
      <c r="D22" s="85"/>
      <c r="H22" s="73"/>
      <c r="I22" s="92"/>
      <c r="J22" s="92"/>
      <c r="K22" s="92"/>
      <c r="L22" s="92"/>
      <c r="M22" s="93"/>
      <c r="N22" s="94"/>
      <c r="O22" s="93"/>
      <c r="P22" s="95"/>
      <c r="Q22" s="19"/>
      <c r="R22" s="19"/>
      <c r="S22" s="19"/>
      <c r="T22" s="19"/>
      <c r="U22" s="19"/>
    </row>
    <row r="23" spans="2:36" ht="15" customHeight="1">
      <c r="B23" s="75" t="s">
        <v>461</v>
      </c>
      <c r="C23" s="120"/>
      <c r="D23" s="83"/>
      <c r="E23" s="330"/>
      <c r="F23" s="331"/>
      <c r="H23" s="73"/>
      <c r="I23" s="92"/>
      <c r="J23" s="92"/>
      <c r="K23" s="92"/>
      <c r="L23" s="92"/>
      <c r="M23" s="93"/>
      <c r="N23" s="94"/>
      <c r="O23" s="93"/>
      <c r="P23" s="95"/>
      <c r="Q23" s="19"/>
      <c r="R23" s="19"/>
      <c r="S23" s="19"/>
      <c r="T23" s="19"/>
      <c r="U23" s="19"/>
    </row>
    <row r="24" spans="2:36" ht="25.35" customHeight="1">
      <c r="B24" s="348" t="s">
        <v>121</v>
      </c>
      <c r="C24" s="349"/>
      <c r="D24" s="349"/>
      <c r="E24" s="349"/>
      <c r="F24" s="350"/>
      <c r="I24" s="53"/>
      <c r="J24" s="96" t="s">
        <v>391</v>
      </c>
      <c r="K24" s="96" t="s">
        <v>509</v>
      </c>
      <c r="L24" s="96" t="s">
        <v>119</v>
      </c>
      <c r="M24" s="96" t="s">
        <v>482</v>
      </c>
      <c r="N24" s="64"/>
      <c r="O24" s="98"/>
      <c r="P24" s="98"/>
      <c r="Q24" s="19"/>
      <c r="R24" s="19"/>
      <c r="S24" s="19"/>
      <c r="T24" s="19"/>
      <c r="U24" s="19"/>
      <c r="W24" s="63" t="s">
        <v>299</v>
      </c>
    </row>
    <row r="25" spans="2:36" ht="30" customHeight="1">
      <c r="B25" s="351" t="s">
        <v>440</v>
      </c>
      <c r="C25" s="352"/>
      <c r="D25" s="353" t="s">
        <v>511</v>
      </c>
      <c r="E25" s="354"/>
      <c r="F25" s="355"/>
      <c r="I25" s="53"/>
      <c r="J25" s="53"/>
      <c r="K25" s="53"/>
      <c r="L25" s="53"/>
      <c r="M25" s="53"/>
      <c r="N25" s="97"/>
      <c r="O25" s="98"/>
      <c r="P25" s="98"/>
      <c r="Q25" s="19"/>
      <c r="R25" s="19"/>
      <c r="S25" s="19"/>
      <c r="T25" s="19"/>
      <c r="U25" s="19"/>
    </row>
    <row r="26" spans="2:36" ht="22.5" customHeight="1">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295</v>
      </c>
      <c r="F26" s="114"/>
      <c r="I26" s="99" t="s">
        <v>295</v>
      </c>
      <c r="J26" s="99" t="s">
        <v>411</v>
      </c>
      <c r="K26" s="99" t="s">
        <v>412</v>
      </c>
      <c r="L26" s="99" t="s">
        <v>413</v>
      </c>
      <c r="M26" s="99" t="s">
        <v>414</v>
      </c>
      <c r="N26" s="99" t="s">
        <v>415</v>
      </c>
      <c r="O26" s="99" t="s">
        <v>416</v>
      </c>
      <c r="P26" s="99" t="s">
        <v>417</v>
      </c>
      <c r="Q26" s="99" t="s">
        <v>418</v>
      </c>
      <c r="R26" s="99" t="s">
        <v>419</v>
      </c>
      <c r="S26" s="99" t="s">
        <v>420</v>
      </c>
      <c r="T26" s="100" t="s">
        <v>435</v>
      </c>
      <c r="U26" s="99" t="s">
        <v>421</v>
      </c>
      <c r="V26" s="99" t="s">
        <v>422</v>
      </c>
      <c r="W26" s="99" t="s">
        <v>423</v>
      </c>
      <c r="X26" s="99" t="s">
        <v>425</v>
      </c>
      <c r="Y26" s="99" t="s">
        <v>424</v>
      </c>
      <c r="Z26" s="99" t="s">
        <v>427</v>
      </c>
      <c r="AA26" s="99" t="s">
        <v>426</v>
      </c>
      <c r="AB26" s="99" t="s">
        <v>514</v>
      </c>
      <c r="AC26" s="99" t="s">
        <v>428</v>
      </c>
      <c r="AD26" s="99" t="s">
        <v>429</v>
      </c>
      <c r="AE26" s="99" t="s">
        <v>430</v>
      </c>
      <c r="AF26" s="99" t="s">
        <v>431</v>
      </c>
      <c r="AG26" s="100" t="s">
        <v>432</v>
      </c>
      <c r="AH26" s="99" t="s">
        <v>433</v>
      </c>
      <c r="AI26" s="99" t="s">
        <v>434</v>
      </c>
      <c r="AJ26" s="99" t="s">
        <v>119</v>
      </c>
    </row>
    <row r="27" spans="2:36" ht="18" customHeight="1">
      <c r="B27" s="356" t="s">
        <v>439</v>
      </c>
      <c r="C27" s="357"/>
      <c r="D27" s="83"/>
      <c r="E27" s="330"/>
      <c r="F27" s="331"/>
      <c r="I27" s="358"/>
      <c r="J27" s="358"/>
      <c r="K27" s="358"/>
      <c r="L27" s="358"/>
      <c r="M27" s="53"/>
      <c r="N27" s="97"/>
      <c r="O27" s="98"/>
      <c r="P27" s="98"/>
      <c r="Q27" s="19"/>
      <c r="R27" s="19"/>
      <c r="S27" s="19"/>
      <c r="T27" s="19"/>
      <c r="U27" s="19"/>
    </row>
    <row r="28" spans="2:36" ht="18" customHeight="1">
      <c r="B28" s="75" t="s">
        <v>388</v>
      </c>
      <c r="C28" s="23"/>
      <c r="D28" s="83"/>
      <c r="E28" s="330"/>
      <c r="F28" s="331"/>
      <c r="I28" s="19"/>
      <c r="J28" s="19"/>
      <c r="K28" s="19"/>
      <c r="L28" s="19"/>
      <c r="M28" s="19"/>
      <c r="N28" s="101"/>
      <c r="O28" s="19"/>
      <c r="P28" s="98"/>
      <c r="Q28" s="19"/>
      <c r="R28" s="19"/>
      <c r="S28" s="19"/>
      <c r="T28" s="19"/>
      <c r="U28" s="19"/>
    </row>
    <row r="29" spans="2:36" ht="22.5" customHeight="1">
      <c r="B29" s="75" t="s">
        <v>374</v>
      </c>
      <c r="C29" s="34"/>
      <c r="D29" s="83"/>
      <c r="E29" s="84" t="s">
        <v>295</v>
      </c>
      <c r="F29" s="114"/>
      <c r="I29" s="19" t="s">
        <v>295</v>
      </c>
      <c r="J29" s="19" t="s">
        <v>375</v>
      </c>
      <c r="K29" s="19" t="s">
        <v>376</v>
      </c>
      <c r="L29" s="19" t="s">
        <v>377</v>
      </c>
      <c r="M29" s="69" t="s">
        <v>393</v>
      </c>
      <c r="N29" s="19" t="s">
        <v>378</v>
      </c>
      <c r="O29" s="19" t="s">
        <v>379</v>
      </c>
      <c r="P29" s="19" t="s">
        <v>380</v>
      </c>
      <c r="Q29" s="19" t="s">
        <v>381</v>
      </c>
      <c r="R29" s="19" t="s">
        <v>382</v>
      </c>
      <c r="S29" s="19" t="s">
        <v>383</v>
      </c>
      <c r="T29" s="19" t="s">
        <v>384</v>
      </c>
      <c r="U29" s="19"/>
    </row>
    <row r="30" spans="2:36" ht="22.5" customHeight="1">
      <c r="B30" s="75" t="s">
        <v>385</v>
      </c>
      <c r="C30" s="34"/>
      <c r="D30" s="83"/>
      <c r="E30" s="84" t="s">
        <v>295</v>
      </c>
      <c r="F30" s="114"/>
      <c r="H30" s="66"/>
      <c r="I30" s="99" t="s">
        <v>295</v>
      </c>
      <c r="J30" s="102" t="s">
        <v>386</v>
      </c>
      <c r="K30" s="103" t="s">
        <v>395</v>
      </c>
      <c r="L30" s="103" t="s">
        <v>396</v>
      </c>
      <c r="M30" s="104" t="s">
        <v>397</v>
      </c>
      <c r="N30" s="105" t="s">
        <v>394</v>
      </c>
      <c r="O30" s="93" t="str">
        <f>IF($L$16&gt;=1, "LI Approved?","")</f>
        <v/>
      </c>
      <c r="P30" s="93" t="str">
        <f>IF($L$16&gt;=1, "Assistant MD Approved?","")</f>
        <v/>
      </c>
      <c r="Q30" s="93" t="str">
        <f>IF($L$16&gt;=1, "State Office of EMS Approved?","")</f>
        <v/>
      </c>
      <c r="R30" s="93" t="str">
        <f>IF($L$16&gt;=1, "CoAEMSP Approved?","")</f>
        <v/>
      </c>
      <c r="S30" s="19"/>
      <c r="T30" s="19"/>
      <c r="U30" s="19"/>
    </row>
    <row r="31" spans="2:36" ht="22.35" customHeight="1">
      <c r="B31" s="71" t="s">
        <v>387</v>
      </c>
      <c r="C31" s="34"/>
      <c r="D31" s="83"/>
      <c r="E31" s="330"/>
      <c r="F31" s="331"/>
      <c r="H31" t="str">
        <f>IF(L16&gt;=2, "Location #2:","")</f>
        <v/>
      </c>
      <c r="I31" s="335"/>
      <c r="J31" s="335"/>
      <c r="K31" s="335"/>
      <c r="L31" s="335"/>
      <c r="M31" s="19"/>
      <c r="N31" s="101"/>
      <c r="O31" s="98"/>
      <c r="P31" s="98"/>
      <c r="Q31" s="98"/>
      <c r="R31" s="98"/>
      <c r="S31" s="19"/>
      <c r="T31" s="19"/>
      <c r="U31" s="19"/>
    </row>
    <row r="32" spans="2:36" ht="22.35" customHeight="1">
      <c r="B32" s="71" t="s">
        <v>398</v>
      </c>
      <c r="C32" s="34"/>
      <c r="D32" s="83"/>
      <c r="E32" s="84" t="s">
        <v>295</v>
      </c>
      <c r="F32" s="114"/>
      <c r="I32" s="106" t="s">
        <v>295</v>
      </c>
      <c r="J32" s="106" t="s">
        <v>402</v>
      </c>
      <c r="K32" s="106" t="s">
        <v>406</v>
      </c>
      <c r="L32" s="106" t="s">
        <v>407</v>
      </c>
      <c r="M32" s="88" t="s">
        <v>408</v>
      </c>
      <c r="N32" s="107" t="s">
        <v>409</v>
      </c>
      <c r="O32" s="108" t="s">
        <v>410</v>
      </c>
      <c r="P32" s="109" t="s">
        <v>399</v>
      </c>
      <c r="Q32" s="109" t="s">
        <v>403</v>
      </c>
      <c r="R32" s="109" t="s">
        <v>404</v>
      </c>
      <c r="S32" s="109" t="s">
        <v>400</v>
      </c>
      <c r="T32" s="109" t="s">
        <v>405</v>
      </c>
      <c r="U32" s="109" t="s">
        <v>401</v>
      </c>
      <c r="V32" s="70"/>
      <c r="W32" s="70"/>
    </row>
    <row r="33" spans="2:21" ht="22.35" customHeight="1">
      <c r="B33" s="71" t="s">
        <v>389</v>
      </c>
      <c r="C33" s="34"/>
      <c r="D33" s="83" t="s">
        <v>119</v>
      </c>
      <c r="E33" s="84" t="s">
        <v>119</v>
      </c>
      <c r="F33" s="114"/>
      <c r="I33" s="91"/>
      <c r="J33" s="91"/>
      <c r="K33" s="91"/>
      <c r="L33" s="91"/>
      <c r="M33" s="19"/>
      <c r="N33" s="101"/>
      <c r="O33" s="98"/>
      <c r="P33" s="98"/>
      <c r="Q33" s="98"/>
      <c r="R33" s="98"/>
      <c r="S33" s="19"/>
      <c r="T33" s="19"/>
      <c r="U33" s="19"/>
    </row>
    <row r="34" spans="2:21" ht="15">
      <c r="B34" s="77" t="str">
        <f>IF(LEFT(D25,3)="I.B", "Consortium Agreement", "N/A")</f>
        <v>N/A</v>
      </c>
      <c r="C34" s="34"/>
      <c r="D34" s="83"/>
      <c r="E34" s="330"/>
      <c r="F34" s="331"/>
      <c r="H34" t="str">
        <f>IF(L16&gt;=3, "Location #3:","")</f>
        <v/>
      </c>
      <c r="I34" s="336"/>
      <c r="J34" s="336"/>
      <c r="K34" s="336"/>
      <c r="L34" s="336"/>
      <c r="N34" s="62"/>
      <c r="O34" s="22"/>
      <c r="P34" s="22"/>
      <c r="Q34" s="22"/>
      <c r="R34" s="22"/>
    </row>
    <row r="35" spans="2:21" ht="15">
      <c r="B35" s="77" t="str">
        <f>IF(LEFT(D25,3)="I.B", "Standard I.A Member (at least 1)", "N/A")</f>
        <v>N/A</v>
      </c>
      <c r="C35" s="34"/>
      <c r="D35" s="83"/>
      <c r="E35" s="330"/>
      <c r="F35" s="331"/>
      <c r="H35" t="str">
        <f>IF(L16&gt;=4, "Location #4:","")</f>
        <v/>
      </c>
      <c r="I35" s="336"/>
      <c r="J35" s="336"/>
      <c r="K35" s="336"/>
      <c r="L35" s="336"/>
      <c r="N35" s="62"/>
      <c r="O35" s="22"/>
      <c r="P35" s="22"/>
      <c r="Q35" s="22"/>
      <c r="R35" s="22"/>
    </row>
    <row r="36" spans="2:21" ht="32.25" customHeight="1">
      <c r="B36" s="318" t="str">
        <f>IF(LEFT(D25,3)="I.B", "Consortium Governing Body Minutes 
                         (most recent 3 meetings)", "N/A")</f>
        <v>N/A</v>
      </c>
      <c r="C36" s="319"/>
      <c r="D36" s="83"/>
      <c r="E36" s="330"/>
      <c r="F36" s="331"/>
      <c r="H36" t="str">
        <f>IF(L16&gt;=5, "Location #5:","")</f>
        <v/>
      </c>
      <c r="I36" s="336"/>
      <c r="J36" s="336"/>
      <c r="K36" s="336"/>
      <c r="L36" s="336"/>
      <c r="N36" s="62"/>
      <c r="O36" s="22"/>
      <c r="P36" s="22"/>
      <c r="Q36" s="22"/>
      <c r="R36" s="22"/>
    </row>
    <row r="37" spans="2:21" ht="15">
      <c r="B37" s="77" t="str">
        <f>IF(LEFT(D25,3)="I.B", "Consortium Organizational Chart", "N/A")</f>
        <v>N/A</v>
      </c>
      <c r="C37" s="34"/>
      <c r="D37" s="83"/>
      <c r="E37" s="330"/>
      <c r="F37" s="331"/>
      <c r="H37" t="str">
        <f>IF(L18&gt;=4, "Location #4:","")</f>
        <v/>
      </c>
      <c r="I37" s="336"/>
      <c r="J37" s="336"/>
      <c r="K37" s="336"/>
      <c r="L37" s="336"/>
      <c r="N37" s="62"/>
      <c r="O37" s="22"/>
      <c r="P37" s="22"/>
      <c r="Q37" s="22"/>
      <c r="R37" s="22"/>
    </row>
    <row r="38" spans="2:21" ht="15">
      <c r="B38" s="77" t="str">
        <f>IF(LEFT(D25,3)="I.B", "Corporate Structure Organizational Chart", "N/A")</f>
        <v>N/A</v>
      </c>
      <c r="C38" s="34"/>
      <c r="D38" s="83"/>
      <c r="E38" s="330"/>
      <c r="F38" s="331"/>
      <c r="H38" t="str">
        <f>IF(L18&gt;=5, "Location #5:","")</f>
        <v/>
      </c>
      <c r="I38" s="336"/>
      <c r="J38" s="336"/>
      <c r="K38" s="336"/>
      <c r="L38" s="336"/>
      <c r="N38" s="62"/>
      <c r="O38" s="22"/>
      <c r="P38" s="22"/>
      <c r="Q38" s="22"/>
      <c r="R38" s="22"/>
    </row>
    <row r="39" spans="2:21" ht="25.35" customHeight="1">
      <c r="B39" s="337" t="s">
        <v>373</v>
      </c>
      <c r="C39" s="338"/>
      <c r="D39" s="338"/>
      <c r="E39" s="338"/>
      <c r="F39" s="339"/>
      <c r="H39" t="str">
        <f>IF(L28&gt;=12, "Location #12:","")</f>
        <v/>
      </c>
      <c r="I39" s="340"/>
      <c r="J39" s="340"/>
      <c r="K39" s="340"/>
      <c r="L39" s="340"/>
      <c r="N39" s="62"/>
      <c r="O39" s="22"/>
      <c r="P39" s="22"/>
      <c r="Q39" s="22"/>
      <c r="R39" s="22"/>
    </row>
    <row r="40" spans="2:21" ht="23.25" customHeight="1">
      <c r="B40" s="76" t="s">
        <v>390</v>
      </c>
      <c r="C40" s="54"/>
      <c r="D40" s="83"/>
      <c r="E40" s="330"/>
      <c r="F40" s="331"/>
      <c r="N40" s="24"/>
    </row>
    <row r="41" spans="2:21" ht="15">
      <c r="B41" s="128" t="s">
        <v>464</v>
      </c>
      <c r="C41" s="129"/>
      <c r="D41" s="130"/>
      <c r="E41" s="130"/>
      <c r="F41" s="131"/>
      <c r="N41" s="24"/>
    </row>
    <row r="42" spans="2:21">
      <c r="B42" s="35" t="s">
        <v>183</v>
      </c>
      <c r="C42" s="37"/>
      <c r="D42" s="83"/>
      <c r="E42" s="330"/>
      <c r="F42" s="331"/>
      <c r="N42" s="24"/>
    </row>
    <row r="43" spans="2:21">
      <c r="B43" s="36" t="s">
        <v>453</v>
      </c>
      <c r="C43" s="37"/>
      <c r="D43" s="83"/>
      <c r="E43" s="330"/>
      <c r="F43" s="331"/>
      <c r="N43" s="24"/>
    </row>
    <row r="44" spans="2:21">
      <c r="B44" s="35" t="s">
        <v>122</v>
      </c>
      <c r="C44" s="37" t="s">
        <v>123</v>
      </c>
      <c r="D44" s="83" t="s">
        <v>119</v>
      </c>
      <c r="E44" s="84" t="s">
        <v>119</v>
      </c>
      <c r="F44" s="114"/>
      <c r="N44" s="24"/>
    </row>
    <row r="45" spans="2:21">
      <c r="B45" s="36" t="s">
        <v>124</v>
      </c>
      <c r="C45" s="37" t="s">
        <v>123</v>
      </c>
      <c r="D45" s="83" t="s">
        <v>119</v>
      </c>
      <c r="E45" s="84" t="s">
        <v>119</v>
      </c>
      <c r="F45" s="114"/>
      <c r="N45" s="24"/>
    </row>
    <row r="46" spans="2:21">
      <c r="B46" s="36" t="s">
        <v>372</v>
      </c>
      <c r="C46" s="124" t="s">
        <v>123</v>
      </c>
      <c r="D46" s="83" t="s">
        <v>119</v>
      </c>
      <c r="E46" s="84" t="s">
        <v>119</v>
      </c>
      <c r="F46" s="114"/>
      <c r="N46" s="24"/>
    </row>
    <row r="47" spans="2:21">
      <c r="B47" s="35" t="s">
        <v>448</v>
      </c>
      <c r="C47" s="37" t="s">
        <v>123</v>
      </c>
      <c r="D47" s="83" t="s">
        <v>119</v>
      </c>
      <c r="E47" s="330"/>
      <c r="F47" s="331"/>
      <c r="N47" s="24"/>
    </row>
    <row r="48" spans="2:21" ht="15">
      <c r="B48" s="77" t="s">
        <v>449</v>
      </c>
      <c r="C48" s="37"/>
      <c r="D48" s="83"/>
      <c r="E48" s="330"/>
      <c r="F48" s="331"/>
      <c r="N48" s="24"/>
    </row>
    <row r="49" spans="1:23" ht="15">
      <c r="B49" s="77" t="s">
        <v>451</v>
      </c>
      <c r="C49" s="37"/>
      <c r="D49" s="83"/>
      <c r="E49" s="330"/>
      <c r="F49" s="331"/>
      <c r="N49" s="24"/>
    </row>
    <row r="50" spans="1:23">
      <c r="B50" s="119" t="s">
        <v>465</v>
      </c>
      <c r="C50" s="37"/>
      <c r="D50" s="83"/>
      <c r="E50" s="330"/>
      <c r="F50" s="331"/>
      <c r="N50" s="24"/>
    </row>
    <row r="51" spans="1:23" ht="15">
      <c r="B51" s="77" t="s">
        <v>450</v>
      </c>
      <c r="C51" s="37"/>
      <c r="D51" s="83"/>
      <c r="E51" s="330"/>
      <c r="F51" s="331"/>
      <c r="N51" s="24"/>
    </row>
    <row r="52" spans="1:23" ht="15">
      <c r="B52" s="77" t="s">
        <v>452</v>
      </c>
      <c r="C52" s="37"/>
      <c r="D52" s="83"/>
      <c r="E52" s="330"/>
      <c r="F52" s="331"/>
      <c r="N52" s="24"/>
    </row>
    <row r="53" spans="1:23" ht="15">
      <c r="B53" s="79" t="s">
        <v>455</v>
      </c>
      <c r="C53" s="37"/>
      <c r="D53" s="83"/>
      <c r="E53" s="330"/>
      <c r="F53" s="331"/>
      <c r="N53" s="24"/>
    </row>
    <row r="54" spans="1:23">
      <c r="B54" s="78" t="s">
        <v>454</v>
      </c>
      <c r="C54" s="37"/>
      <c r="D54" s="83"/>
      <c r="E54" s="330"/>
      <c r="F54" s="331"/>
      <c r="N54" s="24"/>
    </row>
    <row r="55" spans="1:23" ht="15">
      <c r="B55" s="80" t="s">
        <v>456</v>
      </c>
      <c r="C55" s="124"/>
      <c r="D55" s="83"/>
      <c r="E55" s="330"/>
      <c r="F55" s="331"/>
      <c r="N55" s="24"/>
    </row>
    <row r="56" spans="1:23" ht="14.25" customHeight="1">
      <c r="K56" s="7"/>
      <c r="L56" s="7"/>
      <c r="M56" s="7"/>
      <c r="N56" s="7"/>
    </row>
    <row r="57" spans="1:23" ht="42" customHeight="1">
      <c r="B57" s="9" t="s">
        <v>125</v>
      </c>
      <c r="D57" s="332"/>
      <c r="E57" s="333"/>
      <c r="F57" s="334"/>
    </row>
    <row r="58" spans="1:23" s="122" customFormat="1" ht="17.25" customHeight="1">
      <c r="A58"/>
      <c r="B58"/>
      <c r="C58"/>
      <c r="D58"/>
      <c r="E58"/>
      <c r="F58"/>
      <c r="H58"/>
      <c r="I58"/>
      <c r="J58"/>
      <c r="K58"/>
      <c r="L58"/>
      <c r="M58"/>
      <c r="N58"/>
    </row>
    <row r="59" spans="1:23" ht="15.75">
      <c r="A59" s="122"/>
      <c r="B59" t="s">
        <v>126</v>
      </c>
      <c r="C59" s="25"/>
      <c r="D59" s="327" t="s">
        <v>295</v>
      </c>
      <c r="E59" s="328"/>
      <c r="F59" s="329"/>
      <c r="I59" s="19" t="s">
        <v>295</v>
      </c>
      <c r="J59" s="19" t="s">
        <v>466</v>
      </c>
      <c r="K59" s="19" t="s">
        <v>348</v>
      </c>
      <c r="L59" s="19" t="s">
        <v>145</v>
      </c>
      <c r="M59" s="19" t="s">
        <v>467</v>
      </c>
      <c r="N59" s="19" t="s">
        <v>503</v>
      </c>
      <c r="O59" s="19" t="s">
        <v>468</v>
      </c>
      <c r="P59" s="19" t="s">
        <v>533</v>
      </c>
      <c r="Q59" s="19" t="s">
        <v>265</v>
      </c>
      <c r="R59" s="19" t="s">
        <v>166</v>
      </c>
      <c r="S59" s="19" t="s">
        <v>367</v>
      </c>
      <c r="T59" s="19" t="s">
        <v>38</v>
      </c>
      <c r="U59" s="19" t="s">
        <v>469</v>
      </c>
      <c r="V59" s="19"/>
      <c r="W59" s="41"/>
    </row>
    <row r="60" spans="1:23">
      <c r="A60" s="122"/>
    </row>
    <row r="61" spans="1:23">
      <c r="A61" s="122"/>
      <c r="B61" s="42" t="s">
        <v>504</v>
      </c>
      <c r="C61" s="43"/>
      <c r="D61" s="43"/>
      <c r="E61" s="43"/>
      <c r="F61" s="44"/>
    </row>
    <row r="62" spans="1:23" s="7" customFormat="1" ht="27" customHeight="1">
      <c r="B62" s="47"/>
      <c r="C62" s="46"/>
      <c r="D62" s="48" t="s">
        <v>505</v>
      </c>
      <c r="E62" s="67"/>
      <c r="F62" s="68"/>
      <c r="H62"/>
      <c r="I62" s="19"/>
      <c r="J62" s="19"/>
      <c r="K62" s="19"/>
      <c r="L62" s="19"/>
      <c r="M62" s="19"/>
      <c r="N62"/>
    </row>
    <row r="63" spans="1:23">
      <c r="B63" s="325"/>
      <c r="C63" s="326"/>
      <c r="D63" s="325"/>
      <c r="E63" s="325"/>
      <c r="F63" s="326"/>
      <c r="I63" s="19" t="s">
        <v>117</v>
      </c>
      <c r="J63" s="19" t="s">
        <v>118</v>
      </c>
      <c r="K63" s="19" t="s">
        <v>447</v>
      </c>
      <c r="L63" s="19" t="s">
        <v>119</v>
      </c>
      <c r="M63" s="24"/>
    </row>
    <row r="64" spans="1:23" ht="15.75">
      <c r="B64" s="20" t="s">
        <v>127</v>
      </c>
      <c r="F64" s="26">
        <f>C5</f>
        <v>0</v>
      </c>
    </row>
    <row r="65" spans="2:6" ht="15" customHeight="1">
      <c r="B65" s="320" t="s">
        <v>128</v>
      </c>
      <c r="C65" s="321"/>
      <c r="D65" s="81" t="s">
        <v>117</v>
      </c>
      <c r="E65" s="21" t="str">
        <f>IF(OR($D65="No",$D65="Pending"),"as of","")</f>
        <v/>
      </c>
      <c r="F65" s="2"/>
    </row>
    <row r="66" spans="2:6" ht="15" customHeight="1">
      <c r="B66" s="320" t="s">
        <v>442</v>
      </c>
      <c r="C66" s="321"/>
      <c r="D66" s="81" t="s">
        <v>117</v>
      </c>
      <c r="E66" s="21" t="str">
        <f t="shared" ref="E66:E70" si="0">IF(OR($D66="No",$D66="Pending"),"as of","")</f>
        <v/>
      </c>
      <c r="F66" s="2"/>
    </row>
    <row r="67" spans="2:6" ht="15" customHeight="1">
      <c r="B67" s="320" t="s">
        <v>443</v>
      </c>
      <c r="C67" s="321"/>
      <c r="D67" s="81" t="s">
        <v>117</v>
      </c>
      <c r="E67" s="21" t="str">
        <f t="shared" si="0"/>
        <v/>
      </c>
      <c r="F67" s="2"/>
    </row>
    <row r="68" spans="2:6" ht="15" customHeight="1">
      <c r="B68" s="320" t="s">
        <v>444</v>
      </c>
      <c r="C68" s="321"/>
      <c r="D68" s="81" t="s">
        <v>119</v>
      </c>
      <c r="E68" s="21" t="str">
        <f t="shared" si="0"/>
        <v/>
      </c>
      <c r="F68" s="2"/>
    </row>
    <row r="69" spans="2:6" ht="15" customHeight="1">
      <c r="B69" s="320" t="s">
        <v>445</v>
      </c>
      <c r="C69" s="321"/>
      <c r="D69" s="81" t="s">
        <v>119</v>
      </c>
      <c r="E69" s="21" t="str">
        <f t="shared" si="0"/>
        <v/>
      </c>
      <c r="F69" s="2"/>
    </row>
    <row r="70" spans="2:6" ht="15" customHeight="1">
      <c r="B70" s="320" t="s">
        <v>446</v>
      </c>
      <c r="C70" s="321"/>
      <c r="D70" s="81" t="s">
        <v>119</v>
      </c>
      <c r="E70" s="21" t="str">
        <f t="shared" si="0"/>
        <v/>
      </c>
      <c r="F70" s="2"/>
    </row>
    <row r="71" spans="2:6" ht="15">
      <c r="B71" s="27"/>
    </row>
    <row r="73" spans="2:6" ht="66.75" customHeight="1">
      <c r="B73" s="322"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23"/>
      <c r="D73" s="323"/>
      <c r="E73" s="323"/>
      <c r="F73" s="324"/>
    </row>
    <row r="75" spans="2:6">
      <c r="E75" t="s">
        <v>129</v>
      </c>
      <c r="F75" s="11" t="s">
        <v>130</v>
      </c>
    </row>
    <row r="76" spans="2:6">
      <c r="B76" t="s">
        <v>131</v>
      </c>
      <c r="E76" s="28"/>
      <c r="F76" s="29"/>
    </row>
    <row r="77" spans="2:6">
      <c r="B77" t="s">
        <v>441</v>
      </c>
      <c r="E77" s="28"/>
      <c r="F77" s="29"/>
    </row>
    <row r="79" spans="2:6" ht="15">
      <c r="B79" s="30" t="s">
        <v>132</v>
      </c>
      <c r="D79" s="31" t="s">
        <v>133</v>
      </c>
    </row>
    <row r="80" spans="2:6">
      <c r="D80" s="32" t="s">
        <v>134</v>
      </c>
    </row>
    <row r="81" spans="4:6">
      <c r="D81" s="45" t="s">
        <v>135</v>
      </c>
      <c r="E81" s="45"/>
      <c r="F81" s="45"/>
    </row>
    <row r="82" spans="4:6" ht="15">
      <c r="D82" s="31" t="s">
        <v>136</v>
      </c>
    </row>
  </sheetData>
  <sheetProtection algorithmName="SHA-512" hashValue="4eU8ZzsKmSEtj/GqzcSU2jk7MksIT7TJ/nsaeOzV/im7i2mautq8dA10sZPHJzYC05Uupwm4BWE8Jjxu0Jv+aA==" saltValue="SZgm/ZTNXS35BO80vdFKKg==" spinCount="100000" sheet="1" formatRows="0" selectLockedCells="1"/>
  <mergeCells count="68">
    <mergeCell ref="C8:D8"/>
    <mergeCell ref="C1:F2"/>
    <mergeCell ref="C3:F3"/>
    <mergeCell ref="J3:K3"/>
    <mergeCell ref="H5:I5"/>
    <mergeCell ref="C6:F7"/>
    <mergeCell ref="E18:F18"/>
    <mergeCell ref="B9:B11"/>
    <mergeCell ref="C9:F9"/>
    <mergeCell ref="C10:F10"/>
    <mergeCell ref="C11:F11"/>
    <mergeCell ref="B13:F13"/>
    <mergeCell ref="B14:C14"/>
    <mergeCell ref="E14:F14"/>
    <mergeCell ref="E15:F15"/>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E52:F52"/>
    <mergeCell ref="E53:F53"/>
    <mergeCell ref="E54:F54"/>
    <mergeCell ref="E55:F55"/>
    <mergeCell ref="D57:F57"/>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s>
  <conditionalFormatting sqref="B34:B38">
    <cfRule type="expression" dxfId="1279" priority="36">
      <formula>B34="N/A"</formula>
    </cfRule>
  </conditionalFormatting>
  <conditionalFormatting sqref="B13:F13">
    <cfRule type="expression" dxfId="1278" priority="183">
      <formula>$G$13="1"</formula>
    </cfRule>
  </conditionalFormatting>
  <conditionalFormatting sqref="B73:F73">
    <cfRule type="expression" dxfId="1277" priority="37">
      <formula>$G$13="1"</formula>
    </cfRule>
  </conditionalFormatting>
  <conditionalFormatting sqref="C34:C35">
    <cfRule type="expression" dxfId="1276" priority="321">
      <formula>B34="N/A"</formula>
    </cfRule>
  </conditionalFormatting>
  <conditionalFormatting sqref="C37:C38">
    <cfRule type="expression" dxfId="1275" priority="35">
      <formula>B37="N/A"</formula>
    </cfRule>
  </conditionalFormatting>
  <conditionalFormatting sqref="D33 F33">
    <cfRule type="expression" dxfId="1274" priority="125">
      <formula>OR(AND($D33="N/A",$E33="Please Select"),AND($D33="N/A",$E33="N/A"))</formula>
    </cfRule>
    <cfRule type="expression" dxfId="1273" priority="126">
      <formula>AND($D33="LSSR",$E33&lt;&gt;"Please Select")</formula>
    </cfRule>
  </conditionalFormatting>
  <conditionalFormatting sqref="D34:D36">
    <cfRule type="expression" dxfId="1272" priority="114">
      <formula>B34="N/A"</formula>
    </cfRule>
  </conditionalFormatting>
  <conditionalFormatting sqref="D37:D38">
    <cfRule type="expression" dxfId="1271" priority="3">
      <formula>B37="N/A"</formula>
    </cfRule>
  </conditionalFormatting>
  <conditionalFormatting sqref="D65:D70 F65:F70">
    <cfRule type="expression" dxfId="1270" priority="215">
      <formula>$D65="No"</formula>
    </cfRule>
    <cfRule type="expression" dxfId="1269" priority="216">
      <formula>$D65="Pending"</formula>
    </cfRule>
  </conditionalFormatting>
  <conditionalFormatting sqref="D65:D70">
    <cfRule type="expression" dxfId="1268" priority="217">
      <formula>$D65="Yes"</formula>
    </cfRule>
  </conditionalFormatting>
  <conditionalFormatting sqref="D15:F16">
    <cfRule type="expression" dxfId="1267" priority="177">
      <formula>$D15="LSSR"</formula>
    </cfRule>
    <cfRule type="expression" dxfId="1266" priority="176">
      <formula>$D15="N/A"</formula>
    </cfRule>
    <cfRule type="expression" dxfId="1265" priority="175">
      <formula>$D15="Resubmit"</formula>
    </cfRule>
    <cfRule type="expression" dxfId="1264" priority="178">
      <formula>$D15="Complete"</formula>
    </cfRule>
  </conditionalFormatting>
  <conditionalFormatting sqref="D18:F18">
    <cfRule type="expression" dxfId="1263" priority="171">
      <formula>$D18="Complete"</formula>
    </cfRule>
    <cfRule type="expression" dxfId="1262" priority="169">
      <formula>$D18="N/A"</formula>
    </cfRule>
    <cfRule type="expression" dxfId="1261" priority="168">
      <formula>$D18="Resubmit"</formula>
    </cfRule>
    <cfRule type="expression" dxfId="1260" priority="170">
      <formula>$D18="LSSR"</formula>
    </cfRule>
  </conditionalFormatting>
  <conditionalFormatting sqref="D23:F23">
    <cfRule type="expression" dxfId="1259" priority="163">
      <formula>$D23="LSSR"</formula>
    </cfRule>
    <cfRule type="expression" dxfId="1258" priority="164">
      <formula>$D23="Complete"</formula>
    </cfRule>
    <cfRule type="expression" dxfId="1257" priority="161">
      <formula>$D23="Resubmit"</formula>
    </cfRule>
    <cfRule type="expression" dxfId="1256" priority="162">
      <formula>$D23="N/A"</formula>
    </cfRule>
  </conditionalFormatting>
  <conditionalFormatting sqref="D26:F26">
    <cfRule type="expression" dxfId="1255" priority="218">
      <formula>OR(AND($D26="N/A",$E26="Please Select"),AND($D26="N/A",$E26="N/A"))</formula>
    </cfRule>
    <cfRule type="expression" dxfId="1254" priority="219">
      <formula>AND($D26="LSSR",$E26&lt;&gt;"Please Select")</formula>
    </cfRule>
    <cfRule type="expression" dxfId="1253" priority="220">
      <formula>AND($D26="Complete",$E26&lt;&gt;"Please Select")</formula>
    </cfRule>
  </conditionalFormatting>
  <conditionalFormatting sqref="D26:F36">
    <cfRule type="expression" dxfId="1252" priority="42">
      <formula>$D26="Resubmit"</formula>
    </cfRule>
  </conditionalFormatting>
  <conditionalFormatting sqref="D27:F28">
    <cfRule type="expression" dxfId="1251" priority="148">
      <formula>$D27="LSSR"</formula>
    </cfRule>
    <cfRule type="expression" dxfId="1250" priority="149">
      <formula>$D27="Complete"</formula>
    </cfRule>
    <cfRule type="expression" dxfId="1249" priority="147">
      <formula>$D27="N/A"</formula>
    </cfRule>
  </conditionalFormatting>
  <conditionalFormatting sqref="D29:F30">
    <cfRule type="expression" dxfId="1248" priority="139">
      <formula>OR(AND($D29="N/A",$E29="Please Select"),AND($D29="N/A",$E29="N/A"))</formula>
    </cfRule>
    <cfRule type="expression" dxfId="1247" priority="141">
      <formula>AND($D29="Complete",$E29&lt;&gt;"Please Select")</formula>
    </cfRule>
    <cfRule type="expression" dxfId="1246" priority="140">
      <formula>AND($D29="LSSR",$E29&lt;&gt;"Please Select")</formula>
    </cfRule>
  </conditionalFormatting>
  <conditionalFormatting sqref="D31:F31">
    <cfRule type="expression" dxfId="1245" priority="133">
      <formula>$D31="LSSR"</formula>
    </cfRule>
    <cfRule type="expression" dxfId="1244" priority="134">
      <formula>$D31="Complete"</formula>
    </cfRule>
    <cfRule type="expression" dxfId="1243" priority="132">
      <formula>$D31="N/A"</formula>
    </cfRule>
  </conditionalFormatting>
  <conditionalFormatting sqref="D32:F32">
    <cfRule type="expression" dxfId="1242" priority="130">
      <formula>AND($D32="Complete",$E32&lt;&gt;"Please Select")</formula>
    </cfRule>
    <cfRule type="expression" dxfId="1241" priority="129">
      <formula>AND($D32="LSSR",$E32&lt;&gt;"Please Select")</formula>
    </cfRule>
    <cfRule type="expression" dxfId="1240" priority="128">
      <formula>OR(AND($D32="N/A",$E32="Please Select"),AND($D32="N/A",$E32="N/A"))</formula>
    </cfRule>
  </conditionalFormatting>
  <conditionalFormatting sqref="D33:F33">
    <cfRule type="expression" dxfId="1239" priority="41">
      <formula>AND($D33="Complete",$E33&lt;&gt;"Please Select")</formula>
    </cfRule>
  </conditionalFormatting>
  <conditionalFormatting sqref="D34:F36">
    <cfRule type="expression" dxfId="1238" priority="117">
      <formula>$D34="Complete"</formula>
    </cfRule>
    <cfRule type="expression" dxfId="1237" priority="115">
      <formula>$D34="N/A"</formula>
    </cfRule>
    <cfRule type="expression" dxfId="1236" priority="116">
      <formula>$D34="LSSR"</formula>
    </cfRule>
  </conditionalFormatting>
  <conditionalFormatting sqref="D37:F38">
    <cfRule type="expression" dxfId="1235" priority="4">
      <formula>$D37="N/A"</formula>
    </cfRule>
    <cfRule type="expression" dxfId="1234" priority="5">
      <formula>$D37="LSSR"</formula>
    </cfRule>
    <cfRule type="expression" dxfId="1233" priority="6">
      <formula>$D37="Complete"</formula>
    </cfRule>
    <cfRule type="expression" dxfId="1232" priority="1">
      <formula>$D37="Resubmit"</formula>
    </cfRule>
  </conditionalFormatting>
  <conditionalFormatting sqref="D40:F40">
    <cfRule type="expression" dxfId="1231" priority="106">
      <formula>$D40="N/A"</formula>
    </cfRule>
    <cfRule type="expression" dxfId="1230" priority="107">
      <formula>$D40="LSSR"</formula>
    </cfRule>
    <cfRule type="expression" dxfId="1229" priority="108">
      <formula>$D40="Complete"</formula>
    </cfRule>
    <cfRule type="expression" dxfId="1228" priority="105">
      <formula>$D40="Resubmit"</formula>
    </cfRule>
  </conditionalFormatting>
  <conditionalFormatting sqref="D42:F43">
    <cfRule type="expression" dxfId="1227" priority="94">
      <formula>$D42="Complete"</formula>
    </cfRule>
    <cfRule type="expression" dxfId="1226" priority="93">
      <formula>$D42="LSSR"</formula>
    </cfRule>
    <cfRule type="expression" dxfId="1225" priority="92">
      <formula>$D42="N/A"</formula>
    </cfRule>
  </conditionalFormatting>
  <conditionalFormatting sqref="D42:F55">
    <cfRule type="expression" dxfId="1224" priority="38">
      <formula>$D42="Resubmit"</formula>
    </cfRule>
  </conditionalFormatting>
  <conditionalFormatting sqref="D44:F46">
    <cfRule type="expression" dxfId="1223" priority="199">
      <formula>AND($D44="LSSR",$E44&lt;&gt;"Please Select")</formula>
    </cfRule>
    <cfRule type="expression" dxfId="1222" priority="200">
      <formula>AND($D44="Complete",$E44&lt;&gt;"Please Select")</formula>
    </cfRule>
    <cfRule type="expression" dxfId="1221" priority="198">
      <formula>OR(AND($D44="N/A",$E44="Please Select"),AND($D44="N/A",$E44="N/A"))</formula>
    </cfRule>
  </conditionalFormatting>
  <conditionalFormatting sqref="D47:F52">
    <cfRule type="expression" dxfId="1220" priority="59">
      <formula>$D47="Complete"</formula>
    </cfRule>
    <cfRule type="expression" dxfId="1219" priority="58">
      <formula>$D47="LSSR"</formula>
    </cfRule>
    <cfRule type="expression" dxfId="1218" priority="57">
      <formula>$D47="N/A"</formula>
    </cfRule>
  </conditionalFormatting>
  <conditionalFormatting sqref="D53:F55">
    <cfRule type="expression" dxfId="1217" priority="44">
      <formula>$D53="N/A"</formula>
    </cfRule>
    <cfRule type="expression" dxfId="1216" priority="45">
      <formula>$D53="LSSR"</formula>
    </cfRule>
    <cfRule type="expression" dxfId="1215" priority="46">
      <formula>$D53="Complete"</formula>
    </cfRule>
  </conditionalFormatting>
  <conditionalFormatting sqref="E34:F36">
    <cfRule type="expression" dxfId="1214" priority="113">
      <formula>B34="N/A"</formula>
    </cfRule>
  </conditionalFormatting>
  <conditionalFormatting sqref="E37:F38">
    <cfRule type="expression" dxfId="1213" priority="2">
      <formula>B37="N/A"</formula>
    </cfRule>
  </conditionalFormatting>
  <conditionalFormatting sqref="F12">
    <cfRule type="expression" dxfId="1212" priority="323">
      <formula>#REF!="Not OK"</formula>
    </cfRule>
  </conditionalFormatting>
  <conditionalFormatting sqref="F65:F70">
    <cfRule type="expression" dxfId="1211" priority="320">
      <formula>(OR($D65="No",$D65="Pending"))</formula>
    </cfRule>
  </conditionalFormatting>
  <conditionalFormatting sqref="G15:G18">
    <cfRule type="expression" dxfId="1210" priority="324">
      <formula>#REF!="Not OK"</formula>
    </cfRule>
  </conditionalFormatting>
  <conditionalFormatting sqref="H19:L23">
    <cfRule type="expression" dxfId="1209" priority="188">
      <formula>AND($L$17=$L$16,$L$16&gt;=1)</formula>
    </cfRule>
  </conditionalFormatting>
  <conditionalFormatting sqref="H19:M23">
    <cfRule type="expression" dxfId="1208" priority="191">
      <formula>$L$17-$L$16&gt;=1</formula>
    </cfRule>
  </conditionalFormatting>
  <conditionalFormatting sqref="I24:M24">
    <cfRule type="expression" dxfId="1207" priority="312">
      <formula>$L$17-$L$16&gt;=9</formula>
    </cfRule>
  </conditionalFormatting>
  <conditionalFormatting sqref="I25:M25">
    <cfRule type="expression" dxfId="1206" priority="311">
      <formula>$L$17-$L$16&gt;=10</formula>
    </cfRule>
  </conditionalFormatting>
  <conditionalFormatting sqref="I27:M27">
    <cfRule type="expression" dxfId="1205" priority="310">
      <formula>$L$17-$L$16&gt;=12</formula>
    </cfRule>
  </conditionalFormatting>
  <conditionalFormatting sqref="I31:M33">
    <cfRule type="expression" dxfId="1204" priority="275">
      <formula>$L$16&gt;=2</formula>
    </cfRule>
  </conditionalFormatting>
  <conditionalFormatting sqref="I34:M34">
    <cfRule type="expression" dxfId="1203" priority="274">
      <formula>$L$16&gt;=3</formula>
    </cfRule>
  </conditionalFormatting>
  <conditionalFormatting sqref="I35:M35">
    <cfRule type="expression" dxfId="1202" priority="273">
      <formula>$L$16&gt;=4</formula>
    </cfRule>
  </conditionalFormatting>
  <conditionalFormatting sqref="I36:M36">
    <cfRule type="expression" dxfId="1201" priority="272">
      <formula>$L$16&gt;=5</formula>
    </cfRule>
  </conditionalFormatting>
  <conditionalFormatting sqref="I37:M37">
    <cfRule type="expression" dxfId="1200" priority="26">
      <formula>$L$16&gt;=4</formula>
    </cfRule>
  </conditionalFormatting>
  <conditionalFormatting sqref="I38:M38">
    <cfRule type="expression" dxfId="1199" priority="25">
      <formula>$L$16&gt;=5</formula>
    </cfRule>
  </conditionalFormatting>
  <conditionalFormatting sqref="I39:M39">
    <cfRule type="expression" dxfId="1198" priority="233">
      <formula>$L$16&gt;=12</formula>
    </cfRule>
  </conditionalFormatting>
  <conditionalFormatting sqref="L15">
    <cfRule type="expression" dxfId="1197" priority="328">
      <formula>#REF!="Yes"</formula>
    </cfRule>
  </conditionalFormatting>
  <conditionalFormatting sqref="L16">
    <cfRule type="expression" dxfId="1196" priority="326">
      <formula>L15="Yes"</formula>
    </cfRule>
  </conditionalFormatting>
  <conditionalFormatting sqref="L17">
    <cfRule type="expression" dxfId="1195" priority="327">
      <formula>AND(J14="Yes",L15&lt;&gt;"")</formula>
    </cfRule>
  </conditionalFormatting>
  <conditionalFormatting sqref="M30">
    <cfRule type="expression" dxfId="1194" priority="286">
      <formula>$L$16&gt;=1</formula>
    </cfRule>
  </conditionalFormatting>
  <conditionalFormatting sqref="N19:N23">
    <cfRule type="expression" dxfId="1193" priority="190">
      <formula>$L$17-$L$16&gt;=1</formula>
    </cfRule>
  </conditionalFormatting>
  <conditionalFormatting sqref="N24">
    <cfRule type="expression" dxfId="1192" priority="309">
      <formula>$L$17-$L$16&gt;=9</formula>
    </cfRule>
  </conditionalFormatting>
  <conditionalFormatting sqref="N25">
    <cfRule type="expression" dxfId="1191" priority="308">
      <formula>$L$17-$L$16&gt;=10</formula>
    </cfRule>
  </conditionalFormatting>
  <conditionalFormatting sqref="N27">
    <cfRule type="expression" dxfId="1190" priority="307">
      <formula>$L$17-$L$16&gt;=12</formula>
    </cfRule>
  </conditionalFormatting>
  <conditionalFormatting sqref="N30">
    <cfRule type="expression" dxfId="1189" priority="285">
      <formula>$L$16&gt;=1</formula>
    </cfRule>
  </conditionalFormatting>
  <conditionalFormatting sqref="N31:N33">
    <cfRule type="expression" dxfId="1188" priority="295">
      <formula>$L$16&gt;=2</formula>
    </cfRule>
  </conditionalFormatting>
  <conditionalFormatting sqref="N34">
    <cfRule type="expression" dxfId="1187" priority="294">
      <formula>$L$16&gt;=3</formula>
    </cfRule>
  </conditionalFormatting>
  <conditionalFormatting sqref="N35">
    <cfRule type="expression" dxfId="1186" priority="293">
      <formula>$L$16&gt;=4</formula>
    </cfRule>
  </conditionalFormatting>
  <conditionalFormatting sqref="N36">
    <cfRule type="expression" dxfId="1185" priority="292">
      <formula>$L$16&gt;=5</formula>
    </cfRule>
  </conditionalFormatting>
  <conditionalFormatting sqref="N37">
    <cfRule type="expression" dxfId="1184" priority="32">
      <formula>$L$16&gt;=4</formula>
    </cfRule>
  </conditionalFormatting>
  <conditionalFormatting sqref="N38">
    <cfRule type="expression" dxfId="1183" priority="31">
      <formula>$L$16&gt;=5</formula>
    </cfRule>
  </conditionalFormatting>
  <conditionalFormatting sqref="N39">
    <cfRule type="expression" dxfId="1182" priority="234">
      <formula>$L$16&gt;=12</formula>
    </cfRule>
  </conditionalFormatting>
  <conditionalFormatting sqref="O24">
    <cfRule type="expression" dxfId="1181" priority="261">
      <formula>$O$24="No"</formula>
    </cfRule>
  </conditionalFormatting>
  <conditionalFormatting sqref="O25">
    <cfRule type="expression" dxfId="1180" priority="260">
      <formula>$O$25="No"</formula>
    </cfRule>
  </conditionalFormatting>
  <conditionalFormatting sqref="O27">
    <cfRule type="expression" dxfId="1179" priority="259">
      <formula>$O$27="No"</formula>
    </cfRule>
  </conditionalFormatting>
  <conditionalFormatting sqref="O31:O33 P32:W32">
    <cfRule type="expression" dxfId="1178" priority="291">
      <formula>$O$31="No"</formula>
    </cfRule>
    <cfRule type="expression" dxfId="1177" priority="300">
      <formula>$L$16&gt;=2</formula>
    </cfRule>
  </conditionalFormatting>
  <conditionalFormatting sqref="O34">
    <cfRule type="expression" dxfId="1176" priority="254">
      <formula>$O$34="No"</formula>
    </cfRule>
  </conditionalFormatting>
  <conditionalFormatting sqref="O35">
    <cfRule type="expression" dxfId="1175" priority="253">
      <formula>$O$35="No"</formula>
    </cfRule>
  </conditionalFormatting>
  <conditionalFormatting sqref="O36">
    <cfRule type="expression" dxfId="1174" priority="252">
      <formula>$O$36="No"</formula>
    </cfRule>
  </conditionalFormatting>
  <conditionalFormatting sqref="O37">
    <cfRule type="expression" dxfId="1173" priority="20">
      <formula>$O$35="No"</formula>
    </cfRule>
  </conditionalFormatting>
  <conditionalFormatting sqref="O38">
    <cfRule type="expression" dxfId="1172" priority="19">
      <formula>$O$36="No"</formula>
    </cfRule>
  </conditionalFormatting>
  <conditionalFormatting sqref="O19:P23">
    <cfRule type="expression" dxfId="1171" priority="189">
      <formula>$L$17-$L$16&gt;=1</formula>
    </cfRule>
  </conditionalFormatting>
  <conditionalFormatting sqref="O24:P24">
    <cfRule type="expression" dxfId="1170" priority="303">
      <formula>$L$17-$L$16&gt;=9</formula>
    </cfRule>
  </conditionalFormatting>
  <conditionalFormatting sqref="O25:P25">
    <cfRule type="expression" dxfId="1169" priority="302">
      <formula>$L$17-$L$16&gt;=10</formula>
    </cfRule>
  </conditionalFormatting>
  <conditionalFormatting sqref="O27:P27">
    <cfRule type="expression" dxfId="1168" priority="301">
      <formula>$L$17-$L$16&gt;=12</formula>
    </cfRule>
  </conditionalFormatting>
  <conditionalFormatting sqref="O30:R30">
    <cfRule type="expression" dxfId="1167" priority="281">
      <formula>$L$16&gt;=1</formula>
    </cfRule>
  </conditionalFormatting>
  <conditionalFormatting sqref="O34:R34">
    <cfRule type="expression" dxfId="1166" priority="265">
      <formula>$L$16&gt;=3</formula>
    </cfRule>
  </conditionalFormatting>
  <conditionalFormatting sqref="O35:R35">
    <cfRule type="expression" dxfId="1165" priority="264">
      <formula>$L$16&gt;=4</formula>
    </cfRule>
  </conditionalFormatting>
  <conditionalFormatting sqref="O36:R36">
    <cfRule type="expression" dxfId="1164" priority="263">
      <formula>$L$16&gt;=5</formula>
    </cfRule>
  </conditionalFormatting>
  <conditionalFormatting sqref="O37:R37">
    <cfRule type="expression" dxfId="1163" priority="22">
      <formula>$L$16&gt;=4</formula>
    </cfRule>
  </conditionalFormatting>
  <conditionalFormatting sqref="O38:R38">
    <cfRule type="expression" dxfId="1162" priority="21">
      <formula>$L$16&gt;=5</formula>
    </cfRule>
  </conditionalFormatting>
  <conditionalFormatting sqref="O39:R39">
    <cfRule type="expression" dxfId="1161" priority="236">
      <formula>#REF!="No"</formula>
    </cfRule>
    <cfRule type="expression" dxfId="1160" priority="262">
      <formula>$L$16&gt;=12</formula>
    </cfRule>
  </conditionalFormatting>
  <conditionalFormatting sqref="P24">
    <cfRule type="expression" dxfId="1159" priority="258">
      <formula>$P$24="No"</formula>
    </cfRule>
  </conditionalFormatting>
  <conditionalFormatting sqref="P25">
    <cfRule type="expression" dxfId="1158" priority="257">
      <formula>$P$25="No"</formula>
    </cfRule>
  </conditionalFormatting>
  <conditionalFormatting sqref="P27">
    <cfRule type="expression" dxfId="1157" priority="256">
      <formula>$P$27="No"</formula>
    </cfRule>
  </conditionalFormatting>
  <conditionalFormatting sqref="P31 P33">
    <cfRule type="expression" dxfId="1156" priority="250">
      <formula>$P$31="No"</formula>
    </cfRule>
  </conditionalFormatting>
  <conditionalFormatting sqref="P34">
    <cfRule type="expression" dxfId="1155" priority="249">
      <formula>$P$34="No"</formula>
    </cfRule>
  </conditionalFormatting>
  <conditionalFormatting sqref="P35">
    <cfRule type="expression" dxfId="1154" priority="248">
      <formula>$P$35="No"</formula>
    </cfRule>
  </conditionalFormatting>
  <conditionalFormatting sqref="P36">
    <cfRule type="expression" dxfId="1153" priority="247">
      <formula>$P$36="No"</formula>
    </cfRule>
  </conditionalFormatting>
  <conditionalFormatting sqref="P37">
    <cfRule type="expression" dxfId="1152" priority="18">
      <formula>$P$35="No"</formula>
    </cfRule>
  </conditionalFormatting>
  <conditionalFormatting sqref="P38">
    <cfRule type="expression" dxfId="1151" priority="17">
      <formula>$P$36="No"</formula>
    </cfRule>
  </conditionalFormatting>
  <conditionalFormatting sqref="P31:R31 P33:R33">
    <cfRule type="expression" dxfId="1150" priority="266">
      <formula>$L$16&gt;=2</formula>
    </cfRule>
  </conditionalFormatting>
  <conditionalFormatting sqref="Q31 Q33">
    <cfRule type="expression" dxfId="1149" priority="245">
      <formula>$Q$31="No"</formula>
    </cfRule>
  </conditionalFormatting>
  <conditionalFormatting sqref="Q34">
    <cfRule type="expression" dxfId="1148" priority="244">
      <formula>$Q$34="No"</formula>
    </cfRule>
  </conditionalFormatting>
  <conditionalFormatting sqref="Q35">
    <cfRule type="expression" dxfId="1147" priority="243">
      <formula>$Q$35="No"</formula>
    </cfRule>
  </conditionalFormatting>
  <conditionalFormatting sqref="Q36">
    <cfRule type="expression" dxfId="1146" priority="242">
      <formula>$Q$36="No"</formula>
    </cfRule>
  </conditionalFormatting>
  <conditionalFormatting sqref="Q37">
    <cfRule type="expression" dxfId="1145" priority="16">
      <formula>$Q$35="No"</formula>
    </cfRule>
  </conditionalFormatting>
  <conditionalFormatting sqref="Q38">
    <cfRule type="expression" dxfId="1144" priority="15">
      <formula>$Q$36="No"</formula>
    </cfRule>
  </conditionalFormatting>
  <conditionalFormatting sqref="R31 R33">
    <cfRule type="expression" dxfId="1143" priority="240">
      <formula>$R$31="No"</formula>
    </cfRule>
  </conditionalFormatting>
  <conditionalFormatting sqref="R34">
    <cfRule type="expression" dxfId="1142" priority="239">
      <formula>$R$34="No"</formula>
    </cfRule>
  </conditionalFormatting>
  <conditionalFormatting sqref="R35">
    <cfRule type="expression" dxfId="1141" priority="238">
      <formula>$R$35="No"</formula>
    </cfRule>
  </conditionalFormatting>
  <conditionalFormatting sqref="R36">
    <cfRule type="expression" dxfId="1140" priority="237">
      <formula>$R$36="No"</formula>
    </cfRule>
  </conditionalFormatting>
  <conditionalFormatting sqref="R37">
    <cfRule type="expression" dxfId="1139" priority="14">
      <formula>$R$35="No"</formula>
    </cfRule>
  </conditionalFormatting>
  <conditionalFormatting sqref="R38">
    <cfRule type="expression" dxfId="1138"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71"/>
  <sheetViews>
    <sheetView showGridLines="0" tabSelected="1" zoomScaleNormal="100" workbookViewId="0">
      <selection activeCell="C44" sqref="C44"/>
    </sheetView>
  </sheetViews>
  <sheetFormatPr defaultColWidth="9.125" defaultRowHeight="14.25"/>
  <cols>
    <col min="1" max="1" width="4.625" customWidth="1"/>
    <col min="2" max="2" width="5.875" customWidth="1"/>
    <col min="3" max="3" width="18.125" customWidth="1"/>
    <col min="4" max="4" width="12.625" customWidth="1"/>
    <col min="7" max="7" width="9.5" customWidth="1"/>
    <col min="9" max="10" width="9.125" customWidth="1"/>
    <col min="14" max="14" width="14" customWidth="1"/>
    <col min="15" max="17" width="9.125" style="41"/>
    <col min="18" max="18" width="9.125" style="19"/>
    <col min="19" max="19" width="34" style="19" customWidth="1"/>
    <col min="20" max="21" width="9.125" style="19"/>
    <col min="22" max="24" width="9.125" style="19" customWidth="1"/>
    <col min="25" max="25" width="36.125" style="19" customWidth="1"/>
    <col min="26" max="29" width="9.125" style="19" customWidth="1"/>
    <col min="30" max="30" width="36.125" customWidth="1"/>
    <col min="31" max="34" width="9.125" customWidth="1"/>
    <col min="35" max="35" width="36.125" customWidth="1"/>
    <col min="36" max="74" width="9.125" customWidth="1"/>
  </cols>
  <sheetData>
    <row r="1" spans="1:5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c r="D2" s="381" t="s">
        <v>1</v>
      </c>
      <c r="E2" s="381"/>
      <c r="F2" s="381"/>
      <c r="G2" s="381"/>
      <c r="H2" s="381"/>
      <c r="I2" s="381"/>
      <c r="J2" s="381"/>
      <c r="K2" s="381"/>
      <c r="L2" s="381"/>
      <c r="AD2" s="19"/>
      <c r="AE2" s="19">
        <f>COUNTIF(AF3:AF133, "?*")</f>
        <v>128</v>
      </c>
      <c r="AF2" s="19"/>
      <c r="AG2" s="19"/>
      <c r="AH2" s="19"/>
      <c r="AI2" s="19"/>
      <c r="AJ2" s="19">
        <f>COUNTIF(AK3:AK133, "?*")</f>
        <v>128</v>
      </c>
      <c r="AK2" s="19"/>
      <c r="AL2" s="19"/>
      <c r="AM2" s="19"/>
      <c r="AN2" s="24"/>
      <c r="AO2" s="65"/>
      <c r="AP2" s="65"/>
      <c r="AQ2" s="65"/>
      <c r="AR2" s="65"/>
      <c r="AS2" s="65"/>
      <c r="AT2" s="65"/>
      <c r="AU2" s="65"/>
      <c r="AV2" s="65"/>
      <c r="AW2" s="65"/>
      <c r="AX2" s="65"/>
      <c r="AY2" s="65"/>
      <c r="AZ2" s="65"/>
      <c r="BA2" s="65"/>
      <c r="BB2" s="65"/>
      <c r="BC2" s="65"/>
    </row>
    <row r="3" spans="1:55" ht="43.5" customHeight="1">
      <c r="C3" s="389" t="s">
        <v>520</v>
      </c>
      <c r="D3" s="389"/>
      <c r="E3" s="389"/>
      <c r="F3" s="389"/>
      <c r="G3" s="389"/>
      <c r="H3" s="389"/>
      <c r="I3" s="389"/>
      <c r="J3" s="389"/>
      <c r="K3" s="389"/>
      <c r="L3" s="389"/>
      <c r="M3" s="389"/>
      <c r="N3" s="389"/>
      <c r="AD3" s="19" t="s">
        <v>485</v>
      </c>
      <c r="AE3" s="19" t="str">
        <f ca="1">OFFSET($AF$3,,,COUNTIF($AF$3:$AF$133,"?*"))</f>
        <v>Alex Stadthagen, MS, NRP, LP</v>
      </c>
      <c r="AF3" s="19" t="s">
        <v>485</v>
      </c>
      <c r="AG3" s="19"/>
      <c r="AH3" s="19">
        <f>IF(ISNUMBER(SEARCH($H$27,AI3)), MAX($AH$2:AH2)+1,0)</f>
        <v>1</v>
      </c>
      <c r="AI3" s="19" t="s">
        <v>485</v>
      </c>
      <c r="AJ3" s="19" t="str">
        <f ca="1">OFFSET($AK$3,,,COUNTIF($AK$3:$AK$133,"?*"))</f>
        <v>Alex Stadthagen, MS, NRP, LP</v>
      </c>
      <c r="AK3" s="19" t="s">
        <v>485</v>
      </c>
      <c r="AL3" s="19"/>
      <c r="AM3" s="19"/>
      <c r="AN3" s="24"/>
      <c r="AO3" s="65"/>
      <c r="AP3" s="65"/>
      <c r="AQ3" s="65"/>
      <c r="AR3" s="65"/>
      <c r="AS3" s="65"/>
      <c r="AT3" s="65"/>
      <c r="AU3" s="65"/>
      <c r="AV3" s="65"/>
      <c r="AW3" s="65"/>
      <c r="AX3" s="65"/>
      <c r="AY3" s="65"/>
      <c r="AZ3" s="65"/>
      <c r="BA3" s="65"/>
      <c r="BB3" s="65"/>
      <c r="BC3" s="65"/>
    </row>
    <row r="4" spans="1:55" ht="45">
      <c r="B4" s="382" t="str">
        <f>IF(H10="Seeking the CoAEMSP Letter of Review (LoR)","Preliminary Site Visit Report","Site Visit Report")</f>
        <v>Site Visit Report</v>
      </c>
      <c r="C4" s="382"/>
      <c r="D4" s="382"/>
      <c r="E4" s="382"/>
      <c r="F4" s="382"/>
      <c r="G4" s="382"/>
      <c r="H4" s="382"/>
      <c r="I4" s="382"/>
      <c r="J4" s="382"/>
      <c r="K4" s="382"/>
      <c r="L4" s="382"/>
      <c r="M4" s="382"/>
      <c r="N4" s="382"/>
      <c r="AD4" s="19" t="s">
        <v>21</v>
      </c>
      <c r="AE4" s="19"/>
      <c r="AF4" s="19" t="s">
        <v>21</v>
      </c>
      <c r="AG4" s="19"/>
      <c r="AH4" s="19">
        <f>IF(ISNUMBER(SEARCH($H$27,AI4)), MAX($AH$2:AH3)+1,0)</f>
        <v>2</v>
      </c>
      <c r="AI4" s="19" t="s">
        <v>21</v>
      </c>
      <c r="AJ4" s="19"/>
      <c r="AK4" s="19" t="s">
        <v>21</v>
      </c>
      <c r="AL4" s="19"/>
      <c r="AM4" s="19"/>
      <c r="AN4" s="24"/>
      <c r="AO4" s="65"/>
      <c r="AP4" s="65"/>
      <c r="AQ4" s="65"/>
      <c r="AR4" s="65"/>
      <c r="AS4" s="65"/>
      <c r="AT4" s="65"/>
      <c r="AU4" s="65"/>
      <c r="AV4" s="65"/>
      <c r="AW4" s="65"/>
      <c r="AX4" s="65"/>
      <c r="AY4" s="65"/>
      <c r="AZ4" s="65"/>
      <c r="BA4" s="65"/>
      <c r="BB4" s="65"/>
      <c r="BC4" s="65"/>
    </row>
    <row r="5" spans="1:55" ht="9" hidden="1" customHeight="1">
      <c r="AD5" s="19" t="s">
        <v>138</v>
      </c>
      <c r="AE5" s="19"/>
      <c r="AF5" s="19" t="s">
        <v>138</v>
      </c>
      <c r="AG5" s="19"/>
      <c r="AH5" s="19">
        <f>IF(ISNUMBER(SEARCH($H$27,AI5)), MAX($AH$2:AH4)+1,0)</f>
        <v>3</v>
      </c>
      <c r="AI5" s="19" t="s">
        <v>138</v>
      </c>
      <c r="AJ5" s="19"/>
      <c r="AK5" s="19" t="s">
        <v>138</v>
      </c>
      <c r="AL5" s="19"/>
      <c r="AM5" s="19"/>
      <c r="AN5" s="24"/>
      <c r="AO5" s="65"/>
      <c r="AP5" s="65"/>
      <c r="AQ5" s="65"/>
      <c r="AR5" s="65"/>
      <c r="AS5" s="65"/>
      <c r="AT5" s="65"/>
      <c r="AU5" s="65"/>
      <c r="AV5" s="65"/>
      <c r="AW5" s="65"/>
      <c r="AX5" s="65"/>
      <c r="AY5" s="65"/>
      <c r="AZ5" s="65"/>
      <c r="BA5" s="65"/>
      <c r="BB5" s="65"/>
      <c r="BC5" s="65"/>
    </row>
    <row r="6" spans="1:55" ht="30">
      <c r="B6" s="383" t="s">
        <v>597</v>
      </c>
      <c r="C6" s="383"/>
      <c r="D6" s="383"/>
      <c r="E6" s="383"/>
      <c r="F6" s="383"/>
      <c r="G6" s="383"/>
      <c r="H6" s="383"/>
      <c r="I6" s="383"/>
      <c r="J6" s="383"/>
      <c r="K6" s="383"/>
      <c r="L6" s="383"/>
      <c r="M6" s="383"/>
      <c r="N6" s="383"/>
      <c r="AD6" s="19" t="s">
        <v>22</v>
      </c>
      <c r="AE6" s="19"/>
      <c r="AF6" s="19" t="s">
        <v>22</v>
      </c>
      <c r="AG6" s="19"/>
      <c r="AH6" s="19">
        <f>IF(ISNUMBER(SEARCH($H$27,AI6)), MAX($AH$2:AH5)+1,0)</f>
        <v>4</v>
      </c>
      <c r="AI6" s="19" t="s">
        <v>22</v>
      </c>
      <c r="AJ6" s="19"/>
      <c r="AK6" s="19" t="s">
        <v>22</v>
      </c>
      <c r="AL6" s="19"/>
      <c r="AM6" s="19"/>
      <c r="AN6" s="24"/>
      <c r="AO6" s="65"/>
      <c r="AP6" s="65"/>
      <c r="AQ6" s="65"/>
      <c r="AR6" s="65"/>
      <c r="AS6" s="65"/>
      <c r="AT6" s="65"/>
      <c r="AU6" s="65"/>
      <c r="AV6" s="65"/>
      <c r="AW6" s="65"/>
      <c r="AX6" s="65"/>
      <c r="AY6" s="65"/>
      <c r="AZ6" s="65"/>
      <c r="BA6" s="65"/>
      <c r="BB6" s="65"/>
      <c r="BC6" s="65"/>
    </row>
    <row r="7" spans="1:55" ht="11.25" customHeight="1">
      <c r="AD7" s="19" t="s">
        <v>139</v>
      </c>
      <c r="AE7" s="19"/>
      <c r="AF7" s="19" t="s">
        <v>139</v>
      </c>
      <c r="AG7" s="19"/>
      <c r="AH7" s="19">
        <f>IF(ISNUMBER(SEARCH($H$27,AI7)), MAX($AH$2:AH6)+1,0)</f>
        <v>5</v>
      </c>
      <c r="AI7" s="19" t="s">
        <v>139</v>
      </c>
      <c r="AJ7" s="19"/>
      <c r="AK7" s="19" t="s">
        <v>139</v>
      </c>
      <c r="AL7" s="19"/>
      <c r="AM7" s="19"/>
      <c r="AN7" s="24"/>
      <c r="AO7" s="65"/>
      <c r="AP7" s="65"/>
      <c r="AQ7" s="65"/>
      <c r="AR7" s="65"/>
      <c r="AS7" s="65"/>
      <c r="AT7" s="65"/>
      <c r="AU7" s="65"/>
      <c r="AV7" s="65"/>
      <c r="AW7" s="65"/>
      <c r="AX7" s="65"/>
      <c r="AY7" s="65"/>
      <c r="AZ7" s="65"/>
      <c r="BA7" s="65"/>
      <c r="BB7" s="65"/>
      <c r="BC7" s="65"/>
    </row>
    <row r="8" spans="1:55" s="146" customFormat="1" ht="27" customHeight="1">
      <c r="B8" s="274"/>
      <c r="C8" s="264" t="s">
        <v>618</v>
      </c>
      <c r="D8" s="390" t="s">
        <v>295</v>
      </c>
      <c r="E8" s="391"/>
      <c r="F8" s="392"/>
    </row>
    <row r="9" spans="1:55" s="146" customFormat="1"/>
    <row r="10" spans="1:55" ht="25.5">
      <c r="B10" s="257"/>
      <c r="C10" s="264" t="s">
        <v>182</v>
      </c>
      <c r="D10" s="258"/>
      <c r="E10" s="213"/>
      <c r="F10" s="374" t="s">
        <v>590</v>
      </c>
      <c r="G10" s="375"/>
      <c r="H10" s="386"/>
      <c r="I10" s="387"/>
      <c r="J10" s="387"/>
      <c r="K10" s="387"/>
      <c r="L10" s="387"/>
      <c r="M10" s="388"/>
      <c r="N10" s="213"/>
      <c r="AD10" s="19" t="s">
        <v>140</v>
      </c>
      <c r="AE10" s="19"/>
      <c r="AF10" s="19" t="s">
        <v>140</v>
      </c>
      <c r="AG10" s="19"/>
      <c r="AH10" s="19">
        <f>IF(ISNUMBER(SEARCH($H$27,AI10)), MAX($AH$2:AH7)+1,0)</f>
        <v>6</v>
      </c>
      <c r="AI10" s="19" t="s">
        <v>140</v>
      </c>
      <c r="AJ10" s="19"/>
      <c r="AK10" s="19" t="s">
        <v>140</v>
      </c>
      <c r="AL10" s="19"/>
      <c r="AM10" s="19"/>
      <c r="AN10" s="24"/>
      <c r="AO10" s="65"/>
      <c r="AP10" s="65"/>
      <c r="AQ10" s="65"/>
      <c r="AR10" s="65"/>
      <c r="AS10" s="65"/>
      <c r="AT10" s="65"/>
      <c r="AU10" s="65"/>
      <c r="AV10" s="65"/>
      <c r="AW10" s="65"/>
      <c r="AX10" s="65"/>
      <c r="AY10" s="65"/>
      <c r="AZ10" s="65"/>
      <c r="BA10" s="65"/>
      <c r="BB10" s="65"/>
      <c r="BC10" s="65"/>
    </row>
    <row r="11" spans="1:55" ht="9" customHeight="1">
      <c r="B11" s="213"/>
      <c r="C11" s="259"/>
      <c r="D11" s="260"/>
      <c r="E11" s="213"/>
      <c r="F11" s="213"/>
      <c r="G11" s="213"/>
      <c r="H11" s="213"/>
      <c r="I11" s="213"/>
      <c r="J11" s="213"/>
      <c r="K11" s="213"/>
      <c r="L11" s="213"/>
      <c r="M11" s="213"/>
      <c r="N11" s="213"/>
      <c r="AD11" s="19" t="s">
        <v>141</v>
      </c>
      <c r="AE11" s="19"/>
      <c r="AF11" s="19" t="s">
        <v>141</v>
      </c>
      <c r="AG11" s="19"/>
      <c r="AH11" s="19">
        <f>IF(ISNUMBER(SEARCH($H$27,AI11)), MAX($AH$2:AH10)+1,0)</f>
        <v>7</v>
      </c>
      <c r="AI11" s="19" t="s">
        <v>141</v>
      </c>
      <c r="AJ11" s="19"/>
      <c r="AK11" s="19" t="s">
        <v>141</v>
      </c>
      <c r="AL11" s="19"/>
      <c r="AM11" s="19"/>
      <c r="AN11" s="24"/>
      <c r="AO11" s="65"/>
      <c r="AP11" s="65"/>
      <c r="AQ11" s="65"/>
      <c r="AR11" s="65"/>
      <c r="AS11" s="65"/>
      <c r="AT11" s="65"/>
      <c r="AU11" s="65"/>
      <c r="AV11" s="65"/>
      <c r="AW11" s="65"/>
      <c r="AX11" s="65"/>
      <c r="AY11" s="65"/>
      <c r="AZ11" s="65"/>
      <c r="BA11" s="65"/>
      <c r="BB11" s="65"/>
      <c r="BC11" s="65"/>
    </row>
    <row r="12" spans="1:55" ht="21.75" customHeight="1">
      <c r="B12" s="257"/>
      <c r="C12" s="264" t="s">
        <v>707</v>
      </c>
      <c r="D12" s="378"/>
      <c r="E12" s="379"/>
      <c r="F12" s="379"/>
      <c r="G12" s="379"/>
      <c r="H12" s="379"/>
      <c r="I12" s="379"/>
      <c r="J12" s="379"/>
      <c r="K12" s="379"/>
      <c r="L12" s="379"/>
      <c r="M12" s="380"/>
      <c r="N12" s="213"/>
      <c r="AD12" s="19" t="s">
        <v>348</v>
      </c>
      <c r="AE12" s="19"/>
      <c r="AF12" s="19" t="s">
        <v>348</v>
      </c>
      <c r="AG12" s="19"/>
      <c r="AH12" s="19">
        <f>IF(ISNUMBER(SEARCH($H$27,AI12)), MAX($AH$2:AH11)+1,0)</f>
        <v>8</v>
      </c>
      <c r="AI12" s="19" t="s">
        <v>348</v>
      </c>
      <c r="AJ12" s="19"/>
      <c r="AK12" s="19" t="s">
        <v>348</v>
      </c>
      <c r="AL12" s="19"/>
      <c r="AM12" s="19"/>
      <c r="AN12" s="24"/>
      <c r="AO12" s="65"/>
      <c r="AP12" s="65"/>
      <c r="AQ12" s="65"/>
      <c r="AR12" s="65"/>
      <c r="AS12" s="65"/>
      <c r="AT12" s="65"/>
      <c r="AU12" s="65"/>
      <c r="AV12" s="65"/>
      <c r="AW12" s="65"/>
      <c r="AX12" s="65"/>
      <c r="AY12" s="65"/>
      <c r="AZ12" s="65"/>
      <c r="BA12" s="65"/>
      <c r="BB12" s="65"/>
      <c r="BC12" s="65"/>
    </row>
    <row r="13" spans="1:55">
      <c r="B13" s="213"/>
      <c r="C13" s="213"/>
      <c r="D13" s="261"/>
      <c r="E13" s="213"/>
      <c r="F13" s="213"/>
      <c r="G13" s="213"/>
      <c r="H13" s="213"/>
      <c r="I13" s="213"/>
      <c r="J13" s="213"/>
      <c r="K13" s="213"/>
      <c r="L13" s="213"/>
      <c r="M13" s="213"/>
      <c r="N13" s="213"/>
      <c r="AD13" s="19" t="s">
        <v>349</v>
      </c>
      <c r="AE13" s="19"/>
      <c r="AF13" s="19" t="s">
        <v>349</v>
      </c>
      <c r="AG13" s="19"/>
      <c r="AH13" s="19">
        <f>IF(ISNUMBER(SEARCH($H$27,AI13)), MAX($AH$2:AH12)+1,0)</f>
        <v>9</v>
      </c>
      <c r="AI13" s="19" t="s">
        <v>349</v>
      </c>
      <c r="AJ13" s="19"/>
      <c r="AK13" s="19" t="s">
        <v>349</v>
      </c>
      <c r="AL13" s="19"/>
      <c r="AM13" s="19"/>
      <c r="AN13" s="24"/>
      <c r="AO13" s="65"/>
      <c r="AP13" s="65"/>
      <c r="AQ13" s="65"/>
      <c r="AR13" s="65"/>
      <c r="AS13" s="65"/>
      <c r="AT13" s="65"/>
      <c r="AU13" s="65"/>
      <c r="AV13" s="65"/>
      <c r="AW13" s="65"/>
      <c r="AX13" s="65"/>
      <c r="AY13" s="65"/>
      <c r="AZ13" s="65"/>
      <c r="BA13" s="65"/>
      <c r="BB13" s="65"/>
      <c r="BC13" s="65"/>
    </row>
    <row r="14" spans="1:55" ht="18">
      <c r="B14" s="213"/>
      <c r="C14" s="264" t="s">
        <v>137</v>
      </c>
      <c r="D14" s="378"/>
      <c r="E14" s="380"/>
      <c r="F14" s="384" t="s">
        <v>2</v>
      </c>
      <c r="G14" s="385"/>
      <c r="H14" s="262"/>
      <c r="I14" s="213"/>
      <c r="J14" s="213"/>
      <c r="K14" s="213"/>
      <c r="L14" s="213"/>
      <c r="M14" s="213"/>
      <c r="N14" s="213"/>
      <c r="AD14" s="19" t="s">
        <v>486</v>
      </c>
      <c r="AE14" s="19"/>
      <c r="AF14" s="19" t="s">
        <v>486</v>
      </c>
      <c r="AG14" s="19"/>
      <c r="AH14" s="19">
        <f>IF(ISNUMBER(SEARCH($H$27,AI14)), MAX($AH$2:AH13)+1,0)</f>
        <v>10</v>
      </c>
      <c r="AI14" s="19" t="s">
        <v>486</v>
      </c>
      <c r="AJ14" s="19"/>
      <c r="AK14" s="19" t="s">
        <v>486</v>
      </c>
      <c r="AL14" s="19"/>
      <c r="AM14" s="19"/>
      <c r="AN14" s="24"/>
      <c r="AO14" s="65"/>
      <c r="AP14" s="65"/>
      <c r="AQ14" s="65"/>
      <c r="AR14" s="65"/>
      <c r="AS14" s="65"/>
      <c r="AT14" s="65"/>
      <c r="AU14" s="65"/>
      <c r="AV14" s="65"/>
      <c r="AW14" s="65"/>
      <c r="AX14" s="65"/>
      <c r="AY14" s="65"/>
      <c r="AZ14" s="65"/>
      <c r="BA14" s="65"/>
      <c r="BB14" s="65"/>
      <c r="BC14" s="65"/>
    </row>
    <row r="15" spans="1:55" ht="6.75" customHeight="1">
      <c r="B15" s="213"/>
      <c r="C15" s="213"/>
      <c r="D15" s="213"/>
      <c r="E15" s="213"/>
      <c r="F15" s="213"/>
      <c r="G15" s="213"/>
      <c r="H15" s="213"/>
      <c r="I15" s="213"/>
      <c r="J15" s="213"/>
      <c r="K15" s="213"/>
      <c r="L15" s="213"/>
      <c r="M15" s="213"/>
      <c r="N15" s="213"/>
      <c r="AD15" s="19" t="s">
        <v>267</v>
      </c>
      <c r="AE15" s="19"/>
      <c r="AF15" s="19" t="s">
        <v>267</v>
      </c>
      <c r="AG15" s="19"/>
      <c r="AH15" s="19">
        <f>IF(ISNUMBER(SEARCH($H$27,AI15)), MAX($AH$2:AH14)+1,0)</f>
        <v>11</v>
      </c>
      <c r="AI15" s="19" t="s">
        <v>267</v>
      </c>
      <c r="AJ15" s="19"/>
      <c r="AK15" s="19" t="s">
        <v>267</v>
      </c>
      <c r="AL15" s="19"/>
      <c r="AM15" s="19"/>
      <c r="AN15" s="24"/>
      <c r="AO15" s="65"/>
      <c r="AP15" s="65"/>
      <c r="AQ15" s="65"/>
      <c r="AR15" s="65"/>
      <c r="AS15" s="65"/>
      <c r="AT15" s="65"/>
      <c r="AU15" s="65"/>
      <c r="AV15" s="65"/>
      <c r="AW15" s="65"/>
      <c r="AX15" s="65"/>
      <c r="AY15" s="65"/>
      <c r="AZ15" s="65"/>
      <c r="BA15" s="65"/>
      <c r="BB15" s="65"/>
      <c r="BC15" s="65"/>
    </row>
    <row r="16" spans="1:55" ht="9.75" customHeight="1">
      <c r="B16" s="213"/>
      <c r="C16" s="213"/>
      <c r="D16" s="213"/>
      <c r="E16" s="213"/>
      <c r="F16" s="213"/>
      <c r="G16" s="213"/>
      <c r="H16" s="213"/>
      <c r="I16" s="213"/>
      <c r="J16" s="213"/>
      <c r="K16" s="213"/>
      <c r="L16" s="213"/>
      <c r="M16" s="213"/>
      <c r="N16" s="213"/>
      <c r="AD16" s="19" t="s">
        <v>23</v>
      </c>
      <c r="AE16" s="19"/>
      <c r="AF16" s="19" t="s">
        <v>23</v>
      </c>
      <c r="AG16" s="19"/>
      <c r="AH16" s="19">
        <f>IF(ISNUMBER(SEARCH($H$27,AI16)), MAX($AH$2:AH15)+1,0)</f>
        <v>12</v>
      </c>
      <c r="AI16" s="19" t="s">
        <v>23</v>
      </c>
      <c r="AJ16" s="19"/>
      <c r="AK16" s="19" t="s">
        <v>23</v>
      </c>
      <c r="AL16" s="19"/>
      <c r="AM16" s="19"/>
      <c r="AN16" s="24"/>
      <c r="AO16" s="65"/>
      <c r="AP16" s="65"/>
      <c r="AQ16" s="65"/>
      <c r="AR16" s="65"/>
      <c r="AS16" s="65"/>
      <c r="AT16" s="65"/>
      <c r="AU16" s="65"/>
      <c r="AV16" s="65"/>
      <c r="AW16" s="65"/>
      <c r="AX16" s="65"/>
      <c r="AY16" s="65"/>
      <c r="AZ16" s="65"/>
      <c r="BA16" s="65"/>
      <c r="BB16" s="65"/>
      <c r="BC16" s="65"/>
    </row>
    <row r="17" spans="2:108" ht="18">
      <c r="B17" s="213"/>
      <c r="C17" s="213"/>
      <c r="D17" s="213"/>
      <c r="E17" s="213"/>
      <c r="F17" s="374" t="s">
        <v>595</v>
      </c>
      <c r="G17" s="375"/>
      <c r="H17" s="393"/>
      <c r="I17" s="394"/>
      <c r="J17" s="395"/>
      <c r="K17" s="263"/>
      <c r="L17" s="213"/>
      <c r="M17" s="213"/>
      <c r="N17" s="213"/>
      <c r="AD17" s="19" t="s">
        <v>142</v>
      </c>
      <c r="AE17" s="19"/>
      <c r="AF17" s="19" t="s">
        <v>142</v>
      </c>
      <c r="AG17" s="19"/>
      <c r="AH17" s="19">
        <f>IF(ISNUMBER(SEARCH($H$27,AI17)), MAX($AH$2:AH16)+1,0)</f>
        <v>13</v>
      </c>
      <c r="AI17" s="19" t="s">
        <v>142</v>
      </c>
      <c r="AJ17" s="19"/>
      <c r="AK17" s="19" t="s">
        <v>142</v>
      </c>
      <c r="AL17" s="19"/>
      <c r="AM17" s="19"/>
      <c r="AN17" s="24"/>
      <c r="AO17" s="65"/>
      <c r="AP17" s="65"/>
      <c r="AQ17" s="65"/>
      <c r="AR17" s="65"/>
      <c r="AS17" s="65"/>
      <c r="AT17" s="65"/>
      <c r="AU17" s="65"/>
      <c r="AV17" s="65"/>
      <c r="AW17" s="65"/>
      <c r="AX17" s="65"/>
      <c r="AY17" s="65"/>
      <c r="AZ17" s="65"/>
      <c r="BA17" s="65"/>
      <c r="BB17" s="65"/>
      <c r="BC17" s="65"/>
    </row>
    <row r="18" spans="2:108">
      <c r="B18" s="213"/>
      <c r="C18" s="213"/>
      <c r="D18" s="213"/>
      <c r="E18" s="213"/>
      <c r="F18" s="213"/>
      <c r="G18" s="213"/>
      <c r="H18" s="213"/>
      <c r="I18" s="213"/>
      <c r="J18" s="213"/>
      <c r="K18" s="213"/>
      <c r="L18" s="213"/>
      <c r="M18" s="213"/>
      <c r="N18" s="213"/>
      <c r="AD18" s="19" t="s">
        <v>143</v>
      </c>
      <c r="AE18" s="19"/>
      <c r="AF18" s="19" t="s">
        <v>143</v>
      </c>
      <c r="AG18" s="19"/>
      <c r="AH18" s="19">
        <f>IF(ISNUMBER(SEARCH($H$27,AI18)), MAX($AH$2:AH17)+1,0)</f>
        <v>14</v>
      </c>
      <c r="AI18" s="19" t="s">
        <v>143</v>
      </c>
      <c r="AJ18" s="19"/>
      <c r="AK18" s="19" t="s">
        <v>143</v>
      </c>
      <c r="AL18" s="19"/>
      <c r="AM18" s="19"/>
      <c r="AN18" s="24"/>
      <c r="AO18" s="65"/>
      <c r="AP18" s="65"/>
      <c r="AQ18" s="65"/>
      <c r="AR18" s="65"/>
      <c r="AS18" s="65"/>
      <c r="AT18" s="65"/>
      <c r="AU18" s="65"/>
      <c r="AV18" s="65"/>
      <c r="AW18" s="65"/>
      <c r="AX18" s="65"/>
      <c r="AY18" s="65"/>
      <c r="AZ18" s="65"/>
      <c r="BA18" s="65"/>
      <c r="BB18" s="65"/>
      <c r="BC18" s="65"/>
    </row>
    <row r="19" spans="2:108" ht="18">
      <c r="B19" s="260"/>
      <c r="C19" s="260"/>
      <c r="D19" s="374" t="s">
        <v>591</v>
      </c>
      <c r="E19" s="374"/>
      <c r="F19" s="374"/>
      <c r="G19" s="375"/>
      <c r="H19" s="386" t="s">
        <v>295</v>
      </c>
      <c r="I19" s="387"/>
      <c r="J19" s="388"/>
      <c r="K19" s="213"/>
      <c r="L19" s="213"/>
      <c r="M19" s="213"/>
      <c r="N19" s="213"/>
      <c r="AD19" s="19" t="s">
        <v>275</v>
      </c>
      <c r="AE19" s="19"/>
      <c r="AF19" s="19" t="s">
        <v>275</v>
      </c>
      <c r="AG19" s="19"/>
      <c r="AH19" s="19">
        <f>IF(ISNUMBER(SEARCH($H$27,AI19)), MAX($AH$2:AH18)+1,0)</f>
        <v>15</v>
      </c>
      <c r="AI19" s="19" t="s">
        <v>275</v>
      </c>
      <c r="AJ19" s="19"/>
      <c r="AK19" s="19" t="s">
        <v>275</v>
      </c>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c r="B20" s="213"/>
      <c r="C20" s="213" t="s">
        <v>3</v>
      </c>
      <c r="D20" s="213"/>
      <c r="E20" s="213"/>
      <c r="F20" s="213"/>
      <c r="G20" s="213"/>
      <c r="H20" s="213"/>
      <c r="I20" s="213"/>
      <c r="J20" s="213"/>
      <c r="K20" s="213"/>
      <c r="L20" s="213"/>
      <c r="M20" s="213"/>
      <c r="N20" s="213"/>
      <c r="AD20" s="19" t="s">
        <v>350</v>
      </c>
      <c r="AE20" s="19"/>
      <c r="AF20" s="19" t="s">
        <v>350</v>
      </c>
      <c r="AG20" s="19"/>
      <c r="AH20" s="19">
        <f>IF(ISNUMBER(SEARCH($H$27,AI20)), MAX($AH$2:AH19)+1,0)</f>
        <v>16</v>
      </c>
      <c r="AI20" s="19" t="s">
        <v>350</v>
      </c>
      <c r="AJ20" s="19"/>
      <c r="AK20" s="19" t="s">
        <v>350</v>
      </c>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8">
      <c r="B21" s="213"/>
      <c r="C21" s="266"/>
      <c r="D21" s="213"/>
      <c r="E21" s="374" t="s">
        <v>773</v>
      </c>
      <c r="F21" s="374"/>
      <c r="G21" s="375"/>
      <c r="H21" s="378"/>
      <c r="I21" s="379"/>
      <c r="J21" s="379"/>
      <c r="K21" s="379"/>
      <c r="L21" s="379"/>
      <c r="M21" s="380"/>
      <c r="N21" s="213"/>
      <c r="AD21" s="19" t="s">
        <v>144</v>
      </c>
      <c r="AE21" s="19"/>
      <c r="AF21" s="19" t="s">
        <v>144</v>
      </c>
      <c r="AG21" s="19"/>
      <c r="AH21" s="19">
        <f>IF(ISNUMBER(SEARCH($H$27,AI21)), MAX($AH$2:AH20)+1,0)</f>
        <v>17</v>
      </c>
      <c r="AI21" s="19" t="s">
        <v>144</v>
      </c>
      <c r="AJ21" s="19"/>
      <c r="AK21" s="19" t="s">
        <v>144</v>
      </c>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c r="B22" s="260"/>
      <c r="C22" s="260"/>
      <c r="D22" s="260"/>
      <c r="E22" s="213"/>
      <c r="F22" s="265"/>
      <c r="G22" s="265"/>
      <c r="H22" s="213"/>
      <c r="I22" s="213"/>
      <c r="J22" s="213"/>
      <c r="K22" s="213"/>
      <c r="L22" s="213"/>
      <c r="M22" s="213"/>
      <c r="N22" s="213"/>
      <c r="AD22" s="19" t="s">
        <v>145</v>
      </c>
      <c r="AE22" s="19"/>
      <c r="AF22" s="19" t="s">
        <v>145</v>
      </c>
      <c r="AG22" s="19"/>
      <c r="AH22" s="19">
        <f>IF(ISNUMBER(SEARCH($H$27,AI22)), MAX($AH$2:AH21)+1,0)</f>
        <v>18</v>
      </c>
      <c r="AI22" s="19" t="s">
        <v>145</v>
      </c>
      <c r="AJ22" s="19"/>
      <c r="AK22" s="19" t="s">
        <v>145</v>
      </c>
      <c r="AL22" s="19"/>
      <c r="AM22" s="19"/>
      <c r="AN22" s="24"/>
      <c r="AO22" s="65"/>
      <c r="AP22" s="65"/>
      <c r="AQ22" s="65"/>
      <c r="AR22" s="65"/>
      <c r="AS22" s="65"/>
      <c r="AT22" s="65"/>
      <c r="AU22" s="65"/>
      <c r="AV22" s="65"/>
      <c r="AW22" s="65"/>
      <c r="AX22" s="65"/>
      <c r="AY22" s="65"/>
      <c r="AZ22" s="65"/>
      <c r="BA22" s="65"/>
      <c r="BB22" s="65"/>
      <c r="BC22" s="65"/>
    </row>
    <row r="23" spans="2:108" ht="18">
      <c r="B23" s="260"/>
      <c r="C23" s="260"/>
      <c r="D23" s="260"/>
      <c r="E23" s="374" t="s">
        <v>708</v>
      </c>
      <c r="F23" s="374"/>
      <c r="G23" s="375"/>
      <c r="H23" s="378"/>
      <c r="I23" s="379"/>
      <c r="J23" s="379"/>
      <c r="K23" s="379"/>
      <c r="L23" s="379"/>
      <c r="M23" s="380"/>
      <c r="N23" s="213" t="str">
        <f>IF(B4="Preliminary Site Visit Report","(if applicable)","")</f>
        <v/>
      </c>
      <c r="AD23" s="19" t="s">
        <v>351</v>
      </c>
      <c r="AE23" s="19"/>
      <c r="AF23" s="19" t="s">
        <v>351</v>
      </c>
      <c r="AG23" s="19"/>
      <c r="AH23" s="19">
        <f>IF(ISNUMBER(SEARCH($H$27,AI23)), MAX($AH$2:AH22)+1,0)</f>
        <v>19</v>
      </c>
      <c r="AI23" s="19" t="s">
        <v>351</v>
      </c>
      <c r="AJ23" s="19"/>
      <c r="AK23" s="19" t="s">
        <v>351</v>
      </c>
      <c r="AL23" s="19"/>
      <c r="AM23" s="19"/>
      <c r="AN23" s="24"/>
      <c r="AO23" s="65"/>
      <c r="AP23" s="65"/>
      <c r="AQ23" s="65"/>
      <c r="AR23" s="65"/>
      <c r="AS23" s="65"/>
      <c r="AT23" s="65"/>
      <c r="AU23" s="65"/>
      <c r="AV23" s="65"/>
      <c r="AW23" s="65"/>
      <c r="AX23" s="65"/>
      <c r="AY23" s="65"/>
      <c r="AZ23" s="65"/>
      <c r="BA23" s="65"/>
      <c r="BB23" s="65"/>
      <c r="BC23" s="65"/>
    </row>
    <row r="24" spans="2:108">
      <c r="B24" s="213"/>
      <c r="C24" s="213"/>
      <c r="D24" s="213"/>
      <c r="E24" s="213"/>
      <c r="F24" s="265"/>
      <c r="G24" s="265"/>
      <c r="H24" s="213"/>
      <c r="I24" s="213"/>
      <c r="J24" s="213"/>
      <c r="K24" s="213"/>
      <c r="L24" s="213"/>
      <c r="M24" s="213"/>
      <c r="N24" s="213"/>
      <c r="AD24" s="19" t="s">
        <v>352</v>
      </c>
      <c r="AE24" s="19"/>
      <c r="AF24" s="19" t="s">
        <v>352</v>
      </c>
      <c r="AG24" s="19"/>
      <c r="AH24" s="19">
        <f>IF(ISNUMBER(SEARCH($H$27,AI24)), MAX($AH$2:AH23)+1,0)</f>
        <v>20</v>
      </c>
      <c r="AI24" s="19" t="s">
        <v>352</v>
      </c>
      <c r="AJ24" s="19"/>
      <c r="AK24" s="19" t="s">
        <v>352</v>
      </c>
      <c r="AL24" s="19"/>
      <c r="AM24" s="19"/>
      <c r="AN24" s="24"/>
      <c r="AO24" s="65"/>
      <c r="AP24" s="65"/>
      <c r="AQ24" s="65"/>
      <c r="AR24" s="65"/>
      <c r="AS24" s="65"/>
      <c r="AT24" s="65"/>
      <c r="AU24" s="65"/>
      <c r="AV24" s="65"/>
      <c r="AW24" s="65"/>
      <c r="AX24" s="65"/>
      <c r="AY24" s="65"/>
      <c r="AZ24" s="65"/>
      <c r="BA24" s="65"/>
      <c r="BB24" s="65"/>
      <c r="BC24" s="65"/>
    </row>
    <row r="25" spans="2:108" ht="18">
      <c r="B25" s="260"/>
      <c r="C25" s="260"/>
      <c r="D25" s="260"/>
      <c r="E25" s="376" t="s">
        <v>708</v>
      </c>
      <c r="F25" s="376"/>
      <c r="G25" s="377"/>
      <c r="H25" s="378"/>
      <c r="I25" s="379"/>
      <c r="J25" s="379"/>
      <c r="K25" s="379"/>
      <c r="L25" s="379"/>
      <c r="M25" s="380"/>
      <c r="N25" s="213" t="s">
        <v>6</v>
      </c>
      <c r="AD25" s="19" t="s">
        <v>487</v>
      </c>
      <c r="AE25" s="19"/>
      <c r="AF25" s="19" t="s">
        <v>487</v>
      </c>
      <c r="AG25" s="19"/>
      <c r="AH25" s="19">
        <f>IF(ISNUMBER(SEARCH($H$27,AI25)), MAX($AH$2:AH24)+1,0)</f>
        <v>21</v>
      </c>
      <c r="AI25" s="19" t="s">
        <v>487</v>
      </c>
      <c r="AJ25" s="19"/>
      <c r="AK25" s="19" t="s">
        <v>487</v>
      </c>
      <c r="AL25" s="19"/>
      <c r="AM25" s="19"/>
      <c r="AN25" s="24"/>
      <c r="AO25" s="65"/>
      <c r="AP25" s="65"/>
      <c r="AQ25" s="65"/>
      <c r="AR25" s="65"/>
      <c r="AS25" s="65"/>
      <c r="AT25" s="65"/>
      <c r="AU25" s="65"/>
      <c r="AV25" s="65"/>
      <c r="AW25" s="65"/>
      <c r="AX25" s="65"/>
      <c r="AY25" s="65"/>
      <c r="AZ25" s="65"/>
      <c r="BA25" s="65"/>
      <c r="BB25" s="65"/>
      <c r="BC25" s="65"/>
    </row>
    <row r="26" spans="2:108">
      <c r="B26" s="213"/>
      <c r="C26" s="213"/>
      <c r="D26" s="213"/>
      <c r="E26" s="213"/>
      <c r="F26" s="213"/>
      <c r="G26" s="213"/>
      <c r="H26" s="213"/>
      <c r="I26" s="213"/>
      <c r="J26" s="213"/>
      <c r="K26" s="213"/>
      <c r="L26" s="213"/>
      <c r="M26" s="213"/>
      <c r="N26" s="213"/>
      <c r="AD26" s="19" t="s">
        <v>488</v>
      </c>
      <c r="AE26" s="19"/>
      <c r="AF26" s="19" t="s">
        <v>488</v>
      </c>
      <c r="AG26" s="19"/>
      <c r="AH26" s="19">
        <f>IF(ISNUMBER(SEARCH($H$27,AI26)), MAX($AH$2:AH25)+1,0)</f>
        <v>22</v>
      </c>
      <c r="AI26" s="19" t="s">
        <v>488</v>
      </c>
      <c r="AJ26" s="19"/>
      <c r="AK26" s="19" t="s">
        <v>488</v>
      </c>
      <c r="AL26" s="19"/>
      <c r="AM26" s="19"/>
      <c r="AN26" s="24"/>
      <c r="AO26" s="65"/>
      <c r="AP26" s="65"/>
      <c r="AQ26" s="65"/>
      <c r="AR26" s="65"/>
      <c r="AS26" s="65"/>
      <c r="AT26" s="65"/>
      <c r="AU26" s="65"/>
      <c r="AV26" s="65"/>
      <c r="AW26" s="65"/>
      <c r="AX26" s="65"/>
      <c r="AY26" s="65"/>
      <c r="AZ26" s="65"/>
      <c r="BA26" s="65"/>
      <c r="BB26" s="65"/>
      <c r="BC26" s="65"/>
    </row>
    <row r="27" spans="2:108" ht="18">
      <c r="B27" s="260"/>
      <c r="C27" s="260"/>
      <c r="D27" s="260"/>
      <c r="E27" s="376" t="s">
        <v>708</v>
      </c>
      <c r="F27" s="376"/>
      <c r="G27" s="377"/>
      <c r="H27" s="378"/>
      <c r="I27" s="379"/>
      <c r="J27" s="379"/>
      <c r="K27" s="379"/>
      <c r="L27" s="379"/>
      <c r="M27" s="380"/>
      <c r="N27" s="213" t="s">
        <v>6</v>
      </c>
      <c r="AD27" s="19" t="s">
        <v>146</v>
      </c>
      <c r="AE27" s="19"/>
      <c r="AF27" s="19" t="s">
        <v>146</v>
      </c>
      <c r="AG27" s="19"/>
      <c r="AH27" s="19">
        <f>IF(ISNUMBER(SEARCH($H$27,AI27)), MAX($AH$2:AH26)+1,0)</f>
        <v>23</v>
      </c>
      <c r="AI27" s="19" t="s">
        <v>146</v>
      </c>
      <c r="AJ27" s="19"/>
      <c r="AK27" s="19" t="s">
        <v>146</v>
      </c>
      <c r="AL27" s="19"/>
      <c r="AM27" s="19"/>
      <c r="AN27" s="24"/>
      <c r="AO27" s="65"/>
      <c r="AP27" s="65"/>
      <c r="AQ27" s="65"/>
      <c r="AR27" s="65"/>
      <c r="AS27" s="65"/>
      <c r="AT27" s="65"/>
      <c r="AU27" s="65"/>
      <c r="AV27" s="65"/>
      <c r="AW27" s="65"/>
      <c r="AX27" s="65"/>
      <c r="AY27" s="65"/>
      <c r="AZ27" s="65"/>
      <c r="BA27" s="65"/>
      <c r="BB27" s="65"/>
      <c r="BC27" s="65"/>
    </row>
    <row r="28" spans="2:108">
      <c r="B28" s="213"/>
      <c r="C28" s="213"/>
      <c r="D28" s="213"/>
      <c r="E28" s="213"/>
      <c r="F28" s="376"/>
      <c r="G28" s="376"/>
      <c r="H28" s="376"/>
      <c r="I28" s="213"/>
      <c r="J28" s="213"/>
      <c r="K28" s="213"/>
      <c r="L28" s="213"/>
      <c r="M28" s="213"/>
      <c r="N28" s="213"/>
      <c r="AD28" s="19" t="s">
        <v>353</v>
      </c>
      <c r="AE28" s="19"/>
      <c r="AF28" s="19" t="s">
        <v>353</v>
      </c>
      <c r="AG28" s="19"/>
      <c r="AH28" s="19">
        <f>IF(ISNUMBER(SEARCH($H$27,AI28)), MAX($AH$2:AH27)+1,0)</f>
        <v>24</v>
      </c>
      <c r="AI28" s="19" t="s">
        <v>353</v>
      </c>
      <c r="AJ28" s="19"/>
      <c r="AK28" s="19" t="s">
        <v>353</v>
      </c>
      <c r="AL28" s="19"/>
      <c r="AM28" s="19"/>
      <c r="AN28" s="24"/>
      <c r="AO28" s="65"/>
      <c r="AP28" s="65"/>
      <c r="AQ28" s="65"/>
      <c r="AR28" s="65"/>
      <c r="AS28" s="65"/>
      <c r="AT28" s="65"/>
      <c r="AU28" s="65"/>
      <c r="AV28" s="65"/>
      <c r="AW28" s="65"/>
      <c r="AX28" s="65"/>
      <c r="AY28" s="65"/>
      <c r="AZ28" s="65"/>
      <c r="BA28" s="65"/>
      <c r="BB28" s="65"/>
      <c r="BC28" s="65"/>
    </row>
    <row r="29" spans="2:108">
      <c r="B29" s="260"/>
      <c r="C29" s="260"/>
      <c r="D29" s="260"/>
      <c r="E29" s="213"/>
      <c r="F29" s="376"/>
      <c r="G29" s="376"/>
      <c r="H29" s="213"/>
      <c r="I29" s="213"/>
      <c r="J29" s="213"/>
      <c r="K29" s="213"/>
      <c r="L29" s="213"/>
      <c r="M29" s="213"/>
      <c r="N29" s="213"/>
      <c r="AD29" s="19" t="s">
        <v>489</v>
      </c>
      <c r="AE29" s="19"/>
      <c r="AF29" s="19" t="s">
        <v>489</v>
      </c>
      <c r="AG29" s="19"/>
      <c r="AH29" s="19">
        <f>IF(ISNUMBER(SEARCH($H$27,AI29)), MAX($AH$2:AH28)+1,0)</f>
        <v>25</v>
      </c>
      <c r="AI29" s="19" t="s">
        <v>489</v>
      </c>
      <c r="AJ29" s="19"/>
      <c r="AK29" s="19" t="s">
        <v>489</v>
      </c>
      <c r="AL29" s="19"/>
      <c r="AM29" s="19"/>
      <c r="AN29" s="24"/>
      <c r="AO29" s="65"/>
      <c r="AP29" s="65"/>
      <c r="AQ29" s="65"/>
      <c r="AR29" s="65"/>
      <c r="AS29" s="65"/>
      <c r="AT29" s="65"/>
      <c r="AU29" s="65"/>
      <c r="AV29" s="65"/>
      <c r="AW29" s="65"/>
      <c r="AX29" s="65"/>
      <c r="AY29" s="65"/>
      <c r="AZ29" s="65"/>
      <c r="BA29" s="65"/>
      <c r="BB29" s="65"/>
      <c r="BC29" s="65"/>
    </row>
    <row r="30" spans="2:108" ht="18">
      <c r="B30" s="260"/>
      <c r="C30" s="260"/>
      <c r="D30" s="260"/>
      <c r="E30" s="374" t="s">
        <v>592</v>
      </c>
      <c r="F30" s="374"/>
      <c r="G30" s="375"/>
      <c r="H30" s="378"/>
      <c r="I30" s="379"/>
      <c r="J30" s="379"/>
      <c r="K30" s="379"/>
      <c r="L30" s="379"/>
      <c r="M30" s="380"/>
      <c r="N30" s="213"/>
      <c r="AD30" s="19" t="s">
        <v>354</v>
      </c>
      <c r="AE30" s="19"/>
      <c r="AF30" s="19" t="s">
        <v>354</v>
      </c>
      <c r="AG30" s="19"/>
      <c r="AH30" s="19">
        <f>IF(ISNUMBER(SEARCH($H$27,AI30)), MAX($AH$2:AH29)+1,0)</f>
        <v>26</v>
      </c>
      <c r="AI30" s="19" t="s">
        <v>354</v>
      </c>
      <c r="AJ30" s="19"/>
      <c r="AK30" s="19" t="s">
        <v>354</v>
      </c>
      <c r="AL30" s="19"/>
      <c r="AM30" s="19"/>
      <c r="AN30" s="24"/>
      <c r="AO30" s="65"/>
      <c r="AP30" s="65"/>
      <c r="AQ30" s="65"/>
      <c r="AR30" s="65"/>
      <c r="AS30" s="65"/>
      <c r="AT30" s="65"/>
      <c r="AU30" s="65"/>
      <c r="AV30" s="65"/>
      <c r="AW30" s="65"/>
      <c r="AX30" s="65"/>
      <c r="AY30" s="65"/>
      <c r="AZ30" s="65"/>
      <c r="BA30" s="65"/>
      <c r="BB30" s="65"/>
      <c r="BC30" s="65"/>
    </row>
    <row r="31" spans="2:108">
      <c r="B31" s="213"/>
      <c r="C31" s="213"/>
      <c r="D31" s="213"/>
      <c r="E31" s="213"/>
      <c r="F31" s="213"/>
      <c r="G31" s="213"/>
      <c r="H31" s="213"/>
      <c r="I31" s="213"/>
      <c r="J31" s="213"/>
      <c r="K31" s="213"/>
      <c r="L31" s="213"/>
      <c r="M31" s="213"/>
      <c r="N31" s="213"/>
      <c r="AD31" s="19" t="s">
        <v>276</v>
      </c>
      <c r="AE31" s="19"/>
      <c r="AF31" s="19" t="s">
        <v>276</v>
      </c>
      <c r="AG31" s="19"/>
      <c r="AH31" s="19">
        <f>IF(ISNUMBER(SEARCH($H$27,AI31)), MAX($AH$2:AH30)+1,0)</f>
        <v>27</v>
      </c>
      <c r="AI31" s="19" t="s">
        <v>276</v>
      </c>
      <c r="AJ31" s="19"/>
      <c r="AK31" s="19" t="s">
        <v>276</v>
      </c>
      <c r="AL31" s="19"/>
      <c r="AM31" s="19"/>
      <c r="AN31" s="24"/>
      <c r="AO31" s="65"/>
      <c r="AP31" s="65"/>
      <c r="AQ31" s="65"/>
      <c r="AR31" s="65"/>
      <c r="AS31" s="65"/>
      <c r="AT31" s="65"/>
      <c r="AU31" s="65"/>
      <c r="AV31" s="65"/>
      <c r="AW31" s="65"/>
      <c r="AX31" s="65"/>
      <c r="AY31" s="65"/>
      <c r="AZ31" s="65"/>
      <c r="BA31" s="65"/>
      <c r="BB31" s="65"/>
      <c r="BC31" s="65"/>
    </row>
    <row r="32" spans="2:108" ht="18.75" customHeight="1">
      <c r="B32" s="260"/>
      <c r="C32" s="260"/>
      <c r="D32" s="260"/>
      <c r="E32" s="265"/>
      <c r="F32" s="374" t="s">
        <v>593</v>
      </c>
      <c r="G32" s="375"/>
      <c r="H32" s="378"/>
      <c r="I32" s="379"/>
      <c r="J32" s="379"/>
      <c r="K32" s="379"/>
      <c r="L32" s="379"/>
      <c r="M32" s="380"/>
      <c r="N32" s="213"/>
      <c r="AD32" s="19" t="s">
        <v>147</v>
      </c>
      <c r="AE32" s="19"/>
      <c r="AF32" s="19" t="s">
        <v>147</v>
      </c>
      <c r="AG32" s="19"/>
      <c r="AH32" s="19">
        <f>IF(ISNUMBER(SEARCH($H$27,AI32)), MAX($AH$2:AH31)+1,0)</f>
        <v>28</v>
      </c>
      <c r="AI32" s="19" t="s">
        <v>147</v>
      </c>
      <c r="AJ32" s="19"/>
      <c r="AK32" s="19" t="s">
        <v>147</v>
      </c>
      <c r="AL32" s="19"/>
      <c r="AM32" s="19"/>
      <c r="AN32" s="24"/>
      <c r="AO32" s="65"/>
      <c r="AP32" s="65"/>
      <c r="AQ32" s="65"/>
      <c r="AR32" s="65"/>
      <c r="AS32" s="65"/>
      <c r="AT32" s="65"/>
      <c r="AU32" s="65"/>
      <c r="AV32" s="65"/>
      <c r="AW32" s="65"/>
      <c r="AX32" s="65"/>
      <c r="AY32" s="65"/>
      <c r="AZ32" s="65"/>
      <c r="BA32" s="65"/>
      <c r="BB32" s="65"/>
      <c r="BC32" s="65"/>
    </row>
    <row r="33" spans="1:55" ht="19.5" customHeight="1">
      <c r="B33" s="260"/>
      <c r="C33" s="260"/>
      <c r="D33" s="260"/>
      <c r="E33" s="374" t="s">
        <v>594</v>
      </c>
      <c r="F33" s="374"/>
      <c r="G33" s="375"/>
      <c r="H33" s="378"/>
      <c r="I33" s="379"/>
      <c r="J33" s="379"/>
      <c r="K33" s="379"/>
      <c r="L33" s="379"/>
      <c r="M33" s="380"/>
      <c r="N33" s="213"/>
      <c r="AD33" s="19" t="s">
        <v>284</v>
      </c>
      <c r="AE33" s="19"/>
      <c r="AF33" s="19" t="s">
        <v>284</v>
      </c>
      <c r="AG33" s="19"/>
      <c r="AH33" s="19">
        <f>IF(ISNUMBER(SEARCH($H$27,AI33)), MAX($AH$2:AH32)+1,0)</f>
        <v>29</v>
      </c>
      <c r="AI33" s="19" t="s">
        <v>284</v>
      </c>
      <c r="AJ33" s="19"/>
      <c r="AK33" s="19" t="s">
        <v>284</v>
      </c>
      <c r="AL33" s="19"/>
      <c r="AM33" s="19"/>
      <c r="AN33" s="24"/>
      <c r="AO33" s="65"/>
      <c r="AP33" s="65"/>
      <c r="AQ33" s="65"/>
      <c r="AR33" s="65"/>
      <c r="AS33" s="65"/>
      <c r="AT33" s="65"/>
      <c r="AU33" s="65"/>
      <c r="AV33" s="65"/>
      <c r="AW33" s="65"/>
      <c r="AX33" s="65"/>
      <c r="AY33" s="65"/>
      <c r="AZ33" s="65"/>
      <c r="BA33" s="65"/>
      <c r="BB33" s="65"/>
      <c r="BC33" s="65"/>
    </row>
    <row r="34" spans="1:55" ht="15" customHeight="1">
      <c r="B34" s="213"/>
      <c r="C34" s="213"/>
      <c r="D34" s="213"/>
      <c r="E34" s="213"/>
      <c r="F34" s="213"/>
      <c r="G34" s="213"/>
      <c r="H34" s="213"/>
      <c r="I34" s="213"/>
      <c r="J34" s="213"/>
      <c r="K34" s="213"/>
      <c r="L34" s="213"/>
      <c r="M34" s="213"/>
      <c r="N34" s="213"/>
      <c r="AD34" s="19" t="s">
        <v>24</v>
      </c>
      <c r="AE34" s="19"/>
      <c r="AF34" s="19" t="s">
        <v>24</v>
      </c>
      <c r="AG34" s="19"/>
      <c r="AH34" s="19">
        <f>IF(ISNUMBER(SEARCH($H$27,AI34)), MAX($AH$2:AH33)+1,0)</f>
        <v>30</v>
      </c>
      <c r="AI34" s="19" t="s">
        <v>24</v>
      </c>
      <c r="AJ34" s="19"/>
      <c r="AK34" s="19" t="s">
        <v>24</v>
      </c>
      <c r="AL34" s="19"/>
      <c r="AM34" s="19"/>
      <c r="AN34" s="24"/>
      <c r="AO34" s="65"/>
      <c r="AP34" s="65"/>
      <c r="AQ34" s="65"/>
      <c r="AR34" s="65"/>
      <c r="AS34" s="65"/>
      <c r="AT34" s="65"/>
      <c r="AU34" s="65"/>
      <c r="AV34" s="65"/>
      <c r="AW34" s="65"/>
      <c r="AX34" s="65"/>
      <c r="AY34" s="65"/>
      <c r="AZ34" s="65"/>
      <c r="BA34" s="65"/>
      <c r="BB34" s="65"/>
      <c r="BC34" s="65"/>
    </row>
    <row r="35" spans="1:55" ht="6" customHeight="1">
      <c r="AD35" s="19" t="s">
        <v>25</v>
      </c>
      <c r="AE35" s="19"/>
      <c r="AF35" s="19" t="s">
        <v>25</v>
      </c>
      <c r="AG35" s="19"/>
      <c r="AH35" s="19">
        <f>IF(ISNUMBER(SEARCH($H$27,AI35)), MAX($AH$2:AH34)+1,0)</f>
        <v>31</v>
      </c>
      <c r="AI35" s="19" t="s">
        <v>25</v>
      </c>
      <c r="AJ35" s="19"/>
      <c r="AK35" s="19" t="s">
        <v>25</v>
      </c>
      <c r="AL35" s="19"/>
      <c r="AM35" s="19"/>
      <c r="AN35" s="24"/>
      <c r="AO35" s="65"/>
      <c r="AP35" s="65"/>
      <c r="AQ35" s="65"/>
      <c r="AR35" s="65"/>
      <c r="AS35" s="65"/>
      <c r="AT35" s="65"/>
      <c r="AU35" s="65"/>
      <c r="AV35" s="65"/>
      <c r="AW35" s="65"/>
      <c r="AX35" s="65"/>
      <c r="AY35" s="65"/>
      <c r="AZ35" s="65"/>
      <c r="BA35" s="65"/>
      <c r="BB35" s="65"/>
      <c r="BC35" s="65"/>
    </row>
    <row r="36" spans="1:55" ht="30" customHeight="1">
      <c r="A36" s="6"/>
      <c r="B36" s="404"/>
      <c r="C36" s="404"/>
      <c r="D36" s="404"/>
      <c r="E36" s="404"/>
      <c r="F36" s="404"/>
      <c r="G36" s="404"/>
      <c r="H36" s="404"/>
      <c r="I36" s="404"/>
      <c r="J36" s="404"/>
      <c r="K36" s="404"/>
      <c r="L36" s="404"/>
      <c r="M36" s="404"/>
      <c r="N36" s="404"/>
      <c r="AD36" s="19" t="s">
        <v>355</v>
      </c>
      <c r="AE36" s="19"/>
      <c r="AF36" s="19" t="s">
        <v>355</v>
      </c>
      <c r="AG36" s="19"/>
      <c r="AH36" s="19">
        <f>IF(ISNUMBER(SEARCH($H$27,AI36)), MAX($AH$2:AH35)+1,0)</f>
        <v>32</v>
      </c>
      <c r="AI36" s="19" t="s">
        <v>355</v>
      </c>
      <c r="AJ36" s="19"/>
      <c r="AK36" s="19" t="s">
        <v>355</v>
      </c>
      <c r="AL36" s="19"/>
      <c r="AM36" s="19"/>
      <c r="AN36" s="24"/>
      <c r="AO36" s="65"/>
      <c r="AP36" s="65"/>
      <c r="AQ36" s="65"/>
      <c r="AR36" s="65"/>
      <c r="AS36" s="65"/>
      <c r="AT36" s="65"/>
      <c r="AU36" s="65"/>
      <c r="AV36" s="65"/>
      <c r="AW36" s="65"/>
      <c r="AX36" s="65"/>
      <c r="AY36" s="65"/>
      <c r="AZ36" s="65"/>
      <c r="BA36" s="65"/>
      <c r="BB36" s="65"/>
      <c r="BC36" s="65"/>
    </row>
    <row r="37" spans="1:55" ht="29.25" customHeight="1" thickBot="1">
      <c r="B37" s="399" t="s">
        <v>7</v>
      </c>
      <c r="C37" s="399"/>
      <c r="D37" s="399"/>
      <c r="E37" s="399"/>
      <c r="F37" s="399"/>
      <c r="G37" s="399"/>
      <c r="H37" s="399"/>
      <c r="I37" s="399"/>
      <c r="J37" s="399"/>
      <c r="K37" s="399"/>
      <c r="L37" s="399"/>
      <c r="M37" s="399"/>
      <c r="N37" s="399"/>
      <c r="AD37" s="19" t="s">
        <v>356</v>
      </c>
      <c r="AE37" s="19"/>
      <c r="AF37" s="19" t="s">
        <v>356</v>
      </c>
      <c r="AG37" s="19"/>
      <c r="AH37" s="19">
        <f>IF(ISNUMBER(SEARCH($H$27,AI37)), MAX($AH$2:AH36)+1,0)</f>
        <v>33</v>
      </c>
      <c r="AI37" s="19" t="s">
        <v>356</v>
      </c>
      <c r="AJ37" s="19"/>
      <c r="AK37" s="19" t="s">
        <v>356</v>
      </c>
      <c r="AL37" s="19"/>
      <c r="AM37" s="19"/>
      <c r="AN37" s="24"/>
      <c r="AO37" s="65"/>
      <c r="AP37" s="65"/>
      <c r="AQ37" s="65"/>
      <c r="AR37" s="65"/>
      <c r="AS37" s="65"/>
      <c r="AT37" s="65"/>
      <c r="AU37" s="65"/>
      <c r="AV37" s="65"/>
      <c r="AW37" s="65"/>
      <c r="AX37" s="65"/>
      <c r="AY37" s="65"/>
      <c r="AZ37" s="65"/>
      <c r="BA37" s="65"/>
      <c r="BB37" s="65"/>
      <c r="BC37" s="65"/>
    </row>
    <row r="38" spans="1:55" ht="5.25" customHeight="1">
      <c r="B38" s="167"/>
      <c r="C38" s="167"/>
      <c r="D38" s="167"/>
      <c r="E38" s="167"/>
      <c r="F38" s="167"/>
      <c r="G38" s="167"/>
      <c r="H38" s="167"/>
      <c r="I38" s="167"/>
      <c r="J38" s="167"/>
      <c r="K38" s="167"/>
      <c r="L38" s="167"/>
      <c r="M38" s="167"/>
      <c r="N38" s="167"/>
      <c r="AD38" s="19" t="s">
        <v>148</v>
      </c>
      <c r="AE38" s="19"/>
      <c r="AF38" s="19" t="s">
        <v>148</v>
      </c>
      <c r="AG38" s="19"/>
      <c r="AH38" s="19">
        <f>IF(ISNUMBER(SEARCH($H$27,AI38)), MAX($AH$2:AH37)+1,0)</f>
        <v>34</v>
      </c>
      <c r="AI38" s="19" t="s">
        <v>148</v>
      </c>
      <c r="AJ38" s="19"/>
      <c r="AK38" s="19" t="s">
        <v>148</v>
      </c>
      <c r="AL38" s="19"/>
      <c r="AM38" s="19"/>
      <c r="AN38" s="24"/>
      <c r="AO38" s="65"/>
      <c r="AP38" s="65"/>
      <c r="AQ38" s="65"/>
      <c r="AR38" s="65"/>
      <c r="AS38" s="65"/>
      <c r="AT38" s="65"/>
      <c r="AU38" s="65"/>
      <c r="AV38" s="65"/>
      <c r="AW38" s="65"/>
      <c r="AX38" s="65"/>
      <c r="AY38" s="65"/>
      <c r="AZ38" s="65"/>
      <c r="BA38" s="65"/>
      <c r="BB38" s="65"/>
      <c r="BC38" s="65"/>
    </row>
    <row r="39" spans="1:55" ht="60.95" customHeight="1">
      <c r="B39" s="400" t="s">
        <v>696</v>
      </c>
      <c r="C39" s="400"/>
      <c r="D39" s="400"/>
      <c r="E39" s="400"/>
      <c r="F39" s="400"/>
      <c r="G39" s="400"/>
      <c r="H39" s="400"/>
      <c r="I39" s="400"/>
      <c r="J39" s="400"/>
      <c r="K39" s="400"/>
      <c r="L39" s="400"/>
      <c r="M39" s="400"/>
      <c r="N39" s="400"/>
      <c r="AD39" s="19" t="s">
        <v>149</v>
      </c>
      <c r="AE39" s="19"/>
      <c r="AF39" s="19" t="s">
        <v>149</v>
      </c>
      <c r="AG39" s="19"/>
      <c r="AH39" s="19">
        <f>IF(ISNUMBER(SEARCH($H$27,AI39)), MAX($AH$2:AH38)+1,0)</f>
        <v>35</v>
      </c>
      <c r="AI39" s="19" t="s">
        <v>149</v>
      </c>
      <c r="AJ39" s="19"/>
      <c r="AK39" s="19" t="s">
        <v>149</v>
      </c>
      <c r="AL39" s="19"/>
      <c r="AM39" s="19"/>
      <c r="AN39" s="24"/>
      <c r="AO39" s="65"/>
      <c r="AP39" s="65"/>
      <c r="AQ39" s="65"/>
      <c r="AR39" s="65"/>
      <c r="AS39" s="65"/>
      <c r="AT39" s="65"/>
      <c r="AU39" s="65"/>
      <c r="AV39" s="65"/>
      <c r="AW39" s="65"/>
      <c r="AX39" s="65"/>
      <c r="AY39" s="65"/>
      <c r="AZ39" s="65"/>
      <c r="BA39" s="65"/>
      <c r="BB39" s="65"/>
      <c r="BC39" s="65"/>
    </row>
    <row r="40" spans="1:55" s="5" customFormat="1" ht="147" hidden="1" customHeight="1">
      <c r="A40"/>
      <c r="B40" s="400" t="s">
        <v>695</v>
      </c>
      <c r="C40" s="400"/>
      <c r="D40" s="400"/>
      <c r="E40" s="400"/>
      <c r="F40" s="400"/>
      <c r="G40" s="400"/>
      <c r="H40" s="400"/>
      <c r="I40" s="400"/>
      <c r="J40" s="400"/>
      <c r="K40" s="400"/>
      <c r="L40" s="400"/>
      <c r="M40" s="400"/>
      <c r="N40" s="400"/>
      <c r="O40" s="56"/>
      <c r="P40" s="56"/>
      <c r="Q40" s="56"/>
      <c r="R40" s="19"/>
      <c r="S40" s="19"/>
      <c r="T40" s="55"/>
      <c r="U40" s="19"/>
      <c r="V40" s="55"/>
      <c r="W40" s="55"/>
      <c r="X40" s="19"/>
      <c r="Y40" s="19"/>
      <c r="Z40" s="55"/>
      <c r="AA40" s="19"/>
      <c r="AB40" s="55"/>
      <c r="AC40" s="19"/>
      <c r="AD40" s="19" t="s">
        <v>268</v>
      </c>
      <c r="AE40" s="55"/>
      <c r="AF40" s="19" t="s">
        <v>268</v>
      </c>
      <c r="AG40" s="55"/>
      <c r="AH40" s="19">
        <f>IF(ISNUMBER(SEARCH($H$27,AI40)), MAX($AH$2:AH39)+1,0)</f>
        <v>36</v>
      </c>
      <c r="AI40" s="19" t="s">
        <v>268</v>
      </c>
      <c r="AJ40" s="55"/>
      <c r="AK40" s="19" t="s">
        <v>268</v>
      </c>
      <c r="AL40" s="55"/>
      <c r="AM40" s="55"/>
      <c r="AN40" s="118"/>
      <c r="AO40" s="59"/>
      <c r="AP40" s="59"/>
      <c r="AQ40" s="59"/>
      <c r="AR40" s="59"/>
      <c r="AS40" s="59"/>
      <c r="AT40" s="59"/>
      <c r="AU40" s="59"/>
      <c r="AV40" s="59"/>
      <c r="AW40" s="59"/>
      <c r="AX40" s="59"/>
      <c r="AY40" s="59"/>
      <c r="AZ40" s="59"/>
      <c r="BA40" s="59"/>
      <c r="BB40" s="59"/>
      <c r="BC40" s="59"/>
    </row>
    <row r="41" spans="1:55">
      <c r="E41" s="4"/>
      <c r="F41" s="4"/>
      <c r="G41" s="4"/>
      <c r="H41" s="4"/>
      <c r="I41" s="4"/>
      <c r="J41" s="4"/>
      <c r="AD41" s="19" t="s">
        <v>150</v>
      </c>
      <c r="AE41" s="19"/>
      <c r="AF41" s="19" t="s">
        <v>150</v>
      </c>
      <c r="AG41" s="19"/>
      <c r="AH41" s="19">
        <f>IF(ISNUMBER(SEARCH($H$27,AI41)), MAX($AH$2:AH40)+1,0)</f>
        <v>37</v>
      </c>
      <c r="AI41" s="19" t="s">
        <v>150</v>
      </c>
      <c r="AJ41" s="19"/>
      <c r="AK41" s="19" t="s">
        <v>150</v>
      </c>
      <c r="AL41" s="19"/>
      <c r="AM41" s="19"/>
      <c r="AN41" s="24"/>
      <c r="AO41" s="65"/>
      <c r="AP41" s="65"/>
      <c r="AQ41" s="65"/>
      <c r="AR41" s="65"/>
      <c r="AS41" s="65"/>
      <c r="AT41" s="65"/>
      <c r="AU41" s="65"/>
      <c r="AV41" s="65"/>
      <c r="AW41" s="65"/>
      <c r="AX41" s="65"/>
      <c r="AY41" s="65"/>
      <c r="AZ41" s="65"/>
      <c r="BA41" s="65"/>
      <c r="BB41" s="65"/>
      <c r="BC41" s="65"/>
    </row>
    <row r="42" spans="1:55" ht="26.25" customHeight="1">
      <c r="B42" s="267"/>
      <c r="C42" s="402" t="s">
        <v>181</v>
      </c>
      <c r="D42" s="403"/>
      <c r="E42" s="403"/>
      <c r="AD42" s="19" t="s">
        <v>266</v>
      </c>
      <c r="AE42" s="19"/>
      <c r="AF42" s="19" t="s">
        <v>266</v>
      </c>
      <c r="AG42" s="19"/>
      <c r="AH42" s="19">
        <f>IF(ISNUMBER(SEARCH($H$27,AI42)), MAX($AH$2:AH41)+1,0)</f>
        <v>38</v>
      </c>
      <c r="AI42" s="19" t="s">
        <v>266</v>
      </c>
      <c r="AJ42" s="19"/>
      <c r="AK42" s="19" t="s">
        <v>266</v>
      </c>
      <c r="AL42" s="19"/>
      <c r="AM42" s="19"/>
      <c r="AN42" s="24"/>
      <c r="AO42" s="65"/>
      <c r="AP42" s="65"/>
      <c r="AQ42" s="65"/>
      <c r="AR42" s="65"/>
      <c r="AS42" s="65"/>
      <c r="AT42" s="65"/>
      <c r="AU42" s="65"/>
      <c r="AV42" s="65"/>
      <c r="AW42" s="65"/>
      <c r="AX42" s="65"/>
      <c r="AY42" s="65"/>
      <c r="AZ42" s="65"/>
      <c r="BA42" s="65"/>
      <c r="BB42" s="65"/>
      <c r="BC42" s="65"/>
    </row>
    <row r="43" spans="1:55" ht="30" customHeight="1">
      <c r="P43" s="271"/>
      <c r="AD43" s="19" t="s">
        <v>151</v>
      </c>
      <c r="AE43" s="19"/>
      <c r="AF43" s="19" t="s">
        <v>151</v>
      </c>
      <c r="AG43" s="19"/>
      <c r="AH43" s="19">
        <f>IF(ISNUMBER(SEARCH($H$27,AI43)), MAX($AH$2:AH42)+1,0)</f>
        <v>39</v>
      </c>
      <c r="AI43" s="19" t="s">
        <v>151</v>
      </c>
      <c r="AJ43" s="19"/>
      <c r="AK43" s="19" t="s">
        <v>151</v>
      </c>
      <c r="AL43" s="19"/>
      <c r="AM43" s="19"/>
      <c r="AN43" s="24"/>
      <c r="AO43" s="65"/>
      <c r="AP43" s="65"/>
      <c r="AQ43" s="65"/>
      <c r="AR43" s="65"/>
      <c r="AS43" s="65"/>
      <c r="AT43" s="65"/>
      <c r="AU43" s="65"/>
      <c r="AV43" s="65"/>
      <c r="AW43" s="65"/>
      <c r="AX43" s="65"/>
      <c r="AY43" s="65"/>
      <c r="AZ43" s="65"/>
      <c r="BA43" s="65"/>
      <c r="BB43" s="65"/>
      <c r="BC43" s="65"/>
    </row>
    <row r="44" spans="1:55" ht="28.5">
      <c r="A44" s="5"/>
      <c r="B44" s="268" t="s">
        <v>0</v>
      </c>
      <c r="C44" s="270" t="s">
        <v>596</v>
      </c>
      <c r="D44" s="269" t="s">
        <v>8</v>
      </c>
      <c r="E44" s="5"/>
      <c r="F44" s="5"/>
      <c r="G44" s="5"/>
      <c r="H44" s="5"/>
      <c r="I44" s="5"/>
      <c r="J44" s="5"/>
      <c r="K44" s="5"/>
      <c r="L44" s="5"/>
      <c r="M44" s="5"/>
      <c r="N44" s="5"/>
      <c r="AD44" s="19" t="s">
        <v>490</v>
      </c>
      <c r="AE44" s="19"/>
      <c r="AF44" s="19" t="s">
        <v>490</v>
      </c>
      <c r="AG44" s="19"/>
      <c r="AH44" s="19">
        <f>IF(ISNUMBER(SEARCH($H$27,AI44)), MAX($AH$2:AH43)+1,0)</f>
        <v>40</v>
      </c>
      <c r="AI44" s="19" t="s">
        <v>490</v>
      </c>
      <c r="AJ44" s="19"/>
      <c r="AK44" s="19" t="s">
        <v>490</v>
      </c>
      <c r="AL44" s="19"/>
      <c r="AM44" s="19"/>
      <c r="AN44" s="24"/>
      <c r="AO44" s="65"/>
      <c r="AP44" s="65"/>
      <c r="AQ44" s="65"/>
      <c r="AR44" s="65"/>
      <c r="AS44" s="65"/>
      <c r="AT44" s="65"/>
      <c r="AU44" s="65"/>
      <c r="AV44" s="65"/>
      <c r="AW44" s="65"/>
      <c r="AX44" s="65"/>
      <c r="AY44" s="65"/>
      <c r="AZ44" s="65"/>
      <c r="BA44" s="65"/>
      <c r="BB44" s="65"/>
      <c r="BC44" s="65"/>
    </row>
    <row r="45" spans="1:55">
      <c r="AD45" s="19" t="s">
        <v>152</v>
      </c>
      <c r="AE45" s="19"/>
      <c r="AF45" s="19" t="s">
        <v>152</v>
      </c>
      <c r="AG45" s="19"/>
      <c r="AH45" s="19">
        <f>IF(ISNUMBER(SEARCH($H$27,AI45)), MAX($AH$2:AH44)+1,0)</f>
        <v>41</v>
      </c>
      <c r="AI45" s="19" t="s">
        <v>152</v>
      </c>
      <c r="AJ45" s="19"/>
      <c r="AK45" s="19" t="s">
        <v>152</v>
      </c>
      <c r="AL45" s="19"/>
      <c r="AM45" s="19"/>
      <c r="AN45" s="24"/>
      <c r="AO45" s="65"/>
      <c r="AP45" s="65"/>
      <c r="AQ45" s="65"/>
      <c r="AR45" s="65"/>
      <c r="AS45" s="65"/>
      <c r="AT45" s="65"/>
      <c r="AU45" s="65"/>
      <c r="AV45" s="65"/>
      <c r="AW45" s="65"/>
      <c r="AX45" s="65"/>
      <c r="AY45" s="65"/>
      <c r="AZ45" s="65"/>
      <c r="BA45" s="65"/>
      <c r="BB45" s="65"/>
      <c r="BC45" s="65"/>
    </row>
    <row r="46" spans="1:55" ht="26.25" customHeight="1">
      <c r="B46" s="401" t="s">
        <v>9</v>
      </c>
      <c r="C46" s="401"/>
      <c r="D46" s="401"/>
      <c r="E46" s="401"/>
      <c r="F46" s="401"/>
      <c r="G46" s="401"/>
      <c r="H46" s="401"/>
      <c r="I46" s="401"/>
      <c r="J46" s="401"/>
      <c r="K46" s="401"/>
      <c r="L46" s="401"/>
      <c r="M46" s="401"/>
      <c r="N46" s="401"/>
      <c r="AD46" s="19" t="s">
        <v>357</v>
      </c>
      <c r="AE46" s="19"/>
      <c r="AF46" s="19" t="s">
        <v>357</v>
      </c>
      <c r="AG46" s="19"/>
      <c r="AH46" s="19">
        <f>IF(ISNUMBER(SEARCH($H$27,AI46)), MAX($AH$2:AH45)+1,0)</f>
        <v>42</v>
      </c>
      <c r="AI46" s="19" t="s">
        <v>357</v>
      </c>
      <c r="AJ46" s="19"/>
      <c r="AK46" s="19" t="s">
        <v>357</v>
      </c>
      <c r="AL46" s="19"/>
      <c r="AM46" s="19"/>
      <c r="AN46" s="24"/>
      <c r="AO46" s="65"/>
      <c r="AP46" s="65"/>
      <c r="AQ46" s="65"/>
      <c r="AR46" s="65"/>
      <c r="AS46" s="65"/>
      <c r="AT46" s="65"/>
      <c r="AU46" s="65"/>
      <c r="AV46" s="65"/>
      <c r="AW46" s="65"/>
      <c r="AX46" s="65"/>
      <c r="AY46" s="65"/>
      <c r="AZ46" s="65"/>
      <c r="BA46" s="65"/>
      <c r="BB46" s="65"/>
      <c r="BC46" s="65"/>
    </row>
    <row r="47" spans="1:55" ht="65.25" customHeight="1">
      <c r="B47" s="397" t="s">
        <v>534</v>
      </c>
      <c r="C47" s="398"/>
      <c r="D47" s="398"/>
      <c r="E47" s="398"/>
      <c r="F47" s="398"/>
      <c r="G47" s="398"/>
      <c r="H47" s="398"/>
      <c r="I47" s="398"/>
      <c r="J47" s="398"/>
      <c r="K47" s="398"/>
      <c r="L47" s="398"/>
      <c r="M47" s="398"/>
      <c r="N47" s="398"/>
      <c r="AD47" s="19" t="s">
        <v>153</v>
      </c>
      <c r="AE47" s="19"/>
      <c r="AF47" s="19" t="s">
        <v>153</v>
      </c>
      <c r="AG47" s="19"/>
      <c r="AH47" s="19">
        <f>IF(ISNUMBER(SEARCH($H$27,AI47)), MAX($AH$2:AH46)+1,0)</f>
        <v>43</v>
      </c>
      <c r="AI47" s="19" t="s">
        <v>153</v>
      </c>
      <c r="AJ47" s="19"/>
      <c r="AK47" s="19" t="s">
        <v>153</v>
      </c>
      <c r="AL47" s="19"/>
      <c r="AM47" s="19"/>
      <c r="AN47" s="24"/>
      <c r="AO47" s="65"/>
      <c r="AP47" s="65"/>
      <c r="AQ47" s="65"/>
      <c r="AR47" s="65"/>
      <c r="AS47" s="65"/>
      <c r="AT47" s="65"/>
      <c r="AU47" s="65"/>
      <c r="AV47" s="65"/>
      <c r="AW47" s="65"/>
      <c r="AX47" s="65"/>
      <c r="AY47" s="65"/>
      <c r="AZ47" s="65"/>
      <c r="BA47" s="65"/>
      <c r="BB47" s="65"/>
      <c r="BC47" s="65"/>
    </row>
    <row r="48" spans="1:55">
      <c r="B48" s="396"/>
      <c r="C48" s="396"/>
      <c r="D48" s="396"/>
      <c r="AD48" s="19" t="s">
        <v>300</v>
      </c>
      <c r="AE48" s="19"/>
      <c r="AF48" s="19" t="s">
        <v>300</v>
      </c>
      <c r="AG48" s="19"/>
      <c r="AH48" s="19">
        <f>IF(ISNUMBER(SEARCH($H$27,AI48)), MAX($AH$2:AH47)+1,0)</f>
        <v>44</v>
      </c>
      <c r="AI48" s="19" t="s">
        <v>300</v>
      </c>
      <c r="AJ48" s="19"/>
      <c r="AK48" s="19" t="s">
        <v>300</v>
      </c>
      <c r="AL48" s="19"/>
      <c r="AM48" s="19"/>
      <c r="AN48" s="24"/>
      <c r="AO48" s="65"/>
      <c r="AP48" s="65"/>
      <c r="AQ48" s="65"/>
      <c r="AR48" s="65"/>
      <c r="AS48" s="65"/>
      <c r="AT48" s="65"/>
      <c r="AU48" s="65"/>
      <c r="AV48" s="65"/>
      <c r="AW48" s="65"/>
      <c r="AX48" s="65"/>
      <c r="AY48" s="65"/>
      <c r="AZ48" s="65"/>
      <c r="BA48" s="65"/>
      <c r="BB48" s="65"/>
      <c r="BC48" s="65"/>
    </row>
    <row r="49" spans="30:55">
      <c r="AD49" s="19" t="s">
        <v>269</v>
      </c>
      <c r="AE49" s="19"/>
      <c r="AF49" s="19" t="s">
        <v>269</v>
      </c>
      <c r="AG49" s="19"/>
      <c r="AH49" s="19">
        <f>IF(ISNUMBER(SEARCH($H$27,AI49)), MAX($AH$2:AH48)+1,0)</f>
        <v>45</v>
      </c>
      <c r="AI49" s="19" t="s">
        <v>269</v>
      </c>
      <c r="AJ49" s="19"/>
      <c r="AK49" s="19" t="s">
        <v>269</v>
      </c>
      <c r="AL49" s="19"/>
      <c r="AM49" s="19"/>
      <c r="AN49" s="24"/>
      <c r="AO49" s="65"/>
      <c r="AP49" s="65"/>
      <c r="AQ49" s="65"/>
      <c r="AR49" s="65"/>
      <c r="AS49" s="65"/>
      <c r="AT49" s="65"/>
      <c r="AU49" s="65"/>
      <c r="AV49" s="65"/>
      <c r="AW49" s="65"/>
      <c r="AX49" s="65"/>
      <c r="AY49" s="65"/>
      <c r="AZ49" s="65"/>
      <c r="BA49" s="65"/>
      <c r="BB49" s="65"/>
      <c r="BC49" s="65"/>
    </row>
    <row r="50" spans="30:55">
      <c r="AD50" s="19" t="s">
        <v>154</v>
      </c>
      <c r="AE50" s="19"/>
      <c r="AF50" s="19" t="s">
        <v>154</v>
      </c>
      <c r="AG50" s="19"/>
      <c r="AH50" s="19">
        <f>IF(ISNUMBER(SEARCH($H$27,AI50)), MAX($AH$2:AH49)+1,0)</f>
        <v>46</v>
      </c>
      <c r="AI50" s="19" t="s">
        <v>154</v>
      </c>
      <c r="AJ50" s="19"/>
      <c r="AK50" s="19" t="s">
        <v>154</v>
      </c>
      <c r="AL50" s="19"/>
      <c r="AM50" s="19"/>
      <c r="AN50" s="24"/>
      <c r="AO50" s="65"/>
      <c r="AP50" s="65"/>
      <c r="AQ50" s="65"/>
      <c r="AR50" s="65"/>
      <c r="AS50" s="65"/>
      <c r="AT50" s="65"/>
      <c r="AU50" s="65"/>
      <c r="AV50" s="65"/>
      <c r="AW50" s="65"/>
      <c r="AX50" s="65"/>
      <c r="AY50" s="65"/>
      <c r="AZ50" s="65"/>
      <c r="BA50" s="65"/>
      <c r="BB50" s="65"/>
      <c r="BC50" s="65"/>
    </row>
    <row r="51" spans="30:55">
      <c r="AD51" s="19" t="s">
        <v>155</v>
      </c>
      <c r="AE51" s="19"/>
      <c r="AF51" s="19" t="s">
        <v>155</v>
      </c>
      <c r="AG51" s="19"/>
      <c r="AH51" s="19">
        <f>IF(ISNUMBER(SEARCH($H$27,AI51)), MAX($AH$2:AH50)+1,0)</f>
        <v>47</v>
      </c>
      <c r="AI51" s="19" t="s">
        <v>155</v>
      </c>
      <c r="AJ51" s="19"/>
      <c r="AK51" s="19" t="s">
        <v>155</v>
      </c>
      <c r="AL51" s="19"/>
      <c r="AM51" s="19"/>
      <c r="AN51" s="24"/>
      <c r="AO51" s="65"/>
      <c r="AP51" s="65"/>
      <c r="AQ51" s="65"/>
      <c r="AR51" s="65"/>
      <c r="AS51" s="65"/>
      <c r="AT51" s="65"/>
      <c r="AU51" s="65"/>
      <c r="AV51" s="65"/>
      <c r="AW51" s="65"/>
      <c r="AX51" s="65"/>
      <c r="AY51" s="65"/>
      <c r="AZ51" s="65"/>
      <c r="BA51" s="65"/>
      <c r="BB51" s="65"/>
      <c r="BC51" s="65"/>
    </row>
    <row r="52" spans="30:55">
      <c r="AD52" s="19" t="s">
        <v>26</v>
      </c>
      <c r="AE52" s="19"/>
      <c r="AF52" s="19" t="s">
        <v>26</v>
      </c>
      <c r="AG52" s="19"/>
      <c r="AH52" s="19">
        <f>IF(ISNUMBER(SEARCH($H$27,AI52)), MAX($AH$2:AH51)+1,0)</f>
        <v>48</v>
      </c>
      <c r="AI52" s="19" t="s">
        <v>26</v>
      </c>
      <c r="AJ52" s="19"/>
      <c r="AK52" s="19" t="s">
        <v>26</v>
      </c>
      <c r="AL52" s="19"/>
      <c r="AM52" s="19"/>
      <c r="AN52" s="24"/>
      <c r="AO52" s="65"/>
      <c r="AP52" s="65"/>
      <c r="AQ52" s="65"/>
      <c r="AR52" s="65"/>
      <c r="AS52" s="65"/>
      <c r="AT52" s="65"/>
      <c r="AU52" s="65"/>
      <c r="AV52" s="65"/>
      <c r="AW52" s="65"/>
      <c r="AX52" s="65"/>
      <c r="AY52" s="65"/>
      <c r="AZ52" s="65"/>
      <c r="BA52" s="65"/>
      <c r="BB52" s="65"/>
      <c r="BC52" s="65"/>
    </row>
    <row r="53" spans="30:55">
      <c r="AD53" s="19" t="s">
        <v>27</v>
      </c>
      <c r="AE53" s="19"/>
      <c r="AF53" s="19" t="s">
        <v>27</v>
      </c>
      <c r="AG53" s="19"/>
      <c r="AH53" s="19">
        <f>IF(ISNUMBER(SEARCH($H$27,AI53)), MAX($AH$2:AH52)+1,0)</f>
        <v>49</v>
      </c>
      <c r="AI53" s="19" t="s">
        <v>27</v>
      </c>
      <c r="AJ53" s="19"/>
      <c r="AK53" s="19" t="s">
        <v>27</v>
      </c>
      <c r="AL53" s="19"/>
      <c r="AM53" s="19"/>
      <c r="AN53" s="24"/>
      <c r="AO53" s="41"/>
    </row>
    <row r="54" spans="30:55">
      <c r="AD54" s="19" t="s">
        <v>156</v>
      </c>
      <c r="AE54" s="19"/>
      <c r="AF54" s="19" t="s">
        <v>156</v>
      </c>
      <c r="AG54" s="19"/>
      <c r="AH54" s="19">
        <f>IF(ISNUMBER(SEARCH($H$27,AI54)), MAX($AH$2:AH53)+1,0)</f>
        <v>50</v>
      </c>
      <c r="AI54" s="19" t="s">
        <v>156</v>
      </c>
      <c r="AJ54" s="19"/>
      <c r="AK54" s="19" t="s">
        <v>156</v>
      </c>
      <c r="AL54" s="19"/>
      <c r="AM54" s="19"/>
      <c r="AN54" s="24"/>
      <c r="AO54" s="41"/>
    </row>
    <row r="55" spans="30:55">
      <c r="AD55" s="19" t="s">
        <v>358</v>
      </c>
      <c r="AE55" s="19"/>
      <c r="AF55" s="19" t="s">
        <v>358</v>
      </c>
      <c r="AG55" s="19"/>
      <c r="AH55" s="19">
        <f>IF(ISNUMBER(SEARCH($H$27,AI55)), MAX($AH$2:AH54)+1,0)</f>
        <v>51</v>
      </c>
      <c r="AI55" s="19" t="s">
        <v>358</v>
      </c>
      <c r="AJ55" s="19"/>
      <c r="AK55" s="19" t="s">
        <v>358</v>
      </c>
      <c r="AL55" s="19"/>
      <c r="AM55" s="19"/>
      <c r="AN55" s="24"/>
      <c r="AO55" s="41"/>
    </row>
    <row r="56" spans="30:55">
      <c r="AD56" s="19" t="s">
        <v>28</v>
      </c>
      <c r="AE56" s="19"/>
      <c r="AF56" s="19" t="s">
        <v>28</v>
      </c>
      <c r="AG56" s="19"/>
      <c r="AH56" s="19">
        <f>IF(ISNUMBER(SEARCH($H$27,AI56)), MAX($AH$2:AH55)+1,0)</f>
        <v>52</v>
      </c>
      <c r="AI56" s="19" t="s">
        <v>28</v>
      </c>
      <c r="AJ56" s="19"/>
      <c r="AK56" s="19" t="s">
        <v>28</v>
      </c>
      <c r="AL56" s="19"/>
      <c r="AM56" s="19"/>
      <c r="AN56" s="24"/>
      <c r="AO56" s="41"/>
    </row>
    <row r="57" spans="30:55">
      <c r="AD57" s="19" t="s">
        <v>29</v>
      </c>
      <c r="AE57" s="19"/>
      <c r="AF57" s="19" t="s">
        <v>29</v>
      </c>
      <c r="AG57" s="19"/>
      <c r="AH57" s="19">
        <f>IF(ISNUMBER(SEARCH($H$27,AI57)), MAX($AH$2:AH56)+1,0)</f>
        <v>53</v>
      </c>
      <c r="AI57" s="19" t="s">
        <v>29</v>
      </c>
      <c r="AJ57" s="19"/>
      <c r="AK57" s="19" t="s">
        <v>29</v>
      </c>
      <c r="AL57" s="19"/>
      <c r="AM57" s="19"/>
      <c r="AN57" s="24"/>
      <c r="AO57" s="41"/>
    </row>
    <row r="58" spans="30:55">
      <c r="AD58" s="19" t="s">
        <v>277</v>
      </c>
      <c r="AE58" s="19"/>
      <c r="AF58" s="19" t="s">
        <v>277</v>
      </c>
      <c r="AG58" s="19"/>
      <c r="AH58" s="19">
        <f>IF(ISNUMBER(SEARCH($H$27,AI58)), MAX($AH$2:AH57)+1,0)</f>
        <v>54</v>
      </c>
      <c r="AI58" s="19" t="s">
        <v>277</v>
      </c>
      <c r="AJ58" s="19"/>
      <c r="AK58" s="19" t="s">
        <v>277</v>
      </c>
      <c r="AL58" s="19"/>
      <c r="AM58" s="19"/>
      <c r="AN58" s="24"/>
      <c r="AO58" s="41"/>
    </row>
    <row r="59" spans="30:55">
      <c r="AD59" s="19" t="s">
        <v>157</v>
      </c>
      <c r="AE59" s="19"/>
      <c r="AF59" s="19" t="s">
        <v>157</v>
      </c>
      <c r="AG59" s="19"/>
      <c r="AH59" s="19">
        <f>IF(ISNUMBER(SEARCH($H$27,AI59)), MAX($AH$2:AH58)+1,0)</f>
        <v>55</v>
      </c>
      <c r="AI59" s="19" t="s">
        <v>157</v>
      </c>
      <c r="AJ59" s="19"/>
      <c r="AK59" s="19" t="s">
        <v>157</v>
      </c>
      <c r="AL59" s="19"/>
      <c r="AM59" s="19"/>
      <c r="AN59" s="24"/>
      <c r="AO59" s="41"/>
    </row>
    <row r="60" spans="30:55">
      <c r="AD60" s="19" t="s">
        <v>359</v>
      </c>
      <c r="AE60" s="19"/>
      <c r="AF60" s="19" t="s">
        <v>359</v>
      </c>
      <c r="AG60" s="19"/>
      <c r="AH60" s="19">
        <f>IF(ISNUMBER(SEARCH($H$27,AI60)), MAX($AH$2:AH59)+1,0)</f>
        <v>56</v>
      </c>
      <c r="AI60" s="19" t="s">
        <v>359</v>
      </c>
      <c r="AJ60" s="19"/>
      <c r="AK60" s="19" t="s">
        <v>359</v>
      </c>
      <c r="AL60" s="19"/>
      <c r="AM60" s="19"/>
      <c r="AN60" s="24"/>
      <c r="AO60" s="41"/>
    </row>
    <row r="61" spans="30:55">
      <c r="AD61" s="19" t="s">
        <v>158</v>
      </c>
      <c r="AE61" s="19"/>
      <c r="AF61" s="19" t="s">
        <v>158</v>
      </c>
      <c r="AG61" s="19"/>
      <c r="AH61" s="19">
        <f>IF(ISNUMBER(SEARCH($H$27,AI61)), MAX($AH$2:AH60)+1,0)</f>
        <v>57</v>
      </c>
      <c r="AI61" s="19" t="s">
        <v>158</v>
      </c>
      <c r="AJ61" s="19"/>
      <c r="AK61" s="19" t="s">
        <v>158</v>
      </c>
      <c r="AL61" s="19"/>
      <c r="AM61" s="19"/>
      <c r="AN61" s="24"/>
      <c r="AO61" s="41"/>
    </row>
    <row r="62" spans="30:55">
      <c r="AD62" s="19" t="s">
        <v>278</v>
      </c>
      <c r="AE62" s="19"/>
      <c r="AF62" s="19" t="s">
        <v>278</v>
      </c>
      <c r="AG62" s="19"/>
      <c r="AH62" s="19">
        <f>IF(ISNUMBER(SEARCH($H$27,AI62)), MAX($AH$2:AH61)+1,0)</f>
        <v>58</v>
      </c>
      <c r="AI62" s="19" t="s">
        <v>278</v>
      </c>
      <c r="AJ62" s="19"/>
      <c r="AK62" s="19" t="s">
        <v>278</v>
      </c>
      <c r="AL62" s="19"/>
      <c r="AM62" s="19"/>
      <c r="AN62" s="24"/>
      <c r="AO62" s="41"/>
    </row>
    <row r="63" spans="30:55">
      <c r="AD63" s="19" t="s">
        <v>30</v>
      </c>
      <c r="AE63" s="19"/>
      <c r="AF63" s="19" t="s">
        <v>30</v>
      </c>
      <c r="AG63" s="19"/>
      <c r="AH63" s="19">
        <f>IF(ISNUMBER(SEARCH($H$27,AI63)), MAX($AH$2:AH62)+1,0)</f>
        <v>59</v>
      </c>
      <c r="AI63" s="19" t="s">
        <v>30</v>
      </c>
      <c r="AJ63" s="19"/>
      <c r="AK63" s="19" t="s">
        <v>30</v>
      </c>
      <c r="AL63" s="19"/>
      <c r="AM63" s="19"/>
      <c r="AN63" s="24"/>
      <c r="AO63" s="41"/>
    </row>
    <row r="64" spans="30:55">
      <c r="AD64" s="19" t="s">
        <v>31</v>
      </c>
      <c r="AE64" s="19"/>
      <c r="AF64" s="19" t="s">
        <v>31</v>
      </c>
      <c r="AG64" s="19"/>
      <c r="AH64" s="19">
        <f>IF(ISNUMBER(SEARCH($H$27,AI64)), MAX($AH$2:AH63)+1,0)</f>
        <v>60</v>
      </c>
      <c r="AI64" s="19" t="s">
        <v>31</v>
      </c>
      <c r="AJ64" s="19"/>
      <c r="AK64" s="19" t="s">
        <v>31</v>
      </c>
      <c r="AL64" s="19"/>
      <c r="AM64" s="19"/>
      <c r="AN64" s="24"/>
      <c r="AO64" s="41"/>
    </row>
    <row r="65" spans="30:41">
      <c r="AD65" s="19" t="s">
        <v>360</v>
      </c>
      <c r="AE65" s="19"/>
      <c r="AF65" s="19" t="s">
        <v>360</v>
      </c>
      <c r="AG65" s="19"/>
      <c r="AH65" s="19">
        <f>IF(ISNUMBER(SEARCH($H$27,AI65)), MAX($AH$2:AH64)+1,0)</f>
        <v>61</v>
      </c>
      <c r="AI65" s="19" t="s">
        <v>360</v>
      </c>
      <c r="AJ65" s="19"/>
      <c r="AK65" s="19" t="s">
        <v>360</v>
      </c>
      <c r="AL65" s="19"/>
      <c r="AM65" s="19"/>
      <c r="AN65" s="24"/>
      <c r="AO65" s="41"/>
    </row>
    <row r="66" spans="30:41">
      <c r="AD66" s="19" t="s">
        <v>491</v>
      </c>
      <c r="AE66" s="19"/>
      <c r="AF66" s="19" t="s">
        <v>491</v>
      </c>
      <c r="AG66" s="19"/>
      <c r="AH66" s="19">
        <f>IF(ISNUMBER(SEARCH($H$27,AI66)), MAX($AH$2:AH65)+1,0)</f>
        <v>62</v>
      </c>
      <c r="AI66" s="19" t="s">
        <v>491</v>
      </c>
      <c r="AJ66" s="19"/>
      <c r="AK66" s="19" t="s">
        <v>491</v>
      </c>
      <c r="AL66" s="19"/>
      <c r="AM66" s="19"/>
      <c r="AN66" s="24"/>
      <c r="AO66" s="41"/>
    </row>
    <row r="67" spans="30:41">
      <c r="AD67" s="19" t="s">
        <v>301</v>
      </c>
      <c r="AE67" s="19"/>
      <c r="AF67" s="19" t="s">
        <v>301</v>
      </c>
      <c r="AG67" s="19"/>
      <c r="AH67" s="19">
        <f>IF(ISNUMBER(SEARCH($H$27,AI67)), MAX($AH$2:AH66)+1,0)</f>
        <v>63</v>
      </c>
      <c r="AI67" s="19" t="s">
        <v>301</v>
      </c>
      <c r="AJ67" s="19"/>
      <c r="AK67" s="19" t="s">
        <v>301</v>
      </c>
      <c r="AL67" s="19"/>
      <c r="AM67" s="19"/>
      <c r="AN67" s="24"/>
      <c r="AO67" s="41"/>
    </row>
    <row r="68" spans="30:41">
      <c r="AD68" s="19" t="s">
        <v>361</v>
      </c>
      <c r="AE68" s="19"/>
      <c r="AF68" s="19" t="s">
        <v>361</v>
      </c>
      <c r="AG68" s="19"/>
      <c r="AH68" s="19">
        <f>IF(ISNUMBER(SEARCH($H$27,AI68)), MAX($AH$2:AH67)+1,0)</f>
        <v>64</v>
      </c>
      <c r="AI68" s="19" t="s">
        <v>361</v>
      </c>
      <c r="AJ68" s="19"/>
      <c r="AK68" s="19" t="s">
        <v>361</v>
      </c>
      <c r="AL68" s="19"/>
      <c r="AM68" s="19"/>
      <c r="AN68" s="24"/>
      <c r="AO68" s="41"/>
    </row>
    <row r="69" spans="30:41">
      <c r="AD69" s="19" t="s">
        <v>362</v>
      </c>
      <c r="AE69" s="19"/>
      <c r="AF69" s="19" t="s">
        <v>362</v>
      </c>
      <c r="AG69" s="19"/>
      <c r="AH69" s="19">
        <f>IF(ISNUMBER(SEARCH($H$27,AI69)), MAX($AH$2:AH68)+1,0)</f>
        <v>65</v>
      </c>
      <c r="AI69" s="19" t="s">
        <v>362</v>
      </c>
      <c r="AJ69" s="19"/>
      <c r="AK69" s="19" t="s">
        <v>362</v>
      </c>
      <c r="AL69" s="19"/>
      <c r="AM69" s="19"/>
      <c r="AN69" s="24"/>
      <c r="AO69" s="41"/>
    </row>
    <row r="70" spans="30:41">
      <c r="AD70" s="19" t="s">
        <v>159</v>
      </c>
      <c r="AE70" s="19"/>
      <c r="AF70" s="19" t="s">
        <v>159</v>
      </c>
      <c r="AG70" s="19"/>
      <c r="AH70" s="19">
        <f>IF(ISNUMBER(SEARCH($H$27,AI70)), MAX($AH$2:AH69)+1,0)</f>
        <v>66</v>
      </c>
      <c r="AI70" s="19" t="s">
        <v>159</v>
      </c>
      <c r="AJ70" s="19"/>
      <c r="AK70" s="19" t="s">
        <v>159</v>
      </c>
      <c r="AL70" s="19"/>
      <c r="AM70" s="19"/>
      <c r="AN70" s="24"/>
      <c r="AO70" s="41"/>
    </row>
    <row r="71" spans="30:41">
      <c r="AD71" s="19" t="s">
        <v>302</v>
      </c>
      <c r="AE71" s="19"/>
      <c r="AF71" s="19" t="s">
        <v>302</v>
      </c>
      <c r="AG71" s="19"/>
      <c r="AH71" s="19">
        <f>IF(ISNUMBER(SEARCH($H$27,AI71)), MAX($AH$2:AH70)+1,0)</f>
        <v>67</v>
      </c>
      <c r="AI71" s="19" t="s">
        <v>302</v>
      </c>
      <c r="AJ71" s="19"/>
      <c r="AK71" s="19" t="s">
        <v>302</v>
      </c>
      <c r="AL71" s="19"/>
      <c r="AM71" s="19"/>
      <c r="AN71" s="24"/>
      <c r="AO71" s="41"/>
    </row>
    <row r="72" spans="30:41">
      <c r="AD72" s="19" t="s">
        <v>270</v>
      </c>
      <c r="AE72" s="19"/>
      <c r="AF72" s="19" t="s">
        <v>270</v>
      </c>
      <c r="AG72" s="19"/>
      <c r="AH72" s="19">
        <f>IF(ISNUMBER(SEARCH($H$27,AI72)), MAX($AH$2:AH71)+1,0)</f>
        <v>68</v>
      </c>
      <c r="AI72" s="19" t="s">
        <v>270</v>
      </c>
      <c r="AJ72" s="19"/>
      <c r="AK72" s="19" t="s">
        <v>270</v>
      </c>
      <c r="AL72" s="19"/>
      <c r="AM72" s="19"/>
      <c r="AN72" s="24"/>
      <c r="AO72" s="41"/>
    </row>
    <row r="73" spans="30:41">
      <c r="AD73" s="19" t="s">
        <v>160</v>
      </c>
      <c r="AE73" s="19"/>
      <c r="AF73" s="19" t="s">
        <v>160</v>
      </c>
      <c r="AG73" s="19"/>
      <c r="AH73" s="19">
        <f>IF(ISNUMBER(SEARCH($H$27,AI73)), MAX($AH$2:AH72)+1,0)</f>
        <v>69</v>
      </c>
      <c r="AI73" s="19" t="s">
        <v>160</v>
      </c>
      <c r="AJ73" s="19"/>
      <c r="AK73" s="19" t="s">
        <v>160</v>
      </c>
      <c r="AL73" s="19"/>
      <c r="AM73" s="19"/>
      <c r="AN73" s="24"/>
      <c r="AO73" s="41"/>
    </row>
    <row r="74" spans="30:41">
      <c r="AD74" s="19" t="s">
        <v>303</v>
      </c>
      <c r="AE74" s="19"/>
      <c r="AF74" s="19" t="s">
        <v>303</v>
      </c>
      <c r="AG74" s="19"/>
      <c r="AH74" s="19">
        <f>IF(ISNUMBER(SEARCH($H$27,AI74)), MAX($AH$2:AH73)+1,0)</f>
        <v>70</v>
      </c>
      <c r="AI74" s="19" t="s">
        <v>303</v>
      </c>
      <c r="AJ74" s="19"/>
      <c r="AK74" s="19" t="s">
        <v>303</v>
      </c>
      <c r="AL74" s="19"/>
      <c r="AM74" s="19"/>
      <c r="AN74" s="24"/>
      <c r="AO74" s="41"/>
    </row>
    <row r="75" spans="30:41">
      <c r="AD75" s="19" t="s">
        <v>492</v>
      </c>
      <c r="AE75" s="19"/>
      <c r="AF75" s="19" t="s">
        <v>492</v>
      </c>
      <c r="AG75" s="19"/>
      <c r="AH75" s="19">
        <f>IF(ISNUMBER(SEARCH($H$27,AI75)), MAX($AH$2:AH74)+1,0)</f>
        <v>71</v>
      </c>
      <c r="AI75" s="19" t="s">
        <v>492</v>
      </c>
      <c r="AJ75" s="19"/>
      <c r="AK75" s="19" t="s">
        <v>492</v>
      </c>
      <c r="AL75" s="19"/>
      <c r="AM75" s="19"/>
      <c r="AN75" s="24"/>
      <c r="AO75" s="41"/>
    </row>
    <row r="76" spans="30:41">
      <c r="AD76" s="19" t="s">
        <v>161</v>
      </c>
      <c r="AE76" s="19"/>
      <c r="AF76" s="19" t="s">
        <v>161</v>
      </c>
      <c r="AG76" s="19"/>
      <c r="AH76" s="19">
        <f>IF(ISNUMBER(SEARCH($H$27,AI76)), MAX($AH$2:AH75)+1,0)</f>
        <v>72</v>
      </c>
      <c r="AI76" s="19" t="s">
        <v>161</v>
      </c>
      <c r="AJ76" s="19"/>
      <c r="AK76" s="19" t="s">
        <v>161</v>
      </c>
      <c r="AL76" s="19"/>
      <c r="AM76" s="19"/>
      <c r="AN76" s="24"/>
      <c r="AO76" s="41"/>
    </row>
    <row r="77" spans="30:41">
      <c r="AD77" s="19" t="s">
        <v>496</v>
      </c>
      <c r="AE77" s="19"/>
      <c r="AF77" s="19" t="s">
        <v>496</v>
      </c>
      <c r="AG77" s="19"/>
      <c r="AH77" s="19">
        <f>IF(ISNUMBER(SEARCH($H$27,AI77)), MAX($AH$2:AH76)+1,0)</f>
        <v>73</v>
      </c>
      <c r="AI77" s="19" t="s">
        <v>496</v>
      </c>
      <c r="AJ77" s="19"/>
      <c r="AK77" s="19" t="s">
        <v>496</v>
      </c>
      <c r="AL77" s="19"/>
      <c r="AM77" s="19"/>
      <c r="AN77" s="24"/>
      <c r="AO77" s="41"/>
    </row>
    <row r="78" spans="30:41">
      <c r="AD78" s="19" t="s">
        <v>162</v>
      </c>
      <c r="AE78" s="19"/>
      <c r="AF78" s="19" t="s">
        <v>162</v>
      </c>
      <c r="AG78" s="19"/>
      <c r="AH78" s="19">
        <f>IF(ISNUMBER(SEARCH($H$27,AI78)), MAX($AH$2:AH77)+1,0)</f>
        <v>74</v>
      </c>
      <c r="AI78" s="19" t="s">
        <v>162</v>
      </c>
      <c r="AJ78" s="19"/>
      <c r="AK78" s="19" t="s">
        <v>162</v>
      </c>
      <c r="AL78" s="19"/>
      <c r="AM78" s="19"/>
      <c r="AN78" s="24"/>
      <c r="AO78" s="41"/>
    </row>
    <row r="79" spans="30:41">
      <c r="AD79" s="19" t="s">
        <v>363</v>
      </c>
      <c r="AE79" s="19"/>
      <c r="AF79" s="19" t="s">
        <v>363</v>
      </c>
      <c r="AG79" s="19"/>
      <c r="AH79" s="19">
        <f>IF(ISNUMBER(SEARCH($H$27,AI79)), MAX($AH$2:AH78)+1,0)</f>
        <v>75</v>
      </c>
      <c r="AI79" s="19" t="s">
        <v>363</v>
      </c>
      <c r="AJ79" s="19"/>
      <c r="AK79" s="19" t="s">
        <v>363</v>
      </c>
      <c r="AL79" s="19"/>
      <c r="AM79" s="19"/>
      <c r="AN79" s="24"/>
      <c r="AO79" s="41"/>
    </row>
    <row r="80" spans="30:41">
      <c r="AD80" s="19" t="s">
        <v>493</v>
      </c>
      <c r="AE80" s="19"/>
      <c r="AF80" s="19" t="s">
        <v>493</v>
      </c>
      <c r="AG80" s="19"/>
      <c r="AH80" s="19">
        <f>IF(ISNUMBER(SEARCH($H$27,AI80)), MAX($AH$2:AH79)+1,0)</f>
        <v>76</v>
      </c>
      <c r="AI80" s="19" t="s">
        <v>493</v>
      </c>
      <c r="AJ80" s="19"/>
      <c r="AK80" s="19" t="s">
        <v>493</v>
      </c>
      <c r="AL80" s="19"/>
      <c r="AM80" s="19"/>
      <c r="AN80" s="24"/>
      <c r="AO80" s="41"/>
    </row>
    <row r="81" spans="30:41">
      <c r="AD81" s="19" t="s">
        <v>364</v>
      </c>
      <c r="AE81" s="19"/>
      <c r="AF81" s="19" t="s">
        <v>364</v>
      </c>
      <c r="AG81" s="19"/>
      <c r="AH81" s="19">
        <f>IF(ISNUMBER(SEARCH($H$27,AI81)), MAX($AH$2:AH80)+1,0)</f>
        <v>77</v>
      </c>
      <c r="AI81" s="19" t="s">
        <v>364</v>
      </c>
      <c r="AJ81" s="19"/>
      <c r="AK81" s="19" t="s">
        <v>364</v>
      </c>
      <c r="AL81" s="19"/>
      <c r="AM81" s="19"/>
      <c r="AN81" s="24"/>
      <c r="AO81" s="41"/>
    </row>
    <row r="82" spans="30:41">
      <c r="AD82" s="19" t="s">
        <v>494</v>
      </c>
      <c r="AE82" s="19"/>
      <c r="AF82" s="19" t="s">
        <v>494</v>
      </c>
      <c r="AG82" s="19"/>
      <c r="AH82" s="19">
        <f>IF(ISNUMBER(SEARCH($H$27,AI82)), MAX($AH$2:AH81)+1,0)</f>
        <v>78</v>
      </c>
      <c r="AI82" s="19" t="s">
        <v>494</v>
      </c>
      <c r="AJ82" s="19"/>
      <c r="AK82" s="19" t="s">
        <v>494</v>
      </c>
      <c r="AL82" s="19"/>
      <c r="AM82" s="19"/>
      <c r="AN82" s="24"/>
      <c r="AO82" s="41"/>
    </row>
    <row r="83" spans="30:41">
      <c r="AD83" s="19" t="s">
        <v>163</v>
      </c>
      <c r="AE83" s="19"/>
      <c r="AF83" s="19" t="s">
        <v>163</v>
      </c>
      <c r="AG83" s="19"/>
      <c r="AH83" s="19">
        <f>IF(ISNUMBER(SEARCH($H$27,AI83)), MAX($AH$2:AH82)+1,0)</f>
        <v>79</v>
      </c>
      <c r="AI83" s="19" t="s">
        <v>163</v>
      </c>
      <c r="AJ83" s="19"/>
      <c r="AK83" s="19" t="s">
        <v>163</v>
      </c>
      <c r="AL83" s="19"/>
      <c r="AM83" s="19"/>
      <c r="AN83" s="24"/>
      <c r="AO83" s="41"/>
    </row>
    <row r="84" spans="30:41">
      <c r="AD84" s="19" t="s">
        <v>271</v>
      </c>
      <c r="AE84" s="19"/>
      <c r="AF84" s="19" t="s">
        <v>271</v>
      </c>
      <c r="AG84" s="19"/>
      <c r="AH84" s="19">
        <f>IF(ISNUMBER(SEARCH($H$27,AI84)), MAX($AH$2:AH83)+1,0)</f>
        <v>80</v>
      </c>
      <c r="AI84" s="19" t="s">
        <v>271</v>
      </c>
      <c r="AJ84" s="19"/>
      <c r="AK84" s="19" t="s">
        <v>271</v>
      </c>
      <c r="AL84" s="19"/>
      <c r="AM84" s="19"/>
      <c r="AN84" s="24"/>
      <c r="AO84" s="41"/>
    </row>
    <row r="85" spans="30:41">
      <c r="AD85" s="19" t="s">
        <v>164</v>
      </c>
      <c r="AE85" s="19"/>
      <c r="AF85" s="19" t="s">
        <v>164</v>
      </c>
      <c r="AG85" s="19"/>
      <c r="AH85" s="19">
        <f>IF(ISNUMBER(SEARCH($H$27,AI85)), MAX($AH$2:AH84)+1,0)</f>
        <v>81</v>
      </c>
      <c r="AI85" s="19" t="s">
        <v>164</v>
      </c>
      <c r="AJ85" s="19"/>
      <c r="AK85" s="19" t="s">
        <v>164</v>
      </c>
      <c r="AL85" s="19"/>
      <c r="AM85" s="19"/>
      <c r="AN85" s="24"/>
      <c r="AO85" s="41"/>
    </row>
    <row r="86" spans="30:41">
      <c r="AD86" s="19" t="s">
        <v>165</v>
      </c>
      <c r="AE86" s="19"/>
      <c r="AF86" s="19" t="s">
        <v>165</v>
      </c>
      <c r="AG86" s="19"/>
      <c r="AH86" s="19">
        <f>IF(ISNUMBER(SEARCH($H$27,AI86)), MAX($AH$2:AH85)+1,0)</f>
        <v>82</v>
      </c>
      <c r="AI86" s="19" t="s">
        <v>165</v>
      </c>
      <c r="AJ86" s="19"/>
      <c r="AK86" s="19" t="s">
        <v>165</v>
      </c>
      <c r="AL86" s="19"/>
      <c r="AM86" s="19"/>
      <c r="AN86" s="24"/>
      <c r="AO86" s="41"/>
    </row>
    <row r="87" spans="30:41">
      <c r="AD87" s="19" t="s">
        <v>495</v>
      </c>
      <c r="AE87" s="19"/>
      <c r="AF87" s="19" t="s">
        <v>495</v>
      </c>
      <c r="AG87" s="19"/>
      <c r="AH87" s="19">
        <f>IF(ISNUMBER(SEARCH($H$27,AI87)), MAX($AH$2:AH86)+1,0)</f>
        <v>83</v>
      </c>
      <c r="AI87" s="19" t="s">
        <v>495</v>
      </c>
      <c r="AJ87" s="19"/>
      <c r="AK87" s="19" t="s">
        <v>495</v>
      </c>
      <c r="AL87" s="19"/>
      <c r="AM87" s="19"/>
      <c r="AN87" s="24"/>
      <c r="AO87" s="41"/>
    </row>
    <row r="88" spans="30:41">
      <c r="AD88" s="19" t="s">
        <v>304</v>
      </c>
      <c r="AE88" s="19"/>
      <c r="AF88" s="19" t="s">
        <v>304</v>
      </c>
      <c r="AG88" s="19"/>
      <c r="AH88" s="19">
        <f>IF(ISNUMBER(SEARCH($H$27,AI88)), MAX($AH$2:AH87)+1,0)</f>
        <v>84</v>
      </c>
      <c r="AI88" s="19" t="s">
        <v>304</v>
      </c>
      <c r="AJ88" s="19"/>
      <c r="AK88" s="19" t="s">
        <v>304</v>
      </c>
      <c r="AL88" s="19"/>
      <c r="AM88" s="19"/>
      <c r="AN88" s="24"/>
      <c r="AO88" s="41"/>
    </row>
    <row r="89" spans="30:41">
      <c r="AD89" s="19" t="s">
        <v>497</v>
      </c>
      <c r="AE89" s="19"/>
      <c r="AF89" s="19" t="s">
        <v>497</v>
      </c>
      <c r="AG89" s="19"/>
      <c r="AH89" s="19">
        <f>IF(ISNUMBER(SEARCH($H$27,AI89)), MAX($AH$2:AH88)+1,0)</f>
        <v>85</v>
      </c>
      <c r="AI89" s="19" t="s">
        <v>497</v>
      </c>
      <c r="AJ89" s="19"/>
      <c r="AK89" s="19" t="s">
        <v>497</v>
      </c>
      <c r="AL89" s="19"/>
      <c r="AM89" s="19"/>
      <c r="AN89" s="24"/>
      <c r="AO89" s="41"/>
    </row>
    <row r="90" spans="30:41">
      <c r="AD90" s="19" t="s">
        <v>365</v>
      </c>
      <c r="AE90" s="19"/>
      <c r="AF90" s="19" t="s">
        <v>365</v>
      </c>
      <c r="AG90" s="19"/>
      <c r="AH90" s="19">
        <f>IF(ISNUMBER(SEARCH($H$27,AI90)), MAX($AH$2:AH89)+1,0)</f>
        <v>86</v>
      </c>
      <c r="AI90" s="19" t="s">
        <v>365</v>
      </c>
      <c r="AJ90" s="19"/>
      <c r="AK90" s="19" t="s">
        <v>365</v>
      </c>
      <c r="AL90" s="19"/>
      <c r="AM90" s="19"/>
      <c r="AN90" s="24"/>
      <c r="AO90" s="41"/>
    </row>
    <row r="91" spans="30:41">
      <c r="AD91" s="19" t="s">
        <v>366</v>
      </c>
      <c r="AE91" s="19"/>
      <c r="AF91" s="19" t="s">
        <v>366</v>
      </c>
      <c r="AG91" s="19"/>
      <c r="AH91" s="19">
        <f>IF(ISNUMBER(SEARCH($H$27,AI91)), MAX($AH$2:AH90)+1,0)</f>
        <v>87</v>
      </c>
      <c r="AI91" s="19" t="s">
        <v>366</v>
      </c>
      <c r="AJ91" s="19"/>
      <c r="AK91" s="19" t="s">
        <v>366</v>
      </c>
      <c r="AL91" s="19"/>
      <c r="AM91" s="19"/>
      <c r="AN91" s="24"/>
      <c r="AO91" s="41"/>
    </row>
    <row r="92" spans="30:41">
      <c r="AD92" s="19" t="s">
        <v>166</v>
      </c>
      <c r="AE92" s="19"/>
      <c r="AF92" s="19" t="s">
        <v>166</v>
      </c>
      <c r="AG92" s="19"/>
      <c r="AH92" s="19">
        <f>IF(ISNUMBER(SEARCH($H$27,AI92)), MAX($AH$2:AH91)+1,0)</f>
        <v>88</v>
      </c>
      <c r="AI92" s="19" t="s">
        <v>166</v>
      </c>
      <c r="AJ92" s="19"/>
      <c r="AK92" s="19" t="s">
        <v>166</v>
      </c>
      <c r="AL92" s="19"/>
      <c r="AM92" s="19"/>
      <c r="AN92" s="24"/>
      <c r="AO92" s="41"/>
    </row>
    <row r="93" spans="30:41">
      <c r="AD93" s="19" t="s">
        <v>498</v>
      </c>
      <c r="AE93" s="19"/>
      <c r="AF93" s="19" t="s">
        <v>498</v>
      </c>
      <c r="AG93" s="19"/>
      <c r="AH93" s="19">
        <f>IF(ISNUMBER(SEARCH($H$27,AI93)), MAX($AH$2:AH92)+1,0)</f>
        <v>89</v>
      </c>
      <c r="AI93" s="19" t="s">
        <v>498</v>
      </c>
      <c r="AJ93" s="19"/>
      <c r="AK93" s="19" t="s">
        <v>498</v>
      </c>
      <c r="AL93" s="19"/>
      <c r="AM93" s="19"/>
      <c r="AN93" s="24"/>
      <c r="AO93" s="41"/>
    </row>
    <row r="94" spans="30:41">
      <c r="AD94" s="19" t="s">
        <v>367</v>
      </c>
      <c r="AE94" s="19"/>
      <c r="AF94" s="19" t="s">
        <v>367</v>
      </c>
      <c r="AG94" s="19"/>
      <c r="AH94" s="19">
        <f>IF(ISNUMBER(SEARCH($H$27,AI94)), MAX($AH$2:AH93)+1,0)</f>
        <v>90</v>
      </c>
      <c r="AI94" s="19" t="s">
        <v>367</v>
      </c>
      <c r="AJ94" s="19"/>
      <c r="AK94" s="19" t="s">
        <v>367</v>
      </c>
      <c r="AL94" s="19"/>
      <c r="AM94" s="19"/>
      <c r="AN94" s="24"/>
      <c r="AO94" s="41"/>
    </row>
    <row r="95" spans="30:41">
      <c r="AD95" s="19" t="s">
        <v>279</v>
      </c>
      <c r="AE95" s="19"/>
      <c r="AF95" s="19" t="s">
        <v>279</v>
      </c>
      <c r="AG95" s="19"/>
      <c r="AH95" s="19">
        <f>IF(ISNUMBER(SEARCH($H$27,AI95)), MAX($AH$2:AH94)+1,0)</f>
        <v>91</v>
      </c>
      <c r="AI95" s="19" t="s">
        <v>279</v>
      </c>
      <c r="AJ95" s="19"/>
      <c r="AK95" s="19" t="s">
        <v>279</v>
      </c>
      <c r="AL95" s="19"/>
      <c r="AM95" s="19"/>
      <c r="AN95" s="24"/>
      <c r="AO95" s="41"/>
    </row>
    <row r="96" spans="30:41">
      <c r="AD96" s="19" t="s">
        <v>499</v>
      </c>
      <c r="AE96" s="19"/>
      <c r="AF96" s="19" t="s">
        <v>499</v>
      </c>
      <c r="AG96" s="19"/>
      <c r="AH96" s="19">
        <f>IF(ISNUMBER(SEARCH($H$27,AI96)), MAX($AH$2:AH95)+1,0)</f>
        <v>92</v>
      </c>
      <c r="AI96" s="19" t="s">
        <v>499</v>
      </c>
      <c r="AJ96" s="19"/>
      <c r="AK96" s="19" t="s">
        <v>499</v>
      </c>
      <c r="AL96" s="19"/>
      <c r="AM96" s="19"/>
      <c r="AN96" s="24"/>
      <c r="AO96" s="41"/>
    </row>
    <row r="97" spans="30:41">
      <c r="AD97" s="19" t="s">
        <v>32</v>
      </c>
      <c r="AE97" s="19"/>
      <c r="AF97" s="19" t="s">
        <v>32</v>
      </c>
      <c r="AG97" s="19"/>
      <c r="AH97" s="19">
        <f>IF(ISNUMBER(SEARCH($H$27,AI97)), MAX($AH$2:AH96)+1,0)</f>
        <v>93</v>
      </c>
      <c r="AI97" s="19" t="s">
        <v>32</v>
      </c>
      <c r="AJ97" s="19"/>
      <c r="AK97" s="19" t="s">
        <v>32</v>
      </c>
      <c r="AL97" s="19"/>
      <c r="AM97" s="19"/>
      <c r="AN97" s="24"/>
      <c r="AO97" s="41"/>
    </row>
    <row r="98" spans="30:41">
      <c r="AD98" s="19" t="s">
        <v>272</v>
      </c>
      <c r="AE98" s="19"/>
      <c r="AF98" s="19" t="s">
        <v>272</v>
      </c>
      <c r="AG98" s="19"/>
      <c r="AH98" s="19">
        <f>IF(ISNUMBER(SEARCH($H$27,AI98)), MAX($AH$2:AH97)+1,0)</f>
        <v>94</v>
      </c>
      <c r="AI98" s="19" t="s">
        <v>272</v>
      </c>
      <c r="AJ98" s="19"/>
      <c r="AK98" s="19" t="s">
        <v>272</v>
      </c>
      <c r="AL98" s="19"/>
      <c r="AM98" s="19"/>
      <c r="AN98" s="24"/>
      <c r="AO98" s="41"/>
    </row>
    <row r="99" spans="30:41">
      <c r="AD99" s="19" t="s">
        <v>167</v>
      </c>
      <c r="AE99" s="19"/>
      <c r="AF99" s="19" t="s">
        <v>167</v>
      </c>
      <c r="AG99" s="19"/>
      <c r="AH99" s="19">
        <f>IF(ISNUMBER(SEARCH($H$27,AI99)), MAX($AH$2:AH98)+1,0)</f>
        <v>95</v>
      </c>
      <c r="AI99" s="19" t="s">
        <v>167</v>
      </c>
      <c r="AJ99" s="19"/>
      <c r="AK99" s="19" t="s">
        <v>167</v>
      </c>
      <c r="AL99" s="19"/>
      <c r="AM99" s="19"/>
      <c r="AN99" s="24"/>
      <c r="AO99" s="41"/>
    </row>
    <row r="100" spans="30:41">
      <c r="AD100" s="19" t="s">
        <v>33</v>
      </c>
      <c r="AE100" s="19"/>
      <c r="AF100" s="19" t="s">
        <v>33</v>
      </c>
      <c r="AG100" s="19"/>
      <c r="AH100" s="19">
        <f>IF(ISNUMBER(SEARCH($H$27,AI100)), MAX($AH$2:AH99)+1,0)</f>
        <v>96</v>
      </c>
      <c r="AI100" s="19" t="s">
        <v>33</v>
      </c>
      <c r="AJ100" s="19"/>
      <c r="AK100" s="19" t="s">
        <v>33</v>
      </c>
      <c r="AL100" s="19"/>
      <c r="AM100" s="19"/>
      <c r="AN100" s="24"/>
      <c r="AO100" s="41"/>
    </row>
    <row r="101" spans="30:41">
      <c r="AD101" s="19" t="s">
        <v>368</v>
      </c>
      <c r="AE101" s="19"/>
      <c r="AF101" s="19" t="s">
        <v>368</v>
      </c>
      <c r="AG101" s="19"/>
      <c r="AH101" s="19">
        <f>IF(ISNUMBER(SEARCH($H$27,AI101)), MAX($AH$2:AH100)+1,0)</f>
        <v>97</v>
      </c>
      <c r="AI101" s="19" t="s">
        <v>368</v>
      </c>
      <c r="AJ101" s="19"/>
      <c r="AK101" s="19" t="s">
        <v>368</v>
      </c>
      <c r="AL101" s="19"/>
      <c r="AM101" s="19"/>
      <c r="AN101" s="24"/>
      <c r="AO101" s="41"/>
    </row>
    <row r="102" spans="30:41">
      <c r="AD102" s="19" t="s">
        <v>500</v>
      </c>
      <c r="AE102" s="19"/>
      <c r="AF102" s="19" t="s">
        <v>500</v>
      </c>
      <c r="AG102" s="19"/>
      <c r="AH102" s="19">
        <f>IF(ISNUMBER(SEARCH($H$27,AI102)), MAX($AH$2:AH101)+1,0)</f>
        <v>98</v>
      </c>
      <c r="AI102" s="19" t="s">
        <v>500</v>
      </c>
      <c r="AJ102" s="19"/>
      <c r="AK102" s="19" t="s">
        <v>500</v>
      </c>
      <c r="AL102" s="19"/>
      <c r="AM102" s="19"/>
      <c r="AN102" s="24"/>
      <c r="AO102" s="41"/>
    </row>
    <row r="103" spans="30:41">
      <c r="AD103" s="19" t="s">
        <v>168</v>
      </c>
      <c r="AE103" s="19"/>
      <c r="AF103" s="19" t="s">
        <v>168</v>
      </c>
      <c r="AG103" s="19"/>
      <c r="AH103" s="19">
        <f>IF(ISNUMBER(SEARCH($H$27,AI103)), MAX($AH$2:AH102)+1,0)</f>
        <v>99</v>
      </c>
      <c r="AI103" s="19" t="s">
        <v>168</v>
      </c>
      <c r="AJ103" s="19"/>
      <c r="AK103" s="19" t="s">
        <v>168</v>
      </c>
      <c r="AL103" s="19"/>
      <c r="AM103" s="19"/>
      <c r="AN103" s="24"/>
      <c r="AO103" s="41"/>
    </row>
    <row r="104" spans="30:41">
      <c r="AD104" s="19" t="s">
        <v>169</v>
      </c>
      <c r="AE104" s="19"/>
      <c r="AF104" s="19" t="s">
        <v>169</v>
      </c>
      <c r="AG104" s="19"/>
      <c r="AH104" s="19">
        <f>IF(ISNUMBER(SEARCH($H$27,AI104)), MAX($AH$2:AH103)+1,0)</f>
        <v>100</v>
      </c>
      <c r="AI104" s="19" t="s">
        <v>169</v>
      </c>
      <c r="AJ104" s="19"/>
      <c r="AK104" s="19" t="s">
        <v>169</v>
      </c>
      <c r="AL104" s="19"/>
      <c r="AM104" s="19"/>
      <c r="AN104" s="24"/>
      <c r="AO104" s="41"/>
    </row>
    <row r="105" spans="30:41">
      <c r="AD105" s="19" t="s">
        <v>170</v>
      </c>
      <c r="AE105" s="19"/>
      <c r="AF105" s="19" t="s">
        <v>170</v>
      </c>
      <c r="AG105" s="19"/>
      <c r="AH105" s="19">
        <f>IF(ISNUMBER(SEARCH($H$27,AI105)), MAX($AH$2:AH104)+1,0)</f>
        <v>101</v>
      </c>
      <c r="AI105" s="19" t="s">
        <v>170</v>
      </c>
      <c r="AJ105" s="19"/>
      <c r="AK105" s="19" t="s">
        <v>170</v>
      </c>
      <c r="AL105" s="19"/>
      <c r="AM105" s="19"/>
      <c r="AN105" s="24"/>
      <c r="AO105" s="41"/>
    </row>
    <row r="106" spans="30:41">
      <c r="AD106" s="19" t="s">
        <v>346</v>
      </c>
      <c r="AE106" s="19"/>
      <c r="AF106" s="19" t="s">
        <v>346</v>
      </c>
      <c r="AG106" s="19"/>
      <c r="AH106" s="19">
        <f>IF(ISNUMBER(SEARCH($H$27,AI106)), MAX($AH$2:AH105)+1,0)</f>
        <v>102</v>
      </c>
      <c r="AI106" s="19" t="s">
        <v>346</v>
      </c>
      <c r="AJ106" s="19"/>
      <c r="AK106" s="19" t="s">
        <v>346</v>
      </c>
      <c r="AL106" s="19"/>
      <c r="AM106" s="19"/>
      <c r="AN106" s="24"/>
      <c r="AO106" s="41"/>
    </row>
    <row r="107" spans="30:41">
      <c r="AD107" s="19" t="s">
        <v>34</v>
      </c>
      <c r="AE107" s="19"/>
      <c r="AF107" s="19" t="s">
        <v>34</v>
      </c>
      <c r="AG107" s="19"/>
      <c r="AH107" s="19">
        <f>IF(ISNUMBER(SEARCH($H$27,AI107)), MAX($AH$2:AH106)+1,0)</f>
        <v>103</v>
      </c>
      <c r="AI107" s="19" t="s">
        <v>34</v>
      </c>
      <c r="AJ107" s="19"/>
      <c r="AK107" s="19" t="s">
        <v>34</v>
      </c>
      <c r="AL107" s="19"/>
      <c r="AM107" s="19"/>
      <c r="AN107" s="24"/>
      <c r="AO107" s="41"/>
    </row>
    <row r="108" spans="30:41">
      <c r="AD108" s="19" t="s">
        <v>347</v>
      </c>
      <c r="AE108" s="19"/>
      <c r="AF108" s="19" t="s">
        <v>347</v>
      </c>
      <c r="AG108" s="19"/>
      <c r="AH108" s="19">
        <f>IF(ISNUMBER(SEARCH($H$27,AI108)), MAX($AH$2:AH107)+1,0)</f>
        <v>104</v>
      </c>
      <c r="AI108" s="19" t="s">
        <v>347</v>
      </c>
      <c r="AJ108" s="19"/>
      <c r="AK108" s="19" t="s">
        <v>347</v>
      </c>
      <c r="AL108" s="19"/>
      <c r="AM108" s="19"/>
      <c r="AN108" s="24"/>
      <c r="AO108" s="41"/>
    </row>
    <row r="109" spans="30:41">
      <c r="AD109" s="19" t="s">
        <v>501</v>
      </c>
      <c r="AE109" s="19"/>
      <c r="AF109" s="19" t="s">
        <v>501</v>
      </c>
      <c r="AG109" s="19"/>
      <c r="AH109" s="19">
        <f>IF(ISNUMBER(SEARCH($H$27,AI109)), MAX($AH$2:AH108)+1,0)</f>
        <v>105</v>
      </c>
      <c r="AI109" s="19" t="s">
        <v>501</v>
      </c>
      <c r="AJ109" s="19"/>
      <c r="AK109" s="19" t="s">
        <v>501</v>
      </c>
      <c r="AL109" s="19"/>
      <c r="AM109" s="19"/>
      <c r="AN109" s="24"/>
      <c r="AO109" s="41"/>
    </row>
    <row r="110" spans="30:41">
      <c r="AD110" s="19" t="s">
        <v>171</v>
      </c>
      <c r="AE110" s="19"/>
      <c r="AF110" s="19" t="s">
        <v>171</v>
      </c>
      <c r="AG110" s="19"/>
      <c r="AH110" s="19">
        <f>IF(ISNUMBER(SEARCH($H$27,AI110)), MAX($AH$2:AH109)+1,0)</f>
        <v>106</v>
      </c>
      <c r="AI110" s="19" t="s">
        <v>171</v>
      </c>
      <c r="AJ110" s="19"/>
      <c r="AK110" s="19" t="s">
        <v>171</v>
      </c>
      <c r="AL110" s="19"/>
      <c r="AM110" s="19"/>
      <c r="AN110" s="24"/>
      <c r="AO110" s="41"/>
    </row>
    <row r="111" spans="30:41">
      <c r="AD111" s="19" t="s">
        <v>35</v>
      </c>
      <c r="AE111" s="19"/>
      <c r="AF111" s="19" t="s">
        <v>35</v>
      </c>
      <c r="AG111" s="19"/>
      <c r="AH111" s="19">
        <f>IF(ISNUMBER(SEARCH($H$27,AI111)), MAX($AH$2:AH110)+1,0)</f>
        <v>107</v>
      </c>
      <c r="AI111" s="19" t="s">
        <v>35</v>
      </c>
      <c r="AJ111" s="19"/>
      <c r="AK111" s="19" t="s">
        <v>35</v>
      </c>
      <c r="AL111" s="19"/>
      <c r="AM111" s="19"/>
      <c r="AN111" s="24"/>
      <c r="AO111" s="41"/>
    </row>
    <row r="112" spans="30:41">
      <c r="AD112" s="19" t="s">
        <v>172</v>
      </c>
      <c r="AE112" s="19"/>
      <c r="AF112" s="19" t="s">
        <v>172</v>
      </c>
      <c r="AG112" s="19"/>
      <c r="AH112" s="19">
        <f>IF(ISNUMBER(SEARCH($H$27,AI112)), MAX($AH$2:AH111)+1,0)</f>
        <v>108</v>
      </c>
      <c r="AI112" s="19" t="s">
        <v>172</v>
      </c>
      <c r="AJ112" s="19"/>
      <c r="AK112" s="19" t="s">
        <v>172</v>
      </c>
      <c r="AL112" s="19"/>
      <c r="AM112" s="19"/>
      <c r="AN112" s="24"/>
      <c r="AO112" s="41"/>
    </row>
    <row r="113" spans="30:41">
      <c r="AD113" s="19" t="s">
        <v>173</v>
      </c>
      <c r="AE113" s="19"/>
      <c r="AF113" s="19" t="s">
        <v>173</v>
      </c>
      <c r="AG113" s="19"/>
      <c r="AH113" s="19">
        <f>IF(ISNUMBER(SEARCH($H$27,AI113)), MAX($AH$2:AH112)+1,0)</f>
        <v>109</v>
      </c>
      <c r="AI113" s="19" t="s">
        <v>173</v>
      </c>
      <c r="AJ113" s="19"/>
      <c r="AK113" s="19" t="s">
        <v>173</v>
      </c>
      <c r="AL113" s="19"/>
      <c r="AM113" s="19"/>
      <c r="AN113" s="24"/>
      <c r="AO113" s="41"/>
    </row>
    <row r="114" spans="30:41">
      <c r="AD114" s="19" t="s">
        <v>285</v>
      </c>
      <c r="AE114" s="19"/>
      <c r="AF114" s="19" t="s">
        <v>285</v>
      </c>
      <c r="AG114" s="19"/>
      <c r="AH114" s="19">
        <f>IF(ISNUMBER(SEARCH($H$27,AI114)), MAX($AH$2:AH113)+1,0)</f>
        <v>110</v>
      </c>
      <c r="AI114" s="19" t="s">
        <v>285</v>
      </c>
      <c r="AJ114" s="19"/>
      <c r="AK114" s="19" t="s">
        <v>285</v>
      </c>
      <c r="AL114" s="19"/>
      <c r="AM114" s="19"/>
      <c r="AN114" s="24"/>
      <c r="AO114" s="41"/>
    </row>
    <row r="115" spans="30:41">
      <c r="AD115" s="19" t="s">
        <v>502</v>
      </c>
      <c r="AE115" s="19"/>
      <c r="AF115" s="19" t="s">
        <v>502</v>
      </c>
      <c r="AG115" s="19"/>
      <c r="AH115" s="19">
        <f>IF(ISNUMBER(SEARCH($H$27,AI115)), MAX($AH$2:AH114)+1,0)</f>
        <v>111</v>
      </c>
      <c r="AI115" s="19" t="s">
        <v>502</v>
      </c>
      <c r="AJ115" s="19"/>
      <c r="AK115" s="19" t="s">
        <v>502</v>
      </c>
      <c r="AL115" s="19"/>
      <c r="AM115" s="19"/>
      <c r="AN115" s="24"/>
      <c r="AO115" s="41"/>
    </row>
    <row r="116" spans="30:41">
      <c r="AD116" s="19" t="s">
        <v>280</v>
      </c>
      <c r="AE116" s="19"/>
      <c r="AF116" s="19" t="s">
        <v>280</v>
      </c>
      <c r="AG116" s="19"/>
      <c r="AH116" s="19">
        <f>IF(ISNUMBER(SEARCH($H$27,AI116)), MAX($AH$2:AH115)+1,0)</f>
        <v>112</v>
      </c>
      <c r="AI116" s="19" t="s">
        <v>280</v>
      </c>
      <c r="AJ116" s="19"/>
      <c r="AK116" s="19" t="s">
        <v>280</v>
      </c>
      <c r="AL116" s="19"/>
      <c r="AM116" s="19"/>
      <c r="AN116" s="24"/>
      <c r="AO116" s="41"/>
    </row>
    <row r="117" spans="30:41">
      <c r="AD117" s="19" t="s">
        <v>36</v>
      </c>
      <c r="AE117" s="19"/>
      <c r="AF117" s="19" t="s">
        <v>36</v>
      </c>
      <c r="AG117" s="19"/>
      <c r="AH117" s="19">
        <f>IF(ISNUMBER(SEARCH($H$27,AI117)), MAX($AH$2:AH116)+1,0)</f>
        <v>113</v>
      </c>
      <c r="AI117" s="19" t="s">
        <v>36</v>
      </c>
      <c r="AJ117" s="19"/>
      <c r="AK117" s="19" t="s">
        <v>36</v>
      </c>
      <c r="AL117" s="19"/>
      <c r="AM117" s="19"/>
      <c r="AN117" s="24"/>
      <c r="AO117" s="41"/>
    </row>
    <row r="118" spans="30:41">
      <c r="AD118" s="19" t="s">
        <v>174</v>
      </c>
      <c r="AE118" s="19"/>
      <c r="AF118" s="19" t="s">
        <v>174</v>
      </c>
      <c r="AG118" s="19"/>
      <c r="AH118" s="19">
        <f>IF(ISNUMBER(SEARCH($H$27,AI118)), MAX($AH$2:AH117)+1,0)</f>
        <v>114</v>
      </c>
      <c r="AI118" s="19" t="s">
        <v>174</v>
      </c>
      <c r="AJ118" s="19"/>
      <c r="AK118" s="19" t="s">
        <v>174</v>
      </c>
      <c r="AL118" s="19"/>
      <c r="AM118" s="19"/>
      <c r="AN118" s="24"/>
      <c r="AO118" s="41"/>
    </row>
    <row r="119" spans="30:41">
      <c r="AD119" s="19" t="s">
        <v>175</v>
      </c>
      <c r="AE119" s="19"/>
      <c r="AF119" s="19" t="s">
        <v>175</v>
      </c>
      <c r="AG119" s="19"/>
      <c r="AH119" s="19">
        <f>IF(ISNUMBER(SEARCH($H$27,AI119)), MAX($AH$2:AH118)+1,0)</f>
        <v>115</v>
      </c>
      <c r="AI119" s="19" t="s">
        <v>175</v>
      </c>
      <c r="AJ119" s="19"/>
      <c r="AK119" s="19" t="s">
        <v>175</v>
      </c>
      <c r="AL119" s="19"/>
      <c r="AM119" s="19"/>
      <c r="AN119" s="24"/>
      <c r="AO119" s="41"/>
    </row>
    <row r="120" spans="30:41">
      <c r="AD120" s="19" t="s">
        <v>369</v>
      </c>
      <c r="AE120" s="19"/>
      <c r="AF120" s="19" t="s">
        <v>369</v>
      </c>
      <c r="AG120" s="19"/>
      <c r="AH120" s="19">
        <f>IF(ISNUMBER(SEARCH($H$27,AI120)), MAX($AH$2:AH119)+1,0)</f>
        <v>116</v>
      </c>
      <c r="AI120" s="19" t="s">
        <v>369</v>
      </c>
      <c r="AJ120" s="19"/>
      <c r="AK120" s="19" t="s">
        <v>369</v>
      </c>
      <c r="AL120" s="19"/>
      <c r="AM120" s="19"/>
      <c r="AN120" s="24"/>
      <c r="AO120" s="41"/>
    </row>
    <row r="121" spans="30:41">
      <c r="AD121" s="19" t="s">
        <v>37</v>
      </c>
      <c r="AE121" s="19"/>
      <c r="AF121" s="19" t="s">
        <v>37</v>
      </c>
      <c r="AG121" s="19"/>
      <c r="AH121" s="19">
        <f>IF(ISNUMBER(SEARCH($H$27,AI121)), MAX($AH$2:AH120)+1,0)</f>
        <v>117</v>
      </c>
      <c r="AI121" s="19" t="s">
        <v>37</v>
      </c>
      <c r="AJ121" s="19"/>
      <c r="AK121" s="19" t="s">
        <v>37</v>
      </c>
      <c r="AL121" s="19"/>
      <c r="AM121" s="19"/>
      <c r="AN121" s="24"/>
      <c r="AO121" s="41"/>
    </row>
    <row r="122" spans="30:41">
      <c r="AD122" s="19" t="s">
        <v>273</v>
      </c>
      <c r="AE122" s="19"/>
      <c r="AF122" s="19" t="s">
        <v>273</v>
      </c>
      <c r="AG122" s="19"/>
      <c r="AH122" s="19">
        <f>IF(ISNUMBER(SEARCH($H$27,AI122)), MAX($AH$2:AH121)+1,0)</f>
        <v>118</v>
      </c>
      <c r="AI122" s="19" t="s">
        <v>273</v>
      </c>
      <c r="AJ122" s="19"/>
      <c r="AK122" s="19" t="s">
        <v>273</v>
      </c>
      <c r="AL122" s="19"/>
      <c r="AM122" s="19"/>
      <c r="AN122" s="24"/>
      <c r="AO122" s="41"/>
    </row>
    <row r="123" spans="30:41">
      <c r="AD123" s="19" t="s">
        <v>370</v>
      </c>
      <c r="AE123" s="19"/>
      <c r="AF123" s="19" t="s">
        <v>370</v>
      </c>
      <c r="AG123" s="19"/>
      <c r="AH123" s="19">
        <f>IF(ISNUMBER(SEARCH($H$27,AI123)), MAX($AH$2:AH122)+1,0)</f>
        <v>119</v>
      </c>
      <c r="AI123" s="19" t="s">
        <v>370</v>
      </c>
      <c r="AJ123" s="19"/>
      <c r="AK123" s="19" t="s">
        <v>370</v>
      </c>
      <c r="AL123" s="19"/>
      <c r="AM123" s="19"/>
      <c r="AN123" s="24"/>
      <c r="AO123" s="41"/>
    </row>
    <row r="124" spans="30:41">
      <c r="AD124" s="19" t="s">
        <v>286</v>
      </c>
      <c r="AE124" s="19"/>
      <c r="AF124" s="19" t="s">
        <v>286</v>
      </c>
      <c r="AG124" s="19"/>
      <c r="AH124" s="19">
        <f>IF(ISNUMBER(SEARCH($H$27,AI124)), MAX($AH$2:AH123)+1,0)</f>
        <v>120</v>
      </c>
      <c r="AI124" s="19" t="s">
        <v>286</v>
      </c>
      <c r="AJ124" s="19"/>
      <c r="AK124" s="19" t="s">
        <v>286</v>
      </c>
      <c r="AL124" s="19"/>
      <c r="AM124" s="19"/>
      <c r="AN124" s="24"/>
      <c r="AO124" s="41"/>
    </row>
    <row r="125" spans="30:41">
      <c r="AD125" s="19" t="s">
        <v>38</v>
      </c>
      <c r="AE125" s="19"/>
      <c r="AF125" s="19" t="s">
        <v>38</v>
      </c>
      <c r="AG125" s="19"/>
      <c r="AH125" s="19">
        <f>IF(ISNUMBER(SEARCH($H$27,AI125)), MAX($AH$2:AH124)+1,0)</f>
        <v>121</v>
      </c>
      <c r="AI125" s="19" t="s">
        <v>38</v>
      </c>
      <c r="AJ125" s="19"/>
      <c r="AK125" s="19" t="s">
        <v>38</v>
      </c>
      <c r="AL125" s="19"/>
      <c r="AM125" s="19"/>
      <c r="AN125" s="24"/>
      <c r="AO125" s="41"/>
    </row>
    <row r="126" spans="30:41">
      <c r="AD126" s="19" t="s">
        <v>176</v>
      </c>
      <c r="AE126" s="19"/>
      <c r="AF126" s="19" t="s">
        <v>176</v>
      </c>
      <c r="AG126" s="19"/>
      <c r="AH126" s="19">
        <f>IF(ISNUMBER(SEARCH($H$27,AI126)), MAX($AH$2:AH125)+1,0)</f>
        <v>122</v>
      </c>
      <c r="AI126" s="19" t="s">
        <v>176</v>
      </c>
      <c r="AJ126" s="19"/>
      <c r="AK126" s="19" t="s">
        <v>176</v>
      </c>
      <c r="AL126" s="19"/>
      <c r="AM126" s="19"/>
      <c r="AN126" s="24"/>
      <c r="AO126" s="41"/>
    </row>
    <row r="127" spans="30:41">
      <c r="AD127" s="19" t="s">
        <v>371</v>
      </c>
      <c r="AE127" s="19"/>
      <c r="AF127" s="19" t="s">
        <v>371</v>
      </c>
      <c r="AG127" s="19"/>
      <c r="AH127" s="19">
        <f>IF(ISNUMBER(SEARCH($H$27,AI127)), MAX($AH$2:AH126)+1,0)</f>
        <v>123</v>
      </c>
      <c r="AI127" s="19" t="s">
        <v>371</v>
      </c>
      <c r="AJ127" s="19"/>
      <c r="AK127" s="19" t="s">
        <v>371</v>
      </c>
      <c r="AL127" s="19"/>
      <c r="AM127" s="19"/>
      <c r="AN127" s="24"/>
      <c r="AO127" s="41"/>
    </row>
    <row r="128" spans="30:41">
      <c r="AD128" s="19" t="s">
        <v>305</v>
      </c>
      <c r="AE128" s="19"/>
      <c r="AF128" s="19" t="s">
        <v>305</v>
      </c>
      <c r="AG128" s="19"/>
      <c r="AH128" s="19">
        <f>IF(ISNUMBER(SEARCH($H$27,AI128)), MAX($AH$2:AH127)+1,0)</f>
        <v>124</v>
      </c>
      <c r="AI128" s="19" t="s">
        <v>305</v>
      </c>
      <c r="AJ128" s="19"/>
      <c r="AK128" s="19" t="s">
        <v>305</v>
      </c>
      <c r="AL128" s="19"/>
      <c r="AM128" s="19"/>
      <c r="AN128" s="24"/>
      <c r="AO128" s="41"/>
    </row>
    <row r="129" spans="30:41">
      <c r="AD129" s="19" t="s">
        <v>281</v>
      </c>
      <c r="AE129" s="19"/>
      <c r="AF129" s="19" t="s">
        <v>281</v>
      </c>
      <c r="AG129" s="19"/>
      <c r="AH129" s="19">
        <f>IF(ISNUMBER(SEARCH($H$27,AI129)), MAX($AH$2:AH128)+1,0)</f>
        <v>125</v>
      </c>
      <c r="AI129" s="19" t="s">
        <v>281</v>
      </c>
      <c r="AJ129" s="19"/>
      <c r="AK129" s="19" t="s">
        <v>281</v>
      </c>
      <c r="AL129" s="19"/>
      <c r="AM129" s="19"/>
      <c r="AN129" s="24"/>
      <c r="AO129" s="41"/>
    </row>
    <row r="130" spans="30:41">
      <c r="AD130" s="19" t="s">
        <v>264</v>
      </c>
      <c r="AE130" s="19"/>
      <c r="AF130" s="19" t="s">
        <v>264</v>
      </c>
      <c r="AG130" s="19"/>
      <c r="AH130" s="19">
        <f>IF(ISNUMBER(SEARCH($H$27,AI130)), MAX($AH$2:AH129)+1,0)</f>
        <v>126</v>
      </c>
      <c r="AI130" s="19" t="s">
        <v>264</v>
      </c>
      <c r="AJ130" s="19"/>
      <c r="AK130" s="19" t="s">
        <v>264</v>
      </c>
      <c r="AL130" s="19"/>
      <c r="AM130" s="19"/>
      <c r="AN130" s="24"/>
      <c r="AO130" s="41"/>
    </row>
    <row r="131" spans="30:41">
      <c r="AD131" s="19" t="s">
        <v>177</v>
      </c>
      <c r="AE131" s="19"/>
      <c r="AF131" s="19" t="s">
        <v>177</v>
      </c>
      <c r="AG131" s="19"/>
      <c r="AH131" s="19">
        <f>IF(ISNUMBER(SEARCH($H$27,AI131)), MAX($AH$2:AH130)+1,0)</f>
        <v>127</v>
      </c>
      <c r="AI131" s="19" t="s">
        <v>177</v>
      </c>
      <c r="AJ131" s="19"/>
      <c r="AK131" s="19" t="s">
        <v>177</v>
      </c>
      <c r="AL131" s="19"/>
      <c r="AM131" s="19"/>
      <c r="AN131" s="24"/>
      <c r="AO131" s="41"/>
    </row>
    <row r="132" spans="30:41">
      <c r="AD132" s="19" t="s">
        <v>274</v>
      </c>
      <c r="AE132" s="19"/>
      <c r="AF132" s="19" t="s">
        <v>274</v>
      </c>
      <c r="AG132" s="19"/>
      <c r="AH132" s="19">
        <f>IF(ISNUMBER(SEARCH($H$27,AI132)), MAX($AH$2:AH131)+1,0)</f>
        <v>128</v>
      </c>
      <c r="AI132" s="19" t="s">
        <v>274</v>
      </c>
      <c r="AJ132" s="19"/>
      <c r="AK132" s="19" t="s">
        <v>274</v>
      </c>
      <c r="AL132" s="19"/>
      <c r="AM132" s="19"/>
      <c r="AN132" s="24"/>
      <c r="AO132" s="41"/>
    </row>
    <row r="133" spans="30:41">
      <c r="AD133" s="19"/>
      <c r="AE133" s="19"/>
      <c r="AF133" s="19"/>
      <c r="AG133" s="19"/>
      <c r="AH133" s="19">
        <f>IF(ISNUMBER(SEARCH($H$27,AI133)), MAX($AH$2:AH132)+1,0)</f>
        <v>0</v>
      </c>
      <c r="AI133" s="19"/>
      <c r="AJ133" s="19"/>
      <c r="AK133" s="19"/>
      <c r="AL133" s="19"/>
      <c r="AM133" s="19"/>
      <c r="AN133" s="24"/>
      <c r="AO133" s="41"/>
    </row>
    <row r="134" spans="30:41">
      <c r="AD134" s="19"/>
      <c r="AE134" s="19"/>
      <c r="AF134" s="19"/>
      <c r="AG134" s="19"/>
      <c r="AH134" s="19"/>
      <c r="AI134" s="19"/>
      <c r="AJ134" s="19"/>
      <c r="AK134" s="19"/>
      <c r="AL134" s="19"/>
      <c r="AM134" s="19"/>
      <c r="AN134" s="24"/>
      <c r="AO134" s="41"/>
    </row>
    <row r="135" spans="30:41">
      <c r="AD135" s="19"/>
      <c r="AE135" s="19"/>
      <c r="AF135" s="19"/>
      <c r="AG135" s="19"/>
      <c r="AH135" s="19"/>
      <c r="AI135" s="19"/>
      <c r="AJ135" s="19"/>
      <c r="AK135" s="19"/>
      <c r="AL135" s="19"/>
      <c r="AM135" s="19"/>
      <c r="AN135" s="24"/>
      <c r="AO135" s="41"/>
    </row>
    <row r="136" spans="30:41">
      <c r="AD136" s="19"/>
      <c r="AE136" s="19"/>
      <c r="AF136" s="19"/>
      <c r="AG136" s="19"/>
      <c r="AH136" s="19"/>
      <c r="AI136" s="19"/>
      <c r="AJ136" s="19"/>
      <c r="AK136" s="19"/>
      <c r="AL136" s="19"/>
      <c r="AM136" s="19"/>
      <c r="AN136" s="24"/>
      <c r="AO136" s="41"/>
    </row>
    <row r="137" spans="30:41">
      <c r="AD137" s="19"/>
      <c r="AE137" s="19"/>
      <c r="AF137" s="19"/>
      <c r="AG137" s="19"/>
      <c r="AH137" s="19"/>
      <c r="AI137" s="19"/>
      <c r="AJ137" s="19"/>
      <c r="AK137" s="19"/>
      <c r="AL137" s="19"/>
      <c r="AM137" s="19"/>
      <c r="AN137" s="24"/>
      <c r="AO137" s="41"/>
    </row>
    <row r="138" spans="30:41">
      <c r="AD138" s="24"/>
      <c r="AE138" s="24"/>
      <c r="AF138" s="24"/>
      <c r="AG138" s="24"/>
      <c r="AH138" s="24"/>
      <c r="AI138" s="24"/>
      <c r="AJ138" s="24"/>
      <c r="AK138" s="24"/>
      <c r="AL138" s="24"/>
      <c r="AM138" s="24"/>
      <c r="AN138" s="24"/>
      <c r="AO138" s="41"/>
    </row>
    <row r="139" spans="30:41">
      <c r="AD139" s="24"/>
      <c r="AE139" s="24"/>
      <c r="AF139" s="24"/>
      <c r="AG139" s="24"/>
      <c r="AH139" s="24"/>
      <c r="AI139" s="24"/>
      <c r="AJ139" s="24"/>
      <c r="AK139" s="24"/>
      <c r="AL139" s="24"/>
      <c r="AM139" s="24"/>
      <c r="AN139" s="24"/>
      <c r="AO139" s="41"/>
    </row>
    <row r="140" spans="30:41">
      <c r="AD140" s="24"/>
      <c r="AE140" s="24"/>
      <c r="AF140" s="24"/>
      <c r="AG140" s="24"/>
      <c r="AH140" s="24"/>
      <c r="AI140" s="24"/>
      <c r="AJ140" s="24"/>
      <c r="AK140" s="24"/>
      <c r="AL140" s="24"/>
      <c r="AM140" s="24"/>
      <c r="AN140" s="24"/>
      <c r="AO140" s="41"/>
    </row>
    <row r="141" spans="30:41">
      <c r="AD141" s="24"/>
      <c r="AE141" s="24"/>
      <c r="AF141" s="24"/>
      <c r="AG141" s="24"/>
      <c r="AH141" s="24"/>
      <c r="AI141" s="24"/>
      <c r="AJ141" s="24"/>
      <c r="AK141" s="24"/>
      <c r="AL141" s="24"/>
      <c r="AM141" s="24"/>
      <c r="AN141" s="24"/>
      <c r="AO141" s="41"/>
    </row>
    <row r="142" spans="30:41">
      <c r="AD142" s="24"/>
      <c r="AE142" s="24"/>
      <c r="AF142" s="24"/>
      <c r="AG142" s="24"/>
      <c r="AH142" s="24"/>
      <c r="AI142" s="24"/>
      <c r="AJ142" s="24"/>
      <c r="AK142" s="24"/>
      <c r="AL142" s="24"/>
      <c r="AM142" s="24"/>
      <c r="AN142" s="24"/>
      <c r="AO142" s="41"/>
    </row>
    <row r="143" spans="30:41">
      <c r="AD143" s="41"/>
      <c r="AE143" s="41"/>
      <c r="AF143" s="41"/>
      <c r="AG143" s="41"/>
      <c r="AH143" s="41"/>
      <c r="AI143" s="41"/>
      <c r="AJ143" s="41"/>
      <c r="AK143" s="41"/>
      <c r="AL143" s="41"/>
      <c r="AM143" s="41"/>
      <c r="AN143" s="41"/>
      <c r="AO143" s="41"/>
    </row>
    <row r="144" spans="30:41">
      <c r="AD144" s="41"/>
      <c r="AE144" s="41"/>
      <c r="AF144" s="41"/>
      <c r="AG144" s="41"/>
      <c r="AH144" s="41"/>
      <c r="AI144" s="41"/>
      <c r="AJ144" s="41"/>
      <c r="AK144" s="41"/>
      <c r="AL144" s="41"/>
      <c r="AM144" s="41"/>
      <c r="AN144" s="41"/>
      <c r="AO144" s="41"/>
    </row>
    <row r="145" spans="30:41">
      <c r="AD145" s="41"/>
      <c r="AE145" s="41"/>
      <c r="AF145" s="41"/>
      <c r="AG145" s="41"/>
      <c r="AH145" s="41"/>
      <c r="AI145" s="41"/>
      <c r="AJ145" s="41"/>
      <c r="AK145" s="41"/>
      <c r="AL145" s="41"/>
      <c r="AM145" s="41"/>
      <c r="AN145" s="41"/>
      <c r="AO145" s="41"/>
    </row>
    <row r="146" spans="30:41">
      <c r="AD146" s="41"/>
      <c r="AE146" s="41"/>
      <c r="AF146" s="41"/>
      <c r="AG146" s="41"/>
      <c r="AH146" s="41"/>
      <c r="AI146" s="41"/>
      <c r="AJ146" s="41"/>
      <c r="AK146" s="41"/>
      <c r="AL146" s="41"/>
      <c r="AM146" s="41"/>
      <c r="AN146" s="41"/>
      <c r="AO146" s="41"/>
    </row>
    <row r="147" spans="30:41">
      <c r="AD147" s="41"/>
      <c r="AE147" s="41"/>
      <c r="AF147" s="41"/>
      <c r="AG147" s="41"/>
      <c r="AH147" s="41"/>
      <c r="AI147" s="41"/>
      <c r="AJ147" s="41"/>
      <c r="AK147" s="41"/>
      <c r="AL147" s="41"/>
      <c r="AM147" s="41"/>
      <c r="AN147" s="41"/>
      <c r="AO147" s="41"/>
    </row>
    <row r="148" spans="30:41">
      <c r="AD148" s="41"/>
      <c r="AE148" s="41"/>
      <c r="AF148" s="41"/>
      <c r="AG148" s="41"/>
      <c r="AH148" s="41"/>
      <c r="AI148" s="41"/>
      <c r="AJ148" s="41"/>
      <c r="AK148" s="41"/>
      <c r="AL148" s="41"/>
      <c r="AM148" s="41"/>
      <c r="AN148" s="41"/>
      <c r="AO148" s="41"/>
    </row>
    <row r="149" spans="30:41">
      <c r="AD149" s="41"/>
      <c r="AE149" s="41"/>
      <c r="AF149" s="41"/>
      <c r="AG149" s="41"/>
      <c r="AH149" s="41"/>
      <c r="AI149" s="41"/>
      <c r="AJ149" s="41"/>
      <c r="AK149" s="41"/>
      <c r="AL149" s="41"/>
      <c r="AM149" s="41"/>
      <c r="AN149" s="41"/>
      <c r="AO149" s="41"/>
    </row>
    <row r="150" spans="30:41">
      <c r="AD150" s="41"/>
      <c r="AE150" s="41"/>
      <c r="AF150" s="41"/>
      <c r="AG150" s="41"/>
      <c r="AH150" s="41"/>
      <c r="AI150" s="41"/>
      <c r="AJ150" s="41"/>
      <c r="AK150" s="41"/>
      <c r="AL150" s="41"/>
      <c r="AM150" s="41"/>
      <c r="AN150" s="41"/>
      <c r="AO150" s="41"/>
    </row>
    <row r="151" spans="30:41">
      <c r="AD151" s="41"/>
      <c r="AE151" s="41"/>
      <c r="AF151" s="41"/>
      <c r="AG151" s="41"/>
      <c r="AH151" s="41"/>
      <c r="AI151" s="41"/>
      <c r="AJ151" s="41"/>
      <c r="AK151" s="41"/>
      <c r="AL151" s="41"/>
      <c r="AM151" s="41"/>
      <c r="AN151" s="41"/>
      <c r="AO151" s="41"/>
    </row>
    <row r="152" spans="30:41">
      <c r="AD152" s="41"/>
      <c r="AE152" s="41"/>
      <c r="AF152" s="41"/>
      <c r="AG152" s="41"/>
      <c r="AH152" s="41"/>
      <c r="AI152" s="41"/>
      <c r="AJ152" s="41"/>
      <c r="AK152" s="41"/>
      <c r="AL152" s="41"/>
      <c r="AM152" s="41"/>
      <c r="AN152" s="41"/>
      <c r="AO152" s="41"/>
    </row>
    <row r="153" spans="30:41">
      <c r="AD153" s="41"/>
      <c r="AE153" s="41"/>
      <c r="AF153" s="41"/>
      <c r="AG153" s="41"/>
      <c r="AH153" s="41"/>
      <c r="AI153" s="41"/>
      <c r="AJ153" s="41"/>
      <c r="AK153" s="41"/>
      <c r="AL153" s="41"/>
      <c r="AM153" s="41"/>
      <c r="AN153" s="41"/>
      <c r="AO153" s="41"/>
    </row>
    <row r="154" spans="30:41">
      <c r="AD154" s="41"/>
      <c r="AE154" s="41"/>
      <c r="AF154" s="41"/>
      <c r="AG154" s="41"/>
      <c r="AH154" s="41"/>
      <c r="AI154" s="41"/>
      <c r="AJ154" s="41"/>
      <c r="AK154" s="41"/>
      <c r="AL154" s="41"/>
      <c r="AM154" s="41"/>
      <c r="AN154" s="41"/>
      <c r="AO154" s="41"/>
    </row>
    <row r="155" spans="30:41">
      <c r="AD155" s="41"/>
      <c r="AE155" s="41"/>
      <c r="AF155" s="41"/>
      <c r="AG155" s="41"/>
      <c r="AH155" s="41"/>
      <c r="AI155" s="41"/>
      <c r="AJ155" s="41"/>
      <c r="AK155" s="41"/>
      <c r="AL155" s="41"/>
      <c r="AM155" s="41"/>
      <c r="AN155" s="41"/>
      <c r="AO155" s="41"/>
    </row>
    <row r="156" spans="30:41">
      <c r="AD156" s="41"/>
      <c r="AE156" s="41"/>
      <c r="AF156" s="41"/>
      <c r="AG156" s="41"/>
      <c r="AH156" s="41"/>
      <c r="AI156" s="41"/>
      <c r="AJ156" s="41"/>
      <c r="AK156" s="41"/>
      <c r="AL156" s="41"/>
      <c r="AM156" s="41"/>
      <c r="AN156" s="41"/>
      <c r="AO156" s="41"/>
    </row>
    <row r="157" spans="30:41">
      <c r="AD157" s="41"/>
      <c r="AE157" s="41"/>
      <c r="AF157" s="41"/>
      <c r="AG157" s="41"/>
      <c r="AH157" s="41"/>
      <c r="AI157" s="41"/>
      <c r="AJ157" s="41"/>
      <c r="AK157" s="41"/>
      <c r="AL157" s="41"/>
      <c r="AM157" s="41"/>
      <c r="AN157" s="41"/>
      <c r="AO157" s="41"/>
    </row>
    <row r="158" spans="30:41">
      <c r="AD158" s="41"/>
      <c r="AE158" s="41"/>
      <c r="AF158" s="41"/>
      <c r="AG158" s="41"/>
      <c r="AH158" s="41"/>
      <c r="AI158" s="41"/>
      <c r="AJ158" s="41"/>
      <c r="AK158" s="41"/>
      <c r="AL158" s="41"/>
      <c r="AM158" s="41"/>
      <c r="AN158" s="41"/>
      <c r="AO158" s="41"/>
    </row>
    <row r="159" spans="30:41">
      <c r="AD159" s="41"/>
      <c r="AE159" s="41"/>
      <c r="AF159" s="41"/>
      <c r="AG159" s="41"/>
      <c r="AH159" s="41"/>
      <c r="AI159" s="41"/>
      <c r="AJ159" s="41"/>
      <c r="AK159" s="41"/>
      <c r="AL159" s="41"/>
      <c r="AM159" s="41"/>
      <c r="AN159" s="41"/>
      <c r="AO159" s="41"/>
    </row>
    <row r="160" spans="30:41">
      <c r="AD160" s="41"/>
      <c r="AE160" s="41"/>
      <c r="AF160" s="41"/>
      <c r="AG160" s="41"/>
      <c r="AH160" s="41"/>
      <c r="AI160" s="41"/>
      <c r="AJ160" s="41"/>
      <c r="AK160" s="41"/>
      <c r="AL160" s="41"/>
      <c r="AM160" s="41"/>
      <c r="AN160" s="41"/>
      <c r="AO160" s="41"/>
    </row>
    <row r="161" spans="30:41">
      <c r="AD161" s="41"/>
      <c r="AE161" s="41"/>
      <c r="AF161" s="41"/>
      <c r="AG161" s="41"/>
      <c r="AH161" s="41"/>
      <c r="AI161" s="41"/>
      <c r="AJ161" s="41"/>
      <c r="AK161" s="41"/>
      <c r="AL161" s="41"/>
      <c r="AM161" s="41"/>
      <c r="AN161" s="41"/>
      <c r="AO161" s="41"/>
    </row>
    <row r="162" spans="30:41">
      <c r="AD162" s="41"/>
      <c r="AE162" s="41"/>
      <c r="AF162" s="41"/>
      <c r="AG162" s="41"/>
      <c r="AH162" s="41"/>
      <c r="AI162" s="41"/>
      <c r="AJ162" s="41"/>
      <c r="AK162" s="41"/>
      <c r="AL162" s="41"/>
      <c r="AM162" s="41"/>
      <c r="AN162" s="41"/>
      <c r="AO162" s="41"/>
    </row>
    <row r="163" spans="30:41">
      <c r="AD163" s="41"/>
      <c r="AE163" s="41"/>
      <c r="AF163" s="41"/>
      <c r="AG163" s="41"/>
      <c r="AH163" s="41"/>
      <c r="AI163" s="41"/>
      <c r="AJ163" s="41"/>
      <c r="AK163" s="41"/>
      <c r="AL163" s="41"/>
      <c r="AM163" s="41"/>
      <c r="AN163" s="41"/>
      <c r="AO163" s="41"/>
    </row>
    <row r="164" spans="30:41">
      <c r="AD164" s="41"/>
      <c r="AE164" s="41"/>
      <c r="AF164" s="41"/>
      <c r="AG164" s="41"/>
      <c r="AH164" s="41"/>
      <c r="AI164" s="41"/>
      <c r="AJ164" s="41"/>
      <c r="AK164" s="41"/>
      <c r="AL164" s="41"/>
      <c r="AM164" s="41"/>
      <c r="AN164" s="41"/>
      <c r="AO164" s="41"/>
    </row>
    <row r="165" spans="30:41">
      <c r="AD165" s="41"/>
      <c r="AE165" s="41"/>
      <c r="AF165" s="41"/>
      <c r="AG165" s="41"/>
      <c r="AH165" s="41"/>
      <c r="AI165" s="41"/>
      <c r="AJ165" s="41"/>
      <c r="AK165" s="41"/>
      <c r="AL165" s="41"/>
      <c r="AM165" s="41"/>
      <c r="AN165" s="41"/>
      <c r="AO165" s="41"/>
    </row>
    <row r="166" spans="30:41">
      <c r="AD166" s="41"/>
      <c r="AE166" s="41"/>
      <c r="AF166" s="41"/>
      <c r="AG166" s="41"/>
      <c r="AH166" s="41"/>
      <c r="AI166" s="41"/>
      <c r="AJ166" s="41"/>
      <c r="AK166" s="41"/>
      <c r="AL166" s="41"/>
      <c r="AM166" s="41"/>
      <c r="AN166" s="41"/>
      <c r="AO166" s="41"/>
    </row>
    <row r="167" spans="30:41">
      <c r="AD167" s="41"/>
      <c r="AE167" s="41"/>
      <c r="AF167" s="41"/>
      <c r="AG167" s="41"/>
      <c r="AH167" s="41"/>
      <c r="AI167" s="41"/>
      <c r="AJ167" s="41"/>
      <c r="AK167" s="41"/>
      <c r="AL167" s="41"/>
      <c r="AM167" s="41"/>
      <c r="AN167" s="41"/>
      <c r="AO167" s="41"/>
    </row>
    <row r="168" spans="30:41">
      <c r="AD168" s="41"/>
      <c r="AE168" s="41"/>
      <c r="AF168" s="41"/>
      <c r="AG168" s="41"/>
      <c r="AH168" s="41"/>
      <c r="AI168" s="41"/>
      <c r="AJ168" s="41"/>
      <c r="AK168" s="41"/>
      <c r="AL168" s="41"/>
      <c r="AM168" s="41"/>
      <c r="AN168" s="41"/>
      <c r="AO168" s="41"/>
    </row>
    <row r="169" spans="30:41">
      <c r="AD169" s="41"/>
      <c r="AE169" s="41"/>
      <c r="AF169" s="41"/>
      <c r="AG169" s="41"/>
      <c r="AH169" s="41"/>
      <c r="AI169" s="41"/>
      <c r="AJ169" s="41"/>
      <c r="AK169" s="41"/>
      <c r="AL169" s="41"/>
      <c r="AM169" s="41"/>
      <c r="AN169" s="41"/>
      <c r="AO169" s="41"/>
    </row>
    <row r="170" spans="30:41">
      <c r="AD170" s="41"/>
      <c r="AE170" s="41"/>
      <c r="AF170" s="41"/>
      <c r="AG170" s="41"/>
      <c r="AH170" s="41"/>
      <c r="AI170" s="41"/>
      <c r="AJ170" s="41"/>
      <c r="AK170" s="41"/>
      <c r="AL170" s="41"/>
      <c r="AM170" s="41"/>
      <c r="AN170" s="41"/>
      <c r="AO170" s="41"/>
    </row>
    <row r="171" spans="30:41">
      <c r="AD171" s="41"/>
      <c r="AE171" s="41"/>
      <c r="AF171" s="41"/>
      <c r="AG171" s="41"/>
      <c r="AH171" s="41"/>
      <c r="AI171" s="41"/>
      <c r="AJ171" s="41"/>
      <c r="AK171" s="41"/>
      <c r="AL171" s="41"/>
      <c r="AM171" s="41"/>
      <c r="AN171" s="41"/>
      <c r="AO171" s="41"/>
    </row>
  </sheetData>
  <sheetProtection algorithmName="SHA-512" hashValue="mPxFyDKIL1rG6sT71fT14HyyJGQ3nm5P+YZTfPvZ8mBcmEoHDfgc3oOyxPKQnXVEO0Su6cspPPRbIiMDdyJ6Xg==" saltValue="gIDa0VHjXel1Fxf4x1/yRw==" spinCount="100000" sheet="1" selectLockedCells="1"/>
  <customSheetViews>
    <customSheetView guid="{6FDBC1BF-99FD-492F-9A38-B1FC9531BD14}" showGridLines="0" fitToPage="1" topLeftCell="A7">
      <selection activeCell="H25" sqref="H25:M25"/>
      <pageMargins left="0.7" right="0.7" top="0.5" bottom="0.5" header="0.3" footer="0.3"/>
      <pageSetup scale="88" fitToHeight="0" orientation="landscape" r:id="rId1"/>
    </customSheetView>
    <customSheetView guid="{C17C9B4A-0866-4AA0-BC6D-B2274E9D30D3}" showGridLines="0" fitToPage="1" topLeftCell="A7">
      <selection activeCell="H25" sqref="H25:M25"/>
      <pageMargins left="0.7" right="0.7" top="0.5" bottom="0.5" header="0.3" footer="0.3"/>
      <pageSetup scale="88" fitToHeight="0" orientation="landscape" r:id="rId2"/>
    </customSheetView>
  </customSheetViews>
  <mergeCells count="38">
    <mergeCell ref="F17:G17"/>
    <mergeCell ref="H17:J17"/>
    <mergeCell ref="B48:D48"/>
    <mergeCell ref="B47:N47"/>
    <mergeCell ref="B37:N37"/>
    <mergeCell ref="H21:M21"/>
    <mergeCell ref="H23:M23"/>
    <mergeCell ref="F29:G29"/>
    <mergeCell ref="B40:N40"/>
    <mergeCell ref="B46:N46"/>
    <mergeCell ref="C42:E42"/>
    <mergeCell ref="B39:N39"/>
    <mergeCell ref="H27:M27"/>
    <mergeCell ref="D19:G19"/>
    <mergeCell ref="H19:J19"/>
    <mergeCell ref="B36:N36"/>
    <mergeCell ref="D2:L2"/>
    <mergeCell ref="B4:N4"/>
    <mergeCell ref="B6:N6"/>
    <mergeCell ref="D12:M12"/>
    <mergeCell ref="F14:G14"/>
    <mergeCell ref="D14:E14"/>
    <mergeCell ref="F10:G10"/>
    <mergeCell ref="H10:M10"/>
    <mergeCell ref="C3:N3"/>
    <mergeCell ref="D8:F8"/>
    <mergeCell ref="H30:M30"/>
    <mergeCell ref="E30:G30"/>
    <mergeCell ref="F32:G32"/>
    <mergeCell ref="H32:M32"/>
    <mergeCell ref="E33:G33"/>
    <mergeCell ref="H33:M33"/>
    <mergeCell ref="E21:G21"/>
    <mergeCell ref="E23:G23"/>
    <mergeCell ref="E25:G25"/>
    <mergeCell ref="E27:G27"/>
    <mergeCell ref="F28:H28"/>
    <mergeCell ref="H25:M25"/>
  </mergeCells>
  <conditionalFormatting sqref="B4:N4">
    <cfRule type="expression" dxfId="1137" priority="7">
      <formula>$B$4="Preliminary Site Visit Report"</formula>
    </cfRule>
  </conditionalFormatting>
  <conditionalFormatting sqref="B6:N6">
    <cfRule type="expression" dxfId="1136" priority="5">
      <formula>$B$4="Preliminary Site Visit Report"</formula>
    </cfRule>
  </conditionalFormatting>
  <conditionalFormatting sqref="B36:N36">
    <cfRule type="expression" dxfId="1135" priority="4">
      <formula>$B$4="Preliminary Site Visit Report"</formula>
    </cfRule>
  </conditionalFormatting>
  <conditionalFormatting sqref="B37:N37">
    <cfRule type="expression" dxfId="1134" priority="3">
      <formula>$B$4="Preliminary Site Visit Report"</formula>
    </cfRule>
  </conditionalFormatting>
  <conditionalFormatting sqref="D2:L2">
    <cfRule type="expression" dxfId="1133" priority="6">
      <formula>$B$4="Preliminary Site Visit Report"</formula>
    </cfRule>
  </conditionalFormatting>
  <conditionalFormatting sqref="D8:N8">
    <cfRule type="expression" dxfId="1132" priority="1">
      <formula>$D8="Paramedic"</formula>
    </cfRule>
    <cfRule type="expression" dxfId="1131" priority="2">
      <formula>$D8="AEMT"</formula>
    </cfRule>
  </conditionalFormatting>
  <dataValidations count="6">
    <dataValidation type="list" allowBlank="1" showInputMessage="1" showErrorMessage="1" sqref="H33:M33"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44" r:id="rId3" display="mailto:jennifer@coaemsp.org" xr:uid="{00000000-0004-0000-0100-000000000000}"/>
  </hyperlinks>
  <pageMargins left="0.7" right="0.7" top="0.5" bottom="0.5" header="0.3" footer="0.3"/>
  <pageSetup scale="81"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379"/>
  <sheetViews>
    <sheetView showGridLines="0" zoomScale="80" zoomScaleNormal="80" workbookViewId="0">
      <pane ySplit="6" topLeftCell="A7" activePane="bottomLeft" state="frozen"/>
      <selection activeCell="B35" sqref="B35:N38"/>
      <selection pane="bottomLeft" activeCell="G17" sqref="G17"/>
    </sheetView>
  </sheetViews>
  <sheetFormatPr defaultColWidth="8.875" defaultRowHeight="14.25"/>
  <cols>
    <col min="1" max="1" width="3.625" customWidth="1"/>
    <col min="2" max="2" width="12.625" customWidth="1"/>
    <col min="3" max="3" width="13.625" customWidth="1"/>
    <col min="4" max="4" width="5.625" customWidth="1"/>
    <col min="5" max="5" width="13.625" customWidth="1"/>
    <col min="6" max="6" width="12.625" customWidth="1"/>
    <col min="7" max="7" width="10.625" customWidth="1"/>
    <col min="8" max="8" width="7.125" customWidth="1"/>
    <col min="9" max="9" width="35.625" customWidth="1"/>
    <col min="10" max="10" width="18.625" customWidth="1"/>
    <col min="11" max="11" width="15.625" customWidth="1"/>
    <col min="12" max="12" width="17.625" customWidth="1"/>
    <col min="13" max="13" width="15.625" style="19" customWidth="1"/>
    <col min="14" max="14" width="12.625" style="19" customWidth="1"/>
    <col min="15" max="15" width="10.625" style="19" customWidth="1"/>
    <col min="16" max="16" width="8.625" style="19" customWidth="1"/>
    <col min="17" max="17" width="12.625" style="41" customWidth="1"/>
    <col min="18" max="18" width="10.625" style="19" customWidth="1"/>
    <col min="19" max="19" width="8.625" style="19" customWidth="1"/>
    <col min="20" max="20" width="12.625" style="19" customWidth="1"/>
    <col min="21" max="21" width="10.625" style="19" customWidth="1"/>
    <col min="22" max="22" width="8.625" style="19" customWidth="1"/>
    <col min="23" max="23" width="12.625" style="19" customWidth="1"/>
    <col min="24" max="24" width="10.625" style="19" customWidth="1"/>
    <col min="25" max="25" width="8.625" style="19" customWidth="1"/>
    <col min="26" max="26" width="12.625" style="19" customWidth="1"/>
    <col min="27" max="27" width="10.625" style="19" customWidth="1"/>
    <col min="28" max="28" width="8.625" style="19" customWidth="1"/>
    <col min="29" max="29" width="12.625" style="19" customWidth="1"/>
    <col min="30" max="30" width="10.625" style="19" customWidth="1"/>
    <col min="31" max="31" width="8.625" style="19" customWidth="1"/>
    <col min="32" max="105" width="8.875" style="19"/>
  </cols>
  <sheetData>
    <row r="1" spans="2:105" ht="7.5" customHeight="1">
      <c r="I1" s="1"/>
      <c r="J1" s="1"/>
    </row>
    <row r="2" spans="2:105" ht="50.1" customHeight="1">
      <c r="B2" s="455" t="str">
        <f>IF('Cover Page'!B4="Preliminary Site Visit Report","PRELIMINARY SITE VISIT REPORT FINDINGS","    SITE VISIT REPORT FINDINGS")</f>
        <v xml:space="preserve">    SITE VISIT REPORT FINDINGS</v>
      </c>
      <c r="C2" s="456"/>
      <c r="D2" s="456"/>
      <c r="E2" s="456"/>
      <c r="F2" s="456"/>
      <c r="G2" s="456"/>
      <c r="H2" s="456"/>
      <c r="I2" s="456"/>
      <c r="J2" s="456"/>
      <c r="K2" s="456"/>
      <c r="L2" s="457"/>
      <c r="N2" s="15"/>
    </row>
    <row r="3" spans="2:105" ht="29.1" customHeight="1">
      <c r="B3" s="168"/>
      <c r="C3" s="169"/>
      <c r="D3" s="169"/>
      <c r="E3" s="170">
        <f>'Cover Page'!D10</f>
        <v>0</v>
      </c>
      <c r="F3" s="633">
        <f>'Cover Page'!D12</f>
        <v>0</v>
      </c>
      <c r="G3" s="633"/>
      <c r="H3" s="633"/>
      <c r="I3" s="633"/>
      <c r="J3" s="633"/>
      <c r="K3" s="633"/>
      <c r="L3" s="171"/>
    </row>
    <row r="4" spans="2:105" ht="24" customHeight="1">
      <c r="B4" s="639" t="s">
        <v>599</v>
      </c>
      <c r="C4" s="640"/>
      <c r="D4" s="640"/>
      <c r="E4" s="640"/>
      <c r="F4" s="640"/>
      <c r="G4" s="640"/>
      <c r="H4" s="640"/>
      <c r="I4" s="640"/>
      <c r="J4" s="640"/>
      <c r="K4" s="640"/>
      <c r="L4" s="641"/>
    </row>
    <row r="5" spans="2:105" s="2" customFormat="1" ht="30.75" customHeight="1">
      <c r="B5" s="172" t="s">
        <v>103</v>
      </c>
      <c r="C5" s="646" t="s">
        <v>576</v>
      </c>
      <c r="D5" s="646"/>
      <c r="E5" s="607" t="s">
        <v>178</v>
      </c>
      <c r="F5" s="607"/>
      <c r="G5" s="607" t="s">
        <v>179</v>
      </c>
      <c r="H5" s="607"/>
      <c r="I5" s="173" t="s">
        <v>180</v>
      </c>
      <c r="J5" s="173" t="s">
        <v>600</v>
      </c>
      <c r="K5" s="642"/>
      <c r="L5" s="643"/>
      <c r="M5" s="53"/>
      <c r="N5" s="53"/>
      <c r="O5" s="53"/>
      <c r="P5" s="53"/>
      <c r="Q5" s="282"/>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c r="B6" s="174" t="s">
        <v>10</v>
      </c>
      <c r="C6" s="637" t="s">
        <v>11</v>
      </c>
      <c r="D6" s="637"/>
      <c r="E6" s="637"/>
      <c r="F6" s="637"/>
      <c r="G6" s="175" t="s">
        <v>12</v>
      </c>
      <c r="H6" s="613" t="s">
        <v>292</v>
      </c>
      <c r="I6" s="613"/>
      <c r="J6" s="613" t="s">
        <v>293</v>
      </c>
      <c r="K6" s="613"/>
      <c r="L6" s="614"/>
    </row>
    <row r="7" spans="2:105" s="146" customFormat="1" ht="27" customHeight="1">
      <c r="B7" s="499" t="str">
        <f>IF('Cover Page'!$D$8&lt;&gt;"Please Select",'Cover Page'!$D$8, "Select Program Level on the Cover Page tab")</f>
        <v>Select Program Level on the Cover Page tab</v>
      </c>
      <c r="C7" s="500"/>
      <c r="D7" s="500"/>
      <c r="E7" s="500"/>
      <c r="F7" s="500"/>
      <c r="G7" s="500"/>
      <c r="H7" s="500"/>
      <c r="I7" s="500"/>
      <c r="J7" s="500"/>
      <c r="K7" s="500"/>
      <c r="L7" s="501"/>
      <c r="Q7" s="283"/>
    </row>
    <row r="8" spans="2:105" s="146" customFormat="1" ht="20.25" customHeight="1">
      <c r="B8" s="561" t="s">
        <v>13</v>
      </c>
      <c r="C8" s="562"/>
      <c r="D8" s="562"/>
      <c r="E8" s="562"/>
      <c r="F8" s="562"/>
      <c r="G8" s="562"/>
      <c r="H8" s="562"/>
      <c r="I8" s="562"/>
      <c r="J8" s="562"/>
      <c r="K8" s="562"/>
      <c r="L8" s="563"/>
      <c r="M8" s="147" t="s">
        <v>799</v>
      </c>
      <c r="N8" s="147" t="s">
        <v>800</v>
      </c>
      <c r="O8" s="147" t="s">
        <v>119</v>
      </c>
      <c r="P8" s="147" t="s">
        <v>798</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c r="B9" s="410" t="s">
        <v>601</v>
      </c>
      <c r="C9" s="411"/>
      <c r="D9" s="411"/>
      <c r="E9" s="411"/>
      <c r="F9" s="411"/>
      <c r="G9" s="411"/>
      <c r="H9" s="411"/>
      <c r="I9" s="411"/>
      <c r="J9" s="411"/>
      <c r="K9" s="411"/>
      <c r="L9" s="412"/>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c r="B10" s="206" t="s">
        <v>104</v>
      </c>
      <c r="C10" s="609" t="s">
        <v>519</v>
      </c>
      <c r="D10" s="610"/>
      <c r="E10" s="610"/>
      <c r="F10" s="611"/>
      <c r="G10" s="148"/>
      <c r="I10" s="149"/>
      <c r="J10" s="612"/>
      <c r="K10" s="612"/>
      <c r="L10" s="612"/>
      <c r="M10" s="147"/>
      <c r="N10" s="147"/>
      <c r="O10" s="147"/>
      <c r="P10" s="147"/>
      <c r="Q10" s="147"/>
      <c r="R10" s="147"/>
      <c r="S10" s="147"/>
      <c r="T10" s="147"/>
      <c r="U10" s="147"/>
      <c r="V10" s="147"/>
      <c r="W10" s="147"/>
      <c r="X10" s="147"/>
      <c r="Y10" s="147"/>
      <c r="Z10" s="147"/>
      <c r="AA10" s="147" t="s">
        <v>295</v>
      </c>
      <c r="AB10" s="147" t="s">
        <v>296</v>
      </c>
      <c r="AC10" s="147" t="s">
        <v>606</v>
      </c>
      <c r="AD10" s="147" t="s">
        <v>605</v>
      </c>
      <c r="AE10" s="147" t="s">
        <v>298</v>
      </c>
      <c r="AF10" s="147" t="s">
        <v>603</v>
      </c>
      <c r="AG10" s="147" t="s">
        <v>604</v>
      </c>
      <c r="AH10" s="147" t="s">
        <v>607</v>
      </c>
      <c r="AI10" s="147" t="s">
        <v>608</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c r="B11" s="505" t="s">
        <v>20</v>
      </c>
      <c r="C11" s="618" t="s">
        <v>295</v>
      </c>
      <c r="D11" s="619"/>
      <c r="E11" s="619"/>
      <c r="F11" s="619"/>
      <c r="G11" s="628"/>
      <c r="H11" s="497"/>
      <c r="I11" s="622" t="s">
        <v>729</v>
      </c>
      <c r="J11" s="421"/>
      <c r="K11" s="422"/>
      <c r="L11" s="423"/>
      <c r="Q11" s="19" t="s">
        <v>248</v>
      </c>
    </row>
    <row r="12" spans="2:105" ht="29.1" customHeight="1">
      <c r="B12" s="507"/>
      <c r="C12" s="620"/>
      <c r="D12" s="621"/>
      <c r="E12" s="621"/>
      <c r="F12" s="621"/>
      <c r="G12" s="629"/>
      <c r="H12" s="624"/>
      <c r="I12" s="623"/>
      <c r="J12" s="625"/>
      <c r="K12" s="626"/>
      <c r="L12" s="627"/>
      <c r="Q12" s="19" t="s">
        <v>602</v>
      </c>
    </row>
    <row r="13" spans="2:105" ht="47.25" customHeight="1">
      <c r="B13" s="615" t="str">
        <f>IF(LEFT(C11,5)="I.A.5", "I.A.5", "N/A")</f>
        <v>N/A</v>
      </c>
      <c r="C13" s="606" t="str">
        <f>IF(LEFT(C11,5)="I.A.5", "Entity consisting of 2 or more members with at least one member meets I.A.", "")</f>
        <v/>
      </c>
      <c r="D13" s="606"/>
      <c r="E13" s="606"/>
      <c r="F13" s="606"/>
      <c r="G13" s="617"/>
      <c r="H13" s="294"/>
      <c r="I13" s="295" t="str">
        <f>IF(LEFT(C11,5)="I.A.5","Valid institutional accreditation letter. [All I.A.1 or I.A.3 sponsors]", "")</f>
        <v/>
      </c>
      <c r="J13" s="616"/>
      <c r="K13" s="616"/>
      <c r="L13" s="616"/>
      <c r="Q13" s="19" t="s">
        <v>602</v>
      </c>
    </row>
    <row r="14" spans="2:105" ht="52.5" customHeight="1">
      <c r="B14" s="615"/>
      <c r="C14" s="608" t="str">
        <f>IF(LEFT(C11,5)="I.A.5", "Site Visit Team:  Please complete the Consortium Addendum and the end of the Site Visit Report Findings (this tab).", "")</f>
        <v/>
      </c>
      <c r="D14" s="608"/>
      <c r="E14" s="608"/>
      <c r="F14" s="608"/>
      <c r="G14" s="617"/>
      <c r="H14" s="294"/>
      <c r="I14" s="295" t="str">
        <f>IF(LEFT(C11,5)="I.A.5","Legal authorization to provide postsecondary education 
[All I.A.1, I.A.2, and I.A.3 sponsors]","")</f>
        <v/>
      </c>
      <c r="J14" s="616"/>
      <c r="K14" s="616"/>
      <c r="L14" s="616"/>
      <c r="Q14" s="19"/>
    </row>
    <row r="15" spans="2:105" ht="80.25" customHeight="1">
      <c r="B15" s="316" t="str">
        <f>IF(LEFT(C11,5)="I.A.5", "I.A.5", "N/A")</f>
        <v>N/A</v>
      </c>
      <c r="C15" s="606" t="str">
        <f>IF(LEFT(C11,5)="I.A.5", "Clearly documented with a formal affiliation agreement or memorandum of understanding, including governance and lines of authority", "")</f>
        <v/>
      </c>
      <c r="D15" s="606"/>
      <c r="E15" s="606"/>
      <c r="F15" s="606"/>
      <c r="G15" s="293"/>
      <c r="H15" s="294"/>
      <c r="I15" s="295" t="str">
        <f>IF(LEFT(C11,5)="I.A.5", "Affiliation agreement or Memorandum of Understanding [All I.A.2, I.A.3, I.A.4, and I.A.5 sponsors or I.A.1 sponsors that do not award college credit for the program]", "")</f>
        <v/>
      </c>
      <c r="J15" s="565"/>
      <c r="K15" s="565"/>
      <c r="L15" s="565"/>
      <c r="Q15" s="19" t="s">
        <v>602</v>
      </c>
    </row>
    <row r="16" spans="2:105" ht="20.25" customHeight="1">
      <c r="B16" s="580" t="s">
        <v>609</v>
      </c>
      <c r="C16" s="566"/>
      <c r="D16" s="566"/>
      <c r="E16" s="566"/>
      <c r="F16" s="566"/>
      <c r="G16" s="566"/>
      <c r="H16" s="566"/>
      <c r="I16" s="566"/>
      <c r="J16" s="566"/>
      <c r="K16" s="566"/>
      <c r="L16" s="581"/>
      <c r="Q16" s="19"/>
    </row>
    <row r="17" spans="2:105" ht="37.5" customHeight="1">
      <c r="B17" s="272" t="s">
        <v>610</v>
      </c>
      <c r="C17" s="567" t="s">
        <v>581</v>
      </c>
      <c r="D17" s="567"/>
      <c r="E17" s="567"/>
      <c r="F17" s="567"/>
      <c r="G17" s="273"/>
      <c r="H17" s="192"/>
      <c r="I17" s="193"/>
      <c r="J17" s="577"/>
      <c r="K17" s="578"/>
      <c r="L17" s="579"/>
      <c r="Q17" s="19" t="s">
        <v>614</v>
      </c>
    </row>
    <row r="18" spans="2:105" ht="54" customHeight="1">
      <c r="B18" s="272" t="s">
        <v>611</v>
      </c>
      <c r="C18" s="567" t="s">
        <v>613</v>
      </c>
      <c r="D18" s="567"/>
      <c r="E18" s="567"/>
      <c r="F18" s="567"/>
      <c r="G18" s="273"/>
      <c r="H18" s="192"/>
      <c r="I18" s="193" t="s">
        <v>797</v>
      </c>
      <c r="J18" s="577"/>
      <c r="K18" s="578"/>
      <c r="L18" s="579"/>
      <c r="Q18" s="19" t="s">
        <v>615</v>
      </c>
    </row>
    <row r="19" spans="2:105" ht="62.25" customHeight="1">
      <c r="B19" s="207" t="s">
        <v>612</v>
      </c>
      <c r="C19" s="567" t="s">
        <v>685</v>
      </c>
      <c r="D19" s="567"/>
      <c r="E19" s="567"/>
      <c r="F19" s="567"/>
      <c r="G19" s="273"/>
      <c r="H19" s="192"/>
      <c r="I19" s="193" t="s">
        <v>796</v>
      </c>
      <c r="J19" s="577"/>
      <c r="K19" s="578"/>
      <c r="L19" s="579"/>
      <c r="Q19" s="19" t="s">
        <v>616</v>
      </c>
    </row>
    <row r="20" spans="2:105" s="146" customFormat="1" ht="27" customHeight="1">
      <c r="B20" s="499" t="str">
        <f>IF('Cover Page'!$D$8&lt;&gt;"Please Select",'Cover Page'!$D$8, "Select Program Level on the Cover Page tab")</f>
        <v>Select Program Level on the Cover Page tab</v>
      </c>
      <c r="C20" s="500"/>
      <c r="D20" s="500"/>
      <c r="E20" s="500"/>
      <c r="F20" s="500"/>
      <c r="G20" s="500"/>
      <c r="H20" s="500"/>
      <c r="I20" s="500"/>
      <c r="J20" s="500"/>
      <c r="K20" s="500"/>
      <c r="L20" s="501"/>
      <c r="Q20" s="283"/>
    </row>
    <row r="21" spans="2:105" ht="20.25" customHeight="1">
      <c r="B21" s="561" t="s">
        <v>14</v>
      </c>
      <c r="C21" s="562"/>
      <c r="D21" s="562"/>
      <c r="E21" s="562"/>
      <c r="F21" s="562"/>
      <c r="G21" s="562"/>
      <c r="H21" s="562"/>
      <c r="I21" s="562"/>
      <c r="J21" s="562"/>
      <c r="K21" s="562"/>
      <c r="L21" s="563"/>
    </row>
    <row r="22" spans="2:105" ht="20.25" customHeight="1">
      <c r="B22" s="410" t="s">
        <v>617</v>
      </c>
      <c r="C22" s="411"/>
      <c r="D22" s="411"/>
      <c r="E22" s="411"/>
      <c r="F22" s="411"/>
      <c r="G22" s="411"/>
      <c r="H22" s="411"/>
      <c r="I22" s="411"/>
      <c r="J22" s="411"/>
      <c r="K22" s="411"/>
      <c r="L22" s="412"/>
    </row>
    <row r="23" spans="2:105" s="218" customFormat="1" ht="134.25" customHeight="1">
      <c r="B23" s="209" t="str">
        <f>IF('Cover Page'!$D$8="AEMT","II.A.2",IF('Cover Page'!$D$8="Paramedic","II.A.1","II.A.1. &amp; 2."))</f>
        <v>II.A.1. &amp; 2.</v>
      </c>
      <c r="C23" s="472"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473"/>
      <c r="E23" s="473"/>
      <c r="F23" s="474"/>
      <c r="G23" s="210"/>
      <c r="H23" s="211"/>
      <c r="I23" s="212" t="s">
        <v>774</v>
      </c>
      <c r="J23" s="571"/>
      <c r="K23" s="572"/>
      <c r="L23" s="573"/>
      <c r="Q23" s="19" t="str">
        <f>"Standard "&amp; B23 &amp;" Program Goals and Minimum Expectations"</f>
        <v>Standard II.A.1. &amp; 2. Program Goals and Minimum Expectations</v>
      </c>
    </row>
    <row r="24" spans="2:105" s="213" customFormat="1" ht="47.25" customHeight="1">
      <c r="B24" s="574" t="str">
        <f>IF('Cover Page'!$D$8="AEMT","II.A.2",IF('Cover Page'!$D$8="Paramedic","II.A.1","II.A.1. &amp; 2."))</f>
        <v>II.A.1. &amp; 2.</v>
      </c>
      <c r="C24" s="591" t="s">
        <v>199</v>
      </c>
      <c r="D24" s="592"/>
      <c r="E24" s="592"/>
      <c r="F24" s="593"/>
      <c r="G24" s="594"/>
      <c r="H24" s="211"/>
      <c r="I24" s="212" t="s">
        <v>775</v>
      </c>
      <c r="J24" s="597"/>
      <c r="K24" s="598"/>
      <c r="L24" s="599"/>
      <c r="M24" s="19"/>
      <c r="N24" s="214"/>
      <c r="O24" s="214"/>
      <c r="P24" s="214"/>
      <c r="Q24" s="214" t="str">
        <f>"Standard "&amp; B23 &amp;" Program Goals and Minimum Expectations"</f>
        <v>Standard II.A.1. &amp; 2. Program Goals and Minimum Expectations</v>
      </c>
      <c r="R24" s="214"/>
      <c r="S24" s="214"/>
      <c r="T24" s="214"/>
      <c r="U24" s="214"/>
      <c r="V24" s="214"/>
      <c r="W24" s="214"/>
      <c r="X24" s="214"/>
      <c r="Y24" s="214"/>
      <c r="Z24" s="214"/>
      <c r="AA24" s="214"/>
      <c r="AB24" s="214"/>
      <c r="AC24" s="214"/>
      <c r="AD24" s="214"/>
      <c r="AE24" s="214"/>
      <c r="AF24" s="214"/>
      <c r="AG24" s="214"/>
      <c r="AH24" s="214"/>
      <c r="AI24" s="214"/>
      <c r="AJ24" s="214"/>
      <c r="AK24" s="214"/>
      <c r="AL24" s="214"/>
      <c r="AM24" s="214"/>
      <c r="AN24" s="214"/>
      <c r="AO24" s="214"/>
      <c r="AP24" s="214"/>
      <c r="AQ24" s="214"/>
      <c r="AR24" s="214"/>
      <c r="AS24" s="214"/>
      <c r="AT24" s="214"/>
      <c r="AU24" s="214"/>
      <c r="AV24" s="214"/>
      <c r="AW24" s="214"/>
      <c r="AX24" s="214"/>
      <c r="AY24" s="214"/>
      <c r="AZ24" s="214"/>
      <c r="BA24" s="214"/>
      <c r="BB24" s="214"/>
      <c r="BC24" s="214"/>
      <c r="BD24" s="214"/>
      <c r="BE24" s="214"/>
      <c r="BF24" s="214"/>
      <c r="BG24" s="214"/>
      <c r="BH24" s="214"/>
      <c r="BI24" s="214"/>
      <c r="BJ24" s="214"/>
      <c r="BK24" s="214"/>
      <c r="BL24" s="214"/>
      <c r="BM24" s="214"/>
      <c r="BN24" s="214"/>
      <c r="BO24" s="214"/>
      <c r="BP24" s="214"/>
      <c r="BQ24" s="214"/>
      <c r="BR24" s="214"/>
      <c r="BS24" s="214"/>
      <c r="BT24" s="214"/>
      <c r="BU24" s="214"/>
      <c r="BV24" s="214"/>
      <c r="BW24" s="214"/>
      <c r="BX24" s="214"/>
      <c r="BY24" s="214"/>
      <c r="BZ24" s="214"/>
      <c r="CA24" s="214"/>
      <c r="CB24" s="214"/>
      <c r="CC24" s="214"/>
      <c r="CD24" s="214"/>
      <c r="CE24" s="214"/>
      <c r="CF24" s="214"/>
      <c r="CG24" s="214"/>
      <c r="CH24" s="214"/>
      <c r="CI24" s="214"/>
      <c r="CJ24" s="214"/>
      <c r="CK24" s="214"/>
      <c r="CL24" s="214"/>
      <c r="CM24" s="214"/>
      <c r="CN24" s="214"/>
      <c r="CO24" s="214"/>
      <c r="CP24" s="214"/>
      <c r="CQ24" s="214"/>
      <c r="CR24" s="214"/>
      <c r="CS24" s="214"/>
      <c r="CT24" s="214"/>
      <c r="CU24" s="214"/>
      <c r="CV24" s="214"/>
      <c r="CW24" s="214"/>
      <c r="CX24" s="214"/>
      <c r="CY24" s="214"/>
      <c r="CZ24" s="214"/>
      <c r="DA24" s="214"/>
    </row>
    <row r="25" spans="2:105" s="213" customFormat="1" ht="57.75" customHeight="1">
      <c r="B25" s="575"/>
      <c r="C25" s="585" t="s">
        <v>200</v>
      </c>
      <c r="D25" s="586"/>
      <c r="E25" s="586"/>
      <c r="F25" s="587"/>
      <c r="G25" s="595"/>
      <c r="H25" s="211"/>
      <c r="I25" s="212" t="s">
        <v>667</v>
      </c>
      <c r="J25" s="600"/>
      <c r="K25" s="601"/>
      <c r="L25" s="602"/>
      <c r="M25" s="19"/>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4"/>
      <c r="BU25" s="214"/>
      <c r="BV25" s="214"/>
      <c r="BW25" s="214"/>
      <c r="BX25" s="214"/>
      <c r="BY25" s="214"/>
      <c r="BZ25" s="214"/>
      <c r="CA25" s="214"/>
      <c r="CB25" s="214"/>
      <c r="CC25" s="214"/>
      <c r="CD25" s="214"/>
      <c r="CE25" s="214"/>
      <c r="CF25" s="214"/>
      <c r="CG25" s="214"/>
      <c r="CH25" s="214"/>
      <c r="CI25" s="214"/>
      <c r="CJ25" s="214"/>
      <c r="CK25" s="214"/>
      <c r="CL25" s="214"/>
      <c r="CM25" s="214"/>
      <c r="CN25" s="214"/>
      <c r="CO25" s="214"/>
      <c r="CP25" s="214"/>
      <c r="CQ25" s="214"/>
      <c r="CR25" s="214"/>
      <c r="CS25" s="214"/>
      <c r="CT25" s="214"/>
      <c r="CU25" s="214"/>
      <c r="CV25" s="214"/>
      <c r="CW25" s="214"/>
      <c r="CX25" s="214"/>
      <c r="CY25" s="214"/>
      <c r="CZ25" s="214"/>
      <c r="DA25" s="214"/>
    </row>
    <row r="26" spans="2:105" s="213" customFormat="1" ht="39" customHeight="1">
      <c r="B26" s="575"/>
      <c r="C26" s="634" t="s">
        <v>201</v>
      </c>
      <c r="D26" s="635"/>
      <c r="E26" s="635"/>
      <c r="F26" s="636"/>
      <c r="G26" s="595"/>
      <c r="H26" s="192"/>
      <c r="I26" s="217" t="str">
        <f>IF($B$2="PRELIMINARY SITE VISIT REPORT FINDINGS","Plan to regularly assess goals and learning domains","")</f>
        <v/>
      </c>
      <c r="J26" s="600"/>
      <c r="K26" s="601"/>
      <c r="L26" s="602"/>
      <c r="M26" s="19"/>
      <c r="N26" s="214"/>
      <c r="O26" s="214"/>
      <c r="P26" s="214"/>
      <c r="Q26" s="284"/>
      <c r="R26" s="214"/>
      <c r="S26" s="214"/>
      <c r="T26" s="214"/>
      <c r="U26" s="214"/>
      <c r="V26" s="214"/>
      <c r="W26" s="214"/>
      <c r="X26" s="214"/>
      <c r="Y26" s="214"/>
      <c r="Z26" s="214"/>
      <c r="AA26" s="214"/>
      <c r="AB26" s="214"/>
      <c r="AC26" s="214"/>
      <c r="AD26" s="214"/>
      <c r="AE26" s="214"/>
      <c r="AF26" s="214"/>
      <c r="AG26" s="214"/>
      <c r="AH26" s="214"/>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4"/>
      <c r="BE26" s="214"/>
      <c r="BF26" s="214"/>
      <c r="BG26" s="214"/>
      <c r="BH26" s="214"/>
      <c r="BI26" s="214"/>
      <c r="BJ26" s="214"/>
      <c r="BK26" s="214"/>
      <c r="BL26" s="214"/>
      <c r="BM26" s="214"/>
      <c r="BN26" s="214"/>
      <c r="BO26" s="214"/>
      <c r="BP26" s="214"/>
      <c r="BQ26" s="214"/>
      <c r="BR26" s="214"/>
      <c r="BS26" s="214"/>
      <c r="BT26" s="214"/>
      <c r="BU26" s="214"/>
      <c r="BV26" s="214"/>
      <c r="BW26" s="214"/>
      <c r="BX26" s="214"/>
      <c r="BY26" s="214"/>
      <c r="BZ26" s="214"/>
      <c r="CA26" s="214"/>
      <c r="CB26" s="214"/>
      <c r="CC26" s="214"/>
      <c r="CD26" s="214"/>
      <c r="CE26" s="214"/>
      <c r="CF26" s="214"/>
      <c r="CG26" s="214"/>
      <c r="CH26" s="214"/>
      <c r="CI26" s="214"/>
      <c r="CJ26" s="214"/>
      <c r="CK26" s="214"/>
      <c r="CL26" s="214"/>
      <c r="CM26" s="214"/>
      <c r="CN26" s="214"/>
      <c r="CO26" s="214"/>
      <c r="CP26" s="214"/>
      <c r="CQ26" s="214"/>
      <c r="CR26" s="214"/>
      <c r="CS26" s="214"/>
      <c r="CT26" s="214"/>
      <c r="CU26" s="214"/>
      <c r="CV26" s="214"/>
      <c r="CW26" s="214"/>
      <c r="CX26" s="214"/>
      <c r="CY26" s="214"/>
      <c r="CZ26" s="214"/>
      <c r="DA26" s="214"/>
    </row>
    <row r="27" spans="2:105" s="213" customFormat="1" ht="48.75" customHeight="1">
      <c r="B27" s="575"/>
      <c r="C27" s="582" t="s">
        <v>105</v>
      </c>
      <c r="D27" s="583"/>
      <c r="E27" s="583"/>
      <c r="F27" s="584"/>
      <c r="G27" s="595"/>
      <c r="H27" s="211"/>
      <c r="I27" s="212" t="s">
        <v>666</v>
      </c>
      <c r="J27" s="600"/>
      <c r="K27" s="601"/>
      <c r="L27" s="602"/>
      <c r="M27" s="19"/>
      <c r="N27" s="214"/>
      <c r="O27" s="214"/>
      <c r="P27" s="214"/>
      <c r="Q27" s="284"/>
      <c r="R27" s="214"/>
      <c r="S27" s="214"/>
      <c r="T27" s="214"/>
      <c r="U27" s="214"/>
      <c r="V27" s="214"/>
      <c r="W27" s="214"/>
      <c r="X27" s="214"/>
      <c r="Y27" s="214"/>
      <c r="Z27" s="214"/>
      <c r="AA27" s="214"/>
      <c r="AB27" s="214"/>
      <c r="AC27" s="214"/>
      <c r="AD27" s="214"/>
      <c r="AE27" s="214"/>
      <c r="AF27" s="214"/>
      <c r="AG27" s="214"/>
      <c r="AH27" s="214"/>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4"/>
      <c r="CK27" s="214"/>
      <c r="CL27" s="214"/>
      <c r="CM27" s="214"/>
      <c r="CN27" s="214"/>
      <c r="CO27" s="214"/>
      <c r="CP27" s="214"/>
      <c r="CQ27" s="214"/>
      <c r="CR27" s="214"/>
      <c r="CS27" s="214"/>
      <c r="CT27" s="214"/>
      <c r="CU27" s="214"/>
      <c r="CV27" s="214"/>
      <c r="CW27" s="214"/>
      <c r="CX27" s="214"/>
      <c r="CY27" s="214"/>
      <c r="CZ27" s="214"/>
      <c r="DA27" s="214"/>
    </row>
    <row r="28" spans="2:105" s="213" customFormat="1" ht="78.75" customHeight="1">
      <c r="B28" s="575"/>
      <c r="C28" s="585" t="s">
        <v>683</v>
      </c>
      <c r="D28" s="586"/>
      <c r="E28" s="586"/>
      <c r="F28" s="587"/>
      <c r="G28" s="595"/>
      <c r="H28" s="211"/>
      <c r="I28" s="212" t="s">
        <v>667</v>
      </c>
      <c r="J28" s="600"/>
      <c r="K28" s="601"/>
      <c r="L28" s="602"/>
      <c r="M28" s="19"/>
      <c r="N28" s="214"/>
      <c r="O28" s="214"/>
      <c r="P28" s="214"/>
      <c r="Q28" s="28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c r="BK28" s="214"/>
      <c r="BL28" s="214"/>
      <c r="BM28" s="214"/>
      <c r="BN28" s="214"/>
      <c r="BO28" s="214"/>
      <c r="BP28" s="214"/>
      <c r="BQ28" s="214"/>
      <c r="BR28" s="214"/>
      <c r="BS28" s="214"/>
      <c r="BT28" s="214"/>
      <c r="BU28" s="214"/>
      <c r="BV28" s="214"/>
      <c r="BW28" s="214"/>
      <c r="BX28" s="214"/>
      <c r="BY28" s="214"/>
      <c r="BZ28" s="214"/>
      <c r="CA28" s="214"/>
      <c r="CB28" s="214"/>
      <c r="CC28" s="214"/>
      <c r="CD28" s="214"/>
      <c r="CE28" s="214"/>
      <c r="CF28" s="214"/>
      <c r="CG28" s="214"/>
      <c r="CH28" s="214"/>
      <c r="CI28" s="214"/>
      <c r="CJ28" s="214"/>
      <c r="CK28" s="214"/>
      <c r="CL28" s="214"/>
      <c r="CM28" s="214"/>
      <c r="CN28" s="214"/>
      <c r="CO28" s="214"/>
      <c r="CP28" s="214"/>
      <c r="CQ28" s="214"/>
      <c r="CR28" s="214"/>
      <c r="CS28" s="214"/>
      <c r="CT28" s="214"/>
      <c r="CU28" s="214"/>
      <c r="CV28" s="214"/>
      <c r="CW28" s="214"/>
      <c r="CX28" s="214"/>
      <c r="CY28" s="214"/>
      <c r="CZ28" s="214"/>
      <c r="DA28" s="214"/>
    </row>
    <row r="29" spans="2:105" s="213" customFormat="1" ht="71.25" customHeight="1">
      <c r="B29" s="576"/>
      <c r="C29" s="588" t="s">
        <v>684</v>
      </c>
      <c r="D29" s="589"/>
      <c r="E29" s="589"/>
      <c r="F29" s="590"/>
      <c r="G29" s="596"/>
      <c r="H29" s="211"/>
      <c r="I29" s="212" t="s">
        <v>776</v>
      </c>
      <c r="J29" s="603"/>
      <c r="K29" s="604"/>
      <c r="L29" s="605"/>
      <c r="M29" s="19"/>
      <c r="N29" s="214"/>
      <c r="O29" s="214"/>
      <c r="P29" s="214"/>
      <c r="Q29" s="28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c r="BI29" s="214"/>
      <c r="BJ29" s="214"/>
      <c r="BK29" s="214"/>
      <c r="BL29" s="214"/>
      <c r="BM29" s="214"/>
      <c r="BN29" s="214"/>
      <c r="BO29" s="214"/>
      <c r="BP29" s="214"/>
      <c r="BQ29" s="214"/>
      <c r="BR29" s="214"/>
      <c r="BS29" s="214"/>
      <c r="BT29" s="214"/>
      <c r="BU29" s="214"/>
      <c r="BV29" s="214"/>
      <c r="BW29" s="214"/>
      <c r="BX29" s="214"/>
      <c r="BY29" s="214"/>
      <c r="BZ29" s="214"/>
      <c r="CA29" s="214"/>
      <c r="CB29" s="214"/>
      <c r="CC29" s="214"/>
      <c r="CD29" s="214"/>
      <c r="CE29" s="214"/>
      <c r="CF29" s="214"/>
      <c r="CG29" s="214"/>
      <c r="CH29" s="214"/>
      <c r="CI29" s="214"/>
      <c r="CJ29" s="214"/>
      <c r="CK29" s="214"/>
      <c r="CL29" s="214"/>
      <c r="CM29" s="214"/>
      <c r="CN29" s="214"/>
      <c r="CO29" s="214"/>
      <c r="CP29" s="214"/>
      <c r="CQ29" s="214"/>
      <c r="CR29" s="214"/>
      <c r="CS29" s="214"/>
      <c r="CT29" s="214"/>
      <c r="CU29" s="214"/>
      <c r="CV29" s="214"/>
      <c r="CW29" s="214"/>
      <c r="CX29" s="214"/>
      <c r="CY29" s="214"/>
      <c r="CZ29" s="214"/>
      <c r="DA29" s="214"/>
    </row>
    <row r="30" spans="2:105" ht="20.25" customHeight="1">
      <c r="B30" s="410" t="s">
        <v>619</v>
      </c>
      <c r="C30" s="566"/>
      <c r="D30" s="566"/>
      <c r="E30" s="566"/>
      <c r="F30" s="566"/>
      <c r="G30" s="411"/>
      <c r="H30" s="411"/>
      <c r="I30" s="411"/>
      <c r="J30" s="411"/>
      <c r="K30" s="411"/>
      <c r="L30" s="412"/>
    </row>
    <row r="31" spans="2:105" s="213" customFormat="1" ht="113.25" customHeight="1">
      <c r="B31" s="215" t="s">
        <v>15</v>
      </c>
      <c r="C31" s="568" t="s">
        <v>686</v>
      </c>
      <c r="D31" s="569"/>
      <c r="E31" s="569"/>
      <c r="F31" s="570"/>
      <c r="G31" s="216"/>
      <c r="H31" s="192"/>
      <c r="I31" s="212" t="s">
        <v>698</v>
      </c>
      <c r="J31" s="571"/>
      <c r="K31" s="572"/>
      <c r="L31" s="573"/>
      <c r="M31" s="214"/>
      <c r="N31" s="214"/>
      <c r="O31" s="214"/>
      <c r="P31" s="214"/>
      <c r="Q31" s="214" t="s">
        <v>620</v>
      </c>
      <c r="R31" s="214"/>
      <c r="S31" s="214"/>
      <c r="T31" s="214"/>
      <c r="U31" s="214"/>
      <c r="V31" s="214"/>
      <c r="W31" s="214"/>
      <c r="X31" s="214"/>
      <c r="Y31" s="214"/>
      <c r="Z31" s="214"/>
      <c r="AA31" s="214"/>
      <c r="AB31" s="214"/>
      <c r="AC31" s="214"/>
      <c r="AD31" s="214"/>
      <c r="AE31" s="214"/>
      <c r="AF31" s="214"/>
      <c r="AG31" s="214"/>
      <c r="AH31" s="214"/>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c r="BI31" s="214"/>
      <c r="BJ31" s="214"/>
      <c r="BK31" s="214"/>
      <c r="BL31" s="214"/>
      <c r="BM31" s="214"/>
      <c r="BN31" s="214"/>
      <c r="BO31" s="214"/>
      <c r="BP31" s="214"/>
      <c r="BQ31" s="214"/>
      <c r="BR31" s="214"/>
      <c r="BS31" s="214"/>
      <c r="BT31" s="214"/>
      <c r="BU31" s="214"/>
      <c r="BV31" s="214"/>
      <c r="BW31" s="214"/>
      <c r="BX31" s="214"/>
      <c r="BY31" s="214"/>
      <c r="BZ31" s="214"/>
      <c r="CA31" s="214"/>
      <c r="CB31" s="214"/>
      <c r="CC31" s="214"/>
      <c r="CD31" s="214"/>
      <c r="CE31" s="214"/>
      <c r="CF31" s="214"/>
      <c r="CG31" s="214"/>
      <c r="CH31" s="214"/>
      <c r="CI31" s="214"/>
      <c r="CJ31" s="214"/>
      <c r="CK31" s="214"/>
      <c r="CL31" s="214"/>
      <c r="CM31" s="214"/>
      <c r="CN31" s="214"/>
      <c r="CO31" s="214"/>
      <c r="CP31" s="214"/>
      <c r="CQ31" s="214"/>
      <c r="CR31" s="214"/>
      <c r="CS31" s="214"/>
      <c r="CT31" s="214"/>
      <c r="CU31" s="214"/>
      <c r="CV31" s="214"/>
      <c r="CW31" s="214"/>
      <c r="CX31" s="214"/>
      <c r="CY31" s="214"/>
      <c r="CZ31" s="214"/>
      <c r="DA31" s="214"/>
    </row>
    <row r="32" spans="2:105" s="213" customFormat="1" ht="71.25" customHeight="1">
      <c r="B32" s="552" t="s">
        <v>15</v>
      </c>
      <c r="C32" s="544" t="s">
        <v>687</v>
      </c>
      <c r="D32" s="545"/>
      <c r="E32" s="545"/>
      <c r="F32" s="546"/>
      <c r="G32" s="550"/>
      <c r="H32" s="192"/>
      <c r="I32" s="208"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2" s="554"/>
      <c r="K32" s="555"/>
      <c r="L32" s="556"/>
      <c r="M32" s="214"/>
      <c r="N32" s="214"/>
      <c r="O32" s="214"/>
      <c r="P32" s="214"/>
      <c r="Q32" s="214" t="s">
        <v>620</v>
      </c>
      <c r="R32" s="214"/>
      <c r="S32" s="214"/>
      <c r="T32" s="214"/>
      <c r="U32" s="214"/>
      <c r="V32" s="214"/>
      <c r="W32" s="214"/>
      <c r="X32" s="214"/>
      <c r="Y32" s="214"/>
      <c r="Z32" s="214"/>
      <c r="AA32" s="214"/>
      <c r="AB32" s="214"/>
      <c r="AC32" s="214"/>
      <c r="AD32" s="214"/>
      <c r="AE32" s="214"/>
      <c r="AF32" s="214"/>
      <c r="AG32" s="214"/>
      <c r="AH32" s="214"/>
      <c r="AI32" s="214"/>
      <c r="AJ32" s="214"/>
      <c r="AK32" s="214"/>
      <c r="AL32" s="214"/>
      <c r="AM32" s="214"/>
      <c r="AN32" s="214"/>
      <c r="AO32" s="214"/>
      <c r="AP32" s="214"/>
      <c r="AQ32" s="214"/>
      <c r="AR32" s="214"/>
      <c r="AS32" s="214"/>
      <c r="AT32" s="214"/>
      <c r="AU32" s="214"/>
      <c r="AV32" s="214"/>
      <c r="AW32" s="214"/>
      <c r="AX32" s="214"/>
      <c r="AY32" s="214"/>
      <c r="AZ32" s="214"/>
      <c r="BA32" s="214"/>
      <c r="BB32" s="214"/>
      <c r="BC32" s="214"/>
      <c r="BD32" s="214"/>
      <c r="BE32" s="214"/>
      <c r="BF32" s="214"/>
      <c r="BG32" s="214"/>
      <c r="BH32" s="214"/>
      <c r="BI32" s="214"/>
      <c r="BJ32" s="214"/>
      <c r="BK32" s="214"/>
      <c r="BL32" s="214"/>
      <c r="BM32" s="214"/>
      <c r="BN32" s="214"/>
      <c r="BO32" s="214"/>
      <c r="BP32" s="214"/>
      <c r="BQ32" s="214"/>
      <c r="BR32" s="214"/>
      <c r="BS32" s="214"/>
      <c r="BT32" s="214"/>
      <c r="BU32" s="214"/>
      <c r="BV32" s="214"/>
      <c r="BW32" s="214"/>
      <c r="BX32" s="214"/>
      <c r="BY32" s="214"/>
      <c r="BZ32" s="214"/>
      <c r="CA32" s="214"/>
      <c r="CB32" s="214"/>
      <c r="CC32" s="214"/>
      <c r="CD32" s="214"/>
      <c r="CE32" s="214"/>
      <c r="CF32" s="214"/>
      <c r="CG32" s="214"/>
      <c r="CH32" s="214"/>
      <c r="CI32" s="214"/>
      <c r="CJ32" s="214"/>
      <c r="CK32" s="214"/>
      <c r="CL32" s="214"/>
      <c r="CM32" s="214"/>
      <c r="CN32" s="214"/>
      <c r="CO32" s="214"/>
      <c r="CP32" s="214"/>
      <c r="CQ32" s="214"/>
      <c r="CR32" s="214"/>
      <c r="CS32" s="214"/>
      <c r="CT32" s="214"/>
      <c r="CU32" s="214"/>
      <c r="CV32" s="214"/>
      <c r="CW32" s="214"/>
      <c r="CX32" s="214"/>
      <c r="CY32" s="214"/>
      <c r="CZ32" s="214"/>
      <c r="DA32" s="214"/>
    </row>
    <row r="33" spans="2:105" s="213" customFormat="1" ht="57.75" customHeight="1">
      <c r="B33" s="553"/>
      <c r="C33" s="547"/>
      <c r="D33" s="548"/>
      <c r="E33" s="548"/>
      <c r="F33" s="549"/>
      <c r="G33" s="551"/>
      <c r="H33" s="192"/>
      <c r="I33" s="193" t="s">
        <v>535</v>
      </c>
      <c r="J33" s="557"/>
      <c r="K33" s="558"/>
      <c r="L33" s="559"/>
      <c r="M33" s="214"/>
      <c r="N33" s="214"/>
      <c r="O33" s="214"/>
      <c r="P33" s="214"/>
      <c r="Q33" s="214" t="s">
        <v>620</v>
      </c>
      <c r="R33" s="214"/>
      <c r="S33" s="214"/>
      <c r="T33" s="214"/>
      <c r="U33" s="214"/>
      <c r="V33" s="214"/>
      <c r="W33" s="214"/>
      <c r="X33" s="214"/>
      <c r="Y33" s="214"/>
      <c r="Z33" s="214"/>
      <c r="AA33" s="214"/>
      <c r="AB33" s="214"/>
      <c r="AC33" s="214"/>
      <c r="AD33" s="214"/>
      <c r="AE33" s="214"/>
      <c r="AF33" s="214"/>
      <c r="AG33" s="214"/>
      <c r="AH33" s="214"/>
      <c r="AI33" s="214"/>
      <c r="AJ33" s="214"/>
      <c r="AK33" s="214"/>
      <c r="AL33" s="214"/>
      <c r="AM33" s="214"/>
      <c r="AN33" s="214"/>
      <c r="AO33" s="214"/>
      <c r="AP33" s="214"/>
      <c r="AQ33" s="214"/>
      <c r="AR33" s="214"/>
      <c r="AS33" s="214"/>
      <c r="AT33" s="214"/>
      <c r="AU33" s="214"/>
      <c r="AV33" s="214"/>
      <c r="AW33" s="214"/>
      <c r="AX33" s="214"/>
      <c r="AY33" s="214"/>
      <c r="AZ33" s="214"/>
      <c r="BA33" s="214"/>
      <c r="BB33" s="214"/>
      <c r="BC33" s="214"/>
      <c r="BD33" s="214"/>
      <c r="BE33" s="214"/>
      <c r="BF33" s="214"/>
      <c r="BG33" s="214"/>
      <c r="BH33" s="214"/>
      <c r="BI33" s="214"/>
      <c r="BJ33" s="214"/>
      <c r="BK33" s="214"/>
      <c r="BL33" s="214"/>
      <c r="BM33" s="214"/>
      <c r="BN33" s="214"/>
      <c r="BO33" s="214"/>
      <c r="BP33" s="214"/>
      <c r="BQ33" s="214"/>
      <c r="BR33" s="214"/>
      <c r="BS33" s="214"/>
      <c r="BT33" s="214"/>
      <c r="BU33" s="214"/>
      <c r="BV33" s="214"/>
      <c r="BW33" s="214"/>
      <c r="BX33" s="214"/>
      <c r="BY33" s="214"/>
      <c r="BZ33" s="214"/>
      <c r="CA33" s="214"/>
      <c r="CB33" s="214"/>
      <c r="CC33" s="214"/>
      <c r="CD33" s="214"/>
      <c r="CE33" s="214"/>
      <c r="CF33" s="214"/>
      <c r="CG33" s="214"/>
      <c r="CH33" s="214"/>
      <c r="CI33" s="214"/>
      <c r="CJ33" s="214"/>
      <c r="CK33" s="214"/>
      <c r="CL33" s="214"/>
      <c r="CM33" s="214"/>
      <c r="CN33" s="214"/>
      <c r="CO33" s="214"/>
      <c r="CP33" s="214"/>
      <c r="CQ33" s="214"/>
      <c r="CR33" s="214"/>
      <c r="CS33" s="214"/>
      <c r="CT33" s="214"/>
      <c r="CU33" s="214"/>
      <c r="CV33" s="214"/>
      <c r="CW33" s="214"/>
      <c r="CX33" s="214"/>
      <c r="CY33" s="214"/>
      <c r="CZ33" s="214"/>
      <c r="DA33" s="214"/>
    </row>
    <row r="34" spans="2:105" s="213" customFormat="1" ht="49.5" customHeight="1">
      <c r="B34" s="215" t="s">
        <v>15</v>
      </c>
      <c r="C34" s="568" t="s">
        <v>202</v>
      </c>
      <c r="D34" s="569"/>
      <c r="E34" s="569"/>
      <c r="F34" s="570"/>
      <c r="G34" s="273"/>
      <c r="H34" s="192"/>
      <c r="I34" s="193" t="str">
        <f>IF($B$2="PRELIMINARY SITE VISIT REPORT FINDINGS","NA - seeking the Letter of Review", "Conversation with Advisory Committee and program personnel")</f>
        <v>Conversation with Advisory Committee and program personnel</v>
      </c>
      <c r="J34" s="577"/>
      <c r="K34" s="578"/>
      <c r="L34" s="579"/>
      <c r="M34" s="214"/>
      <c r="N34" s="214"/>
      <c r="O34" s="214"/>
      <c r="P34" s="214"/>
      <c r="Q34" s="214" t="s">
        <v>620</v>
      </c>
      <c r="R34" s="214"/>
      <c r="S34" s="214"/>
      <c r="T34" s="214"/>
      <c r="U34" s="214"/>
      <c r="V34" s="214"/>
      <c r="W34" s="214"/>
      <c r="X34" s="214"/>
      <c r="Y34" s="214"/>
      <c r="Z34" s="214"/>
      <c r="AA34" s="214"/>
      <c r="AB34" s="214"/>
      <c r="AC34" s="214"/>
      <c r="AD34" s="214"/>
      <c r="AE34" s="214"/>
      <c r="AF34" s="214"/>
      <c r="AG34" s="214"/>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C34" s="214"/>
      <c r="CD34" s="214"/>
      <c r="CE34" s="214"/>
      <c r="CF34" s="214"/>
      <c r="CG34" s="214"/>
      <c r="CH34" s="214"/>
      <c r="CI34" s="214"/>
      <c r="CJ34" s="214"/>
      <c r="CK34" s="214"/>
      <c r="CL34" s="214"/>
      <c r="CM34" s="214"/>
      <c r="CN34" s="214"/>
      <c r="CO34" s="214"/>
      <c r="CP34" s="214"/>
      <c r="CQ34" s="214"/>
      <c r="CR34" s="214"/>
      <c r="CS34" s="214"/>
      <c r="CT34" s="214"/>
      <c r="CU34" s="214"/>
      <c r="CV34" s="214"/>
      <c r="CW34" s="214"/>
      <c r="CX34" s="214"/>
      <c r="CY34" s="214"/>
      <c r="CZ34" s="214"/>
      <c r="DA34" s="214"/>
    </row>
    <row r="35" spans="2:105" s="146" customFormat="1" ht="27" customHeight="1">
      <c r="B35" s="560" t="str">
        <f>IF('Cover Page'!$D$8&lt;&gt;"Please Select",'Cover Page'!$D$8, "Select Program Level on the Cover Page tab")</f>
        <v>Select Program Level on the Cover Page tab</v>
      </c>
      <c r="C35" s="560"/>
      <c r="D35" s="560"/>
      <c r="E35" s="560"/>
      <c r="F35" s="560"/>
      <c r="G35" s="560"/>
      <c r="H35" s="560"/>
      <c r="I35" s="560"/>
      <c r="J35" s="560"/>
      <c r="K35" s="560"/>
      <c r="L35" s="560"/>
      <c r="Q35" s="283"/>
    </row>
    <row r="36" spans="2:105" ht="20.25" customHeight="1">
      <c r="B36" s="561" t="s">
        <v>16</v>
      </c>
      <c r="C36" s="562"/>
      <c r="D36" s="562"/>
      <c r="E36" s="562"/>
      <c r="F36" s="562"/>
      <c r="G36" s="562"/>
      <c r="H36" s="562"/>
      <c r="I36" s="562"/>
      <c r="J36" s="562"/>
      <c r="K36" s="562"/>
      <c r="L36" s="563"/>
    </row>
    <row r="37" spans="2:105" ht="20.25" customHeight="1">
      <c r="B37" s="410" t="s">
        <v>17</v>
      </c>
      <c r="C37" s="411"/>
      <c r="D37" s="411"/>
      <c r="E37" s="411"/>
      <c r="F37" s="411"/>
      <c r="G37" s="411"/>
      <c r="H37" s="411"/>
      <c r="I37" s="411"/>
      <c r="J37" s="411"/>
      <c r="K37" s="411"/>
      <c r="L37" s="412"/>
    </row>
    <row r="38" spans="2:105" s="8" customFormat="1" ht="20.25" customHeight="1">
      <c r="B38" s="410" t="s">
        <v>18</v>
      </c>
      <c r="C38" s="411"/>
      <c r="D38" s="411"/>
      <c r="E38" s="411"/>
      <c r="F38" s="411"/>
      <c r="G38" s="411"/>
      <c r="H38" s="411"/>
      <c r="I38" s="411"/>
      <c r="J38" s="411"/>
      <c r="K38" s="411"/>
      <c r="L38" s="412"/>
      <c r="M38" s="50"/>
      <c r="N38" s="50"/>
      <c r="O38" s="50"/>
      <c r="P38" s="50"/>
      <c r="Q38" s="285"/>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O38" s="50"/>
      <c r="CP38" s="50"/>
      <c r="CQ38" s="50"/>
      <c r="CR38" s="50"/>
      <c r="CS38" s="50"/>
      <c r="CT38" s="50"/>
      <c r="CU38" s="50"/>
      <c r="CV38" s="50"/>
      <c r="CW38" s="50"/>
      <c r="CX38" s="50"/>
      <c r="CY38" s="50"/>
      <c r="CZ38" s="50"/>
      <c r="DA38" s="50"/>
    </row>
    <row r="39" spans="2:105" ht="48" customHeight="1">
      <c r="B39" s="219" t="s">
        <v>39</v>
      </c>
      <c r="C39" s="407" t="s">
        <v>40</v>
      </c>
      <c r="D39" s="408"/>
      <c r="E39" s="408"/>
      <c r="F39" s="409"/>
      <c r="G39" s="220"/>
      <c r="H39" s="179"/>
      <c r="I39" s="185" t="s">
        <v>476</v>
      </c>
      <c r="J39" s="428"/>
      <c r="K39" s="429"/>
      <c r="L39" s="430"/>
      <c r="Q39" s="19" t="s">
        <v>621</v>
      </c>
    </row>
    <row r="40" spans="2:105" ht="51" customHeight="1">
      <c r="B40" s="221" t="s">
        <v>39</v>
      </c>
      <c r="C40" s="516" t="s">
        <v>699</v>
      </c>
      <c r="D40" s="508"/>
      <c r="E40" s="508"/>
      <c r="F40" s="517"/>
      <c r="G40" s="222"/>
      <c r="H40" s="179"/>
      <c r="I40" s="185" t="s">
        <v>706</v>
      </c>
      <c r="J40" s="463"/>
      <c r="K40" s="464"/>
      <c r="L40" s="465"/>
      <c r="Q40" s="19" t="s">
        <v>621</v>
      </c>
    </row>
    <row r="41" spans="2:105" ht="33.75" customHeight="1">
      <c r="B41" s="493" t="s">
        <v>39</v>
      </c>
      <c r="C41" s="413" t="s">
        <v>41</v>
      </c>
      <c r="D41" s="414"/>
      <c r="E41" s="414"/>
      <c r="F41" s="415"/>
      <c r="G41" s="470"/>
      <c r="H41" s="179"/>
      <c r="I41" s="182" t="s">
        <v>536</v>
      </c>
      <c r="J41" s="421"/>
      <c r="K41" s="422"/>
      <c r="L41" s="423"/>
      <c r="Q41" s="19" t="s">
        <v>621</v>
      </c>
    </row>
    <row r="42" spans="2:105" ht="30.75" customHeight="1">
      <c r="B42" s="494"/>
      <c r="C42" s="518"/>
      <c r="D42" s="509"/>
      <c r="E42" s="509"/>
      <c r="F42" s="519"/>
      <c r="G42" s="477"/>
      <c r="H42" s="179"/>
      <c r="I42" s="183" t="s">
        <v>537</v>
      </c>
      <c r="J42" s="428"/>
      <c r="K42" s="429"/>
      <c r="L42" s="430"/>
      <c r="Q42" s="19" t="s">
        <v>621</v>
      </c>
    </row>
    <row r="43" spans="2:105" ht="37.5" customHeight="1">
      <c r="B43" s="219" t="s">
        <v>39</v>
      </c>
      <c r="C43" s="407" t="s">
        <v>42</v>
      </c>
      <c r="D43" s="408"/>
      <c r="E43" s="408"/>
      <c r="F43" s="409"/>
      <c r="G43" s="224"/>
      <c r="H43" s="179"/>
      <c r="I43" s="182" t="s">
        <v>700</v>
      </c>
      <c r="J43" s="418"/>
      <c r="K43" s="419"/>
      <c r="L43" s="420"/>
      <c r="Q43" s="19" t="s">
        <v>621</v>
      </c>
    </row>
    <row r="44" spans="2:105" ht="37.5" customHeight="1">
      <c r="B44" s="219" t="s">
        <v>39</v>
      </c>
      <c r="C44" s="407" t="s">
        <v>622</v>
      </c>
      <c r="D44" s="408"/>
      <c r="E44" s="408"/>
      <c r="F44" s="409"/>
      <c r="G44" s="224"/>
      <c r="H44" s="179"/>
      <c r="I44" s="180" t="s">
        <v>649</v>
      </c>
      <c r="J44" s="418"/>
      <c r="K44" s="419"/>
      <c r="L44" s="420"/>
      <c r="Q44" s="19" t="s">
        <v>621</v>
      </c>
    </row>
    <row r="45" spans="2:105" ht="37.5" customHeight="1">
      <c r="B45" s="219" t="s">
        <v>39</v>
      </c>
      <c r="C45" s="407" t="s">
        <v>631</v>
      </c>
      <c r="D45" s="408"/>
      <c r="E45" s="408"/>
      <c r="F45" s="409"/>
      <c r="G45" s="224"/>
      <c r="H45" s="179"/>
      <c r="I45" s="180" t="s">
        <v>660</v>
      </c>
      <c r="J45" s="418"/>
      <c r="K45" s="419"/>
      <c r="L45" s="420"/>
      <c r="Q45" s="19" t="s">
        <v>621</v>
      </c>
    </row>
    <row r="46" spans="2:105" ht="37.5" customHeight="1">
      <c r="B46" s="505" t="s">
        <v>39</v>
      </c>
      <c r="C46" s="413" t="s">
        <v>630</v>
      </c>
      <c r="D46" s="414"/>
      <c r="E46" s="414"/>
      <c r="F46" s="415"/>
      <c r="G46" s="224"/>
      <c r="H46" s="179"/>
      <c r="I46" s="182" t="s">
        <v>538</v>
      </c>
      <c r="J46" s="418"/>
      <c r="K46" s="419"/>
      <c r="L46" s="420"/>
      <c r="Q46" s="19" t="s">
        <v>621</v>
      </c>
      <c r="Z46" s="288"/>
    </row>
    <row r="47" spans="2:105" ht="69" customHeight="1">
      <c r="B47" s="506"/>
      <c r="C47" s="516"/>
      <c r="D47" s="508"/>
      <c r="E47" s="508"/>
      <c r="F47" s="517"/>
      <c r="G47" s="225" t="str">
        <f>IF(AND(H47="      Same State Satellite Location(s)",J47&lt;&gt;""), "Not Met",IF(AND(H47="      Same State Satellite Location(s)",J47=""),"Met","N/A"))</f>
        <v>N/A</v>
      </c>
      <c r="H47" s="458" t="str">
        <f>IF('Satellite(s)'!$H$6&lt;&gt;"N/A","      Same state satellite location(s)","      No same state satellite location(s)")</f>
        <v xml:space="preserve">      No same state satellite location(s)</v>
      </c>
      <c r="I47" s="459"/>
      <c r="J47" s="460" t="str" cm="1">
        <f t="array" ref="J47">_xlfn.TEXTJOIN("
",TRUE,IF('Satellite(s)'!F24:AB24="Not Met",'Satellite(s)'!F25:AB25,""))</f>
        <v/>
      </c>
      <c r="K47" s="461"/>
      <c r="L47" s="462"/>
      <c r="Q47" s="69" t="s">
        <v>730</v>
      </c>
    </row>
    <row r="48" spans="2:105" ht="51.75" customHeight="1">
      <c r="B48" s="506"/>
      <c r="C48" s="516"/>
      <c r="D48" s="508"/>
      <c r="E48" s="508"/>
      <c r="F48" s="517"/>
      <c r="G48" s="225" t="str">
        <f>IF(AND(H48="      Out-of-state satellite location(s)",J48&lt;&gt;""), "Not Met",IF(AND(H48="      Out-of-state satellite location(s)",J48=""),"Met","N/A"))</f>
        <v>N/A</v>
      </c>
      <c r="H48" s="458" t="str">
        <f>IF('Satellite(s)'!$H$7&lt;&gt;"N/A","      Out-of-state satellite location(s)","      No out-of-state satellite location(s)")</f>
        <v xml:space="preserve">      No out-of-state satellite location(s)</v>
      </c>
      <c r="I48" s="459"/>
      <c r="J48" s="437" t="str" cm="1">
        <f t="array" ref="J48">_xlfn.TEXTJOIN("
",TRUE,IF('Satellite(s)'!F71:L71="Not Met",'Satellite(s)'!F72:L72,""))</f>
        <v/>
      </c>
      <c r="K48" s="438"/>
      <c r="L48" s="439"/>
      <c r="Q48" s="69" t="s">
        <v>731</v>
      </c>
    </row>
    <row r="49" spans="2:17" ht="51.75" customHeight="1">
      <c r="B49" s="507"/>
      <c r="C49" s="518"/>
      <c r="D49" s="509"/>
      <c r="E49" s="509"/>
      <c r="F49" s="519"/>
      <c r="G49" s="225" t="str">
        <f>IF(AND(H49="      Not Approved Satellite Location(s)",J49&lt;&gt;""), "Not Met",IF(AND(H49="      Not Approved Satellite Location(s)",J48=""),"Met","N/A"))</f>
        <v>N/A</v>
      </c>
      <c r="H49" s="458" t="str">
        <f>IF('Satellite(s)'!$H$8&lt;&gt;"","      Not approved satellite location(s)","      No unapproved satellite location(s)")</f>
        <v xml:space="preserve">      No unapproved satellite location(s)</v>
      </c>
      <c r="I49" s="459"/>
      <c r="J49" s="437" t="str" cm="1">
        <f t="array" ref="J49">_xlfn.TEXTJOIN("
",TRUE,IF('Satellite(s)'!F118:L118="Not Met",'Satellite(s)'!F119:L119,""))</f>
        <v/>
      </c>
      <c r="K49" s="438"/>
      <c r="L49" s="439"/>
      <c r="Q49" s="69" t="s">
        <v>732</v>
      </c>
    </row>
    <row r="50" spans="2:17" ht="42.95" customHeight="1">
      <c r="B50" s="219" t="s">
        <v>39</v>
      </c>
      <c r="C50" s="407" t="s">
        <v>43</v>
      </c>
      <c r="D50" s="408"/>
      <c r="E50" s="408"/>
      <c r="F50" s="409"/>
      <c r="G50" s="224"/>
      <c r="H50" s="179"/>
      <c r="I50" s="182" t="s">
        <v>539</v>
      </c>
      <c r="J50" s="418"/>
      <c r="K50" s="419"/>
      <c r="L50" s="420"/>
      <c r="Q50" s="19" t="s">
        <v>621</v>
      </c>
    </row>
    <row r="51" spans="2:17" ht="37.5" customHeight="1">
      <c r="B51" s="219" t="s">
        <v>39</v>
      </c>
      <c r="C51" s="407" t="s">
        <v>629</v>
      </c>
      <c r="D51" s="408"/>
      <c r="E51" s="408"/>
      <c r="F51" s="409"/>
      <c r="G51" s="224"/>
      <c r="H51" s="179"/>
      <c r="I51" s="182" t="s">
        <v>540</v>
      </c>
      <c r="J51" s="418"/>
      <c r="K51" s="419"/>
      <c r="L51" s="420"/>
      <c r="Q51" s="19" t="s">
        <v>621</v>
      </c>
    </row>
    <row r="52" spans="2:17" ht="37.5" customHeight="1">
      <c r="B52" s="219" t="s">
        <v>39</v>
      </c>
      <c r="C52" s="407" t="s">
        <v>628</v>
      </c>
      <c r="D52" s="408"/>
      <c r="E52" s="408"/>
      <c r="F52" s="409"/>
      <c r="G52" s="224"/>
      <c r="H52" s="179"/>
      <c r="I52" s="182" t="s">
        <v>540</v>
      </c>
      <c r="J52" s="418"/>
      <c r="K52" s="419"/>
      <c r="L52" s="420"/>
      <c r="Q52" s="19" t="s">
        <v>621</v>
      </c>
    </row>
    <row r="53" spans="2:17" ht="39" customHeight="1">
      <c r="B53" s="505" t="s">
        <v>39</v>
      </c>
      <c r="C53" s="413" t="s">
        <v>627</v>
      </c>
      <c r="D53" s="414"/>
      <c r="E53" s="414"/>
      <c r="F53" s="415"/>
      <c r="G53" s="470"/>
      <c r="H53" s="179"/>
      <c r="I53" s="182" t="s">
        <v>541</v>
      </c>
      <c r="J53" s="431"/>
      <c r="K53" s="432"/>
      <c r="L53" s="433"/>
      <c r="Q53" s="19" t="s">
        <v>621</v>
      </c>
    </row>
    <row r="54" spans="2:17" ht="39" customHeight="1">
      <c r="B54" s="506"/>
      <c r="C54" s="516"/>
      <c r="D54" s="508"/>
      <c r="E54" s="508"/>
      <c r="F54" s="517"/>
      <c r="G54" s="477"/>
      <c r="H54" s="179"/>
      <c r="I54" s="182" t="s">
        <v>106</v>
      </c>
      <c r="J54" s="510"/>
      <c r="K54" s="511"/>
      <c r="L54" s="512"/>
      <c r="Q54" s="19" t="s">
        <v>621</v>
      </c>
    </row>
    <row r="55" spans="2:17" ht="78" customHeight="1">
      <c r="B55" s="506"/>
      <c r="C55" s="516"/>
      <c r="D55" s="508"/>
      <c r="E55" s="508"/>
      <c r="F55" s="517"/>
      <c r="G55" s="225" t="str">
        <f>IF(AND(H55="      Same State Satellite Location(s)",J55&lt;&gt;""), "Not Met",IF(AND(H55="      Same State Satellite Location(s)",J55=""),"Met","N/A"))</f>
        <v>N/A</v>
      </c>
      <c r="H55" s="458" t="str">
        <f>IF('Satellite(s)'!$H$6&lt;&gt;"N/A","      Same state satellite location(s)","      No same state satellite location(s)")</f>
        <v xml:space="preserve">      No same state satellite location(s)</v>
      </c>
      <c r="I55" s="459"/>
      <c r="J55" s="513" t="str" cm="1">
        <f t="array" ref="J55">_xlfn.TEXTJOIN("
",TRUE,IF('Satellite(s)'!F23:AB23="Not Met","Insufficient equipment and supplies were identified at the following location(s):" &amp; 'Satellite(s)'!F13:AB13,""))</f>
        <v/>
      </c>
      <c r="K55" s="514"/>
      <c r="L55" s="515"/>
      <c r="Q55" s="69" t="s">
        <v>730</v>
      </c>
    </row>
    <row r="56" spans="2:17" ht="78" customHeight="1">
      <c r="B56" s="506"/>
      <c r="C56" s="516"/>
      <c r="D56" s="508"/>
      <c r="E56" s="508"/>
      <c r="F56" s="517"/>
      <c r="G56" s="225" t="str">
        <f>IF(AND(H56="      Out-of-state satellite location(s)",J56&lt;&gt;""), "Not Met",IF(AND(H48="      Out-of-state satellite location(s)",J56=""),"Met","N/A"))</f>
        <v>N/A</v>
      </c>
      <c r="H56" s="458" t="str">
        <f>IF('Satellite(s)'!$H$7&lt;&gt;"N/A","      Out-of-state satellite location(s)","      No out-of-state satellite location(s)")</f>
        <v xml:space="preserve">      No out-of-state satellite location(s)</v>
      </c>
      <c r="I56" s="459"/>
      <c r="J56" s="513" t="str" cm="1">
        <f t="array" ref="J56">_xlfn.TEXTJOIN("
",TRUE,IF('Satellite(s)'!F70:L70="Not Met","Insufficient equipment and supplies were identified at the following location(s):" &amp; 'Satellite(s)'!F60:L60,""))</f>
        <v/>
      </c>
      <c r="K56" s="514"/>
      <c r="L56" s="515"/>
      <c r="Q56" s="69" t="s">
        <v>733</v>
      </c>
    </row>
    <row r="57" spans="2:17" ht="78" customHeight="1">
      <c r="B57" s="507"/>
      <c r="C57" s="518"/>
      <c r="D57" s="509"/>
      <c r="E57" s="509"/>
      <c r="F57" s="519"/>
      <c r="G57" s="225" t="str">
        <f>IF(AND(H57="      Not Approved Satellite Location(s)",J57&lt;&gt;""), "Not Met",IF(AND(H57="      Not Approved Satellite Location(s)",J57=""),"Met","N/A"))</f>
        <v>N/A</v>
      </c>
      <c r="H57" s="458" t="str">
        <f>IF('Satellite(s)'!$H$8&lt;&gt;"","      Not approved satellite location(s)","      No unapproved satellite location(s)")</f>
        <v xml:space="preserve">      No unapproved satellite location(s)</v>
      </c>
      <c r="I57" s="459"/>
      <c r="J57" s="513" t="str" cm="1">
        <f t="array" ref="J57">_xlfn.TEXTJOIN("
",TRUE,IF('Satellite(s)'!F117:L117="Not Met","Insufficient equipment and supplies were identified at the following location(s):" &amp; 'Satellite(s)'!F107:L107,""))</f>
        <v/>
      </c>
      <c r="K57" s="514"/>
      <c r="L57" s="515"/>
      <c r="Q57" s="69" t="s">
        <v>734</v>
      </c>
    </row>
    <row r="58" spans="2:17" ht="37.5" customHeight="1">
      <c r="B58" s="219" t="s">
        <v>39</v>
      </c>
      <c r="C58" s="407" t="s">
        <v>626</v>
      </c>
      <c r="D58" s="408"/>
      <c r="E58" s="408"/>
      <c r="F58" s="409"/>
      <c r="G58" s="224"/>
      <c r="H58" s="179"/>
      <c r="I58" s="182" t="s">
        <v>540</v>
      </c>
      <c r="J58" s="418"/>
      <c r="K58" s="419"/>
      <c r="L58" s="420"/>
      <c r="Q58" s="19" t="s">
        <v>621</v>
      </c>
    </row>
    <row r="59" spans="2:17" ht="39" customHeight="1">
      <c r="B59" s="505" t="s">
        <v>39</v>
      </c>
      <c r="C59" s="413" t="s">
        <v>625</v>
      </c>
      <c r="D59" s="414"/>
      <c r="E59" s="414"/>
      <c r="F59" s="415"/>
      <c r="G59" s="470"/>
      <c r="H59" s="179"/>
      <c r="I59" s="182" t="s">
        <v>542</v>
      </c>
      <c r="J59" s="421"/>
      <c r="K59" s="422"/>
      <c r="L59" s="423"/>
      <c r="Q59" s="19" t="s">
        <v>621</v>
      </c>
    </row>
    <row r="60" spans="2:17" ht="48.75" customHeight="1">
      <c r="B60" s="506"/>
      <c r="C60" s="516"/>
      <c r="D60" s="508"/>
      <c r="E60" s="508"/>
      <c r="F60" s="517"/>
      <c r="G60" s="477"/>
      <c r="H60" s="179"/>
      <c r="I60" s="182" t="s">
        <v>543</v>
      </c>
      <c r="J60" s="428"/>
      <c r="K60" s="429"/>
      <c r="L60" s="430"/>
      <c r="Q60" s="19" t="s">
        <v>621</v>
      </c>
    </row>
    <row r="61" spans="2:17" ht="45" customHeight="1">
      <c r="B61" s="506"/>
      <c r="C61" s="516"/>
      <c r="D61" s="508"/>
      <c r="E61" s="508"/>
      <c r="F61" s="517"/>
      <c r="G61" s="225" t="str">
        <f>IF(AND(H61="      Same State Satellite Location(s)",J61&lt;&gt;""), "Not Met",IF(AND(H61="      Same State Satellite Location(s)",J61=""),"Met","N/A"))</f>
        <v>N/A</v>
      </c>
      <c r="H61" s="458" t="str">
        <f>IF('Satellite(s)'!$H$6&lt;&gt;"N/A","      Same state satellite location(s)","      No same state satellite location(s)")</f>
        <v xml:space="preserve">      No same state satellite location(s)</v>
      </c>
      <c r="I61" s="459"/>
      <c r="J61" s="460" t="str" cm="1">
        <f t="array" ref="J61">_xlfn.TEXTJOIN("
",TRUE,IF('Satellite(s)'!F32:AB32="Not Met",'Satellite(s)'!F33:AB33,""))</f>
        <v/>
      </c>
      <c r="K61" s="461"/>
      <c r="L61" s="462"/>
      <c r="Q61" s="69" t="s">
        <v>730</v>
      </c>
    </row>
    <row r="62" spans="2:17" ht="44.25" customHeight="1">
      <c r="B62" s="506"/>
      <c r="C62" s="516"/>
      <c r="D62" s="508"/>
      <c r="E62" s="508"/>
      <c r="F62" s="517"/>
      <c r="G62" s="225" t="str">
        <f>IF(AND(H62="      Out-of-state satellite location(s)",J62&lt;&gt;""), "Not Met",IF(AND(H62="      Out-of-state satellite location(s)",J62=""),"Met","N/A"))</f>
        <v>N/A</v>
      </c>
      <c r="H62" s="458" t="str">
        <f>IF('Satellite(s)'!$H$7&lt;&gt;"N/A","      Out-of-state satellite location(s)","      No out-of-state satellite location(s)")</f>
        <v xml:space="preserve">      No out-of-state satellite location(s)</v>
      </c>
      <c r="I62" s="459"/>
      <c r="J62" s="460" t="str" cm="1">
        <f t="array" ref="J62">_xlfn.TEXTJOIN("
",TRUE,IF('Satellite(s)'!F79:L79="Not Met",'Satellite(s)'!F80:L80,""))</f>
        <v/>
      </c>
      <c r="K62" s="461"/>
      <c r="L62" s="462"/>
      <c r="Q62" s="69" t="s">
        <v>733</v>
      </c>
    </row>
    <row r="63" spans="2:17" ht="44.25" customHeight="1">
      <c r="B63" s="507"/>
      <c r="C63" s="518"/>
      <c r="D63" s="509"/>
      <c r="E63" s="509"/>
      <c r="F63" s="519"/>
      <c r="G63" s="225" t="str">
        <f>IF(AND(H63="      Not Approved Satellite Location(s)",J63&lt;&gt;""), "Not Met",IF(AND(H63="      Not Approved Satellite Location(s)",J63=""),"Met","N/A"))</f>
        <v>N/A</v>
      </c>
      <c r="H63" s="458" t="str">
        <f>IF('Satellite(s)'!$H$8&lt;&gt;"","      Not approved satellite location(s)","      No unapproved satellite location(s)")</f>
        <v xml:space="preserve">      No unapproved satellite location(s)</v>
      </c>
      <c r="I63" s="459"/>
      <c r="J63" s="460" t="str" cm="1">
        <f t="array" ref="J63">_xlfn.TEXTJOIN("
",TRUE,IF('Satellite(s)'!F126:L126="Not Met",'Satellite(s)'!F127:L127,""))</f>
        <v/>
      </c>
      <c r="K63" s="461"/>
      <c r="L63" s="462"/>
      <c r="Q63" s="69" t="s">
        <v>734</v>
      </c>
    </row>
    <row r="64" spans="2:17" ht="39" customHeight="1">
      <c r="B64" s="219" t="s">
        <v>39</v>
      </c>
      <c r="C64" s="495" t="s">
        <v>624</v>
      </c>
      <c r="D64" s="495"/>
      <c r="E64" s="495"/>
      <c r="F64" s="495"/>
      <c r="G64" s="222"/>
      <c r="H64" s="179"/>
      <c r="I64" s="182" t="s">
        <v>544</v>
      </c>
      <c r="J64" s="638"/>
      <c r="K64" s="638"/>
      <c r="L64" s="638"/>
      <c r="Q64" s="19" t="s">
        <v>621</v>
      </c>
    </row>
    <row r="65" spans="2:17" ht="39" customHeight="1">
      <c r="B65" s="493" t="s">
        <v>39</v>
      </c>
      <c r="C65" s="413" t="s">
        <v>623</v>
      </c>
      <c r="D65" s="414"/>
      <c r="E65" s="414"/>
      <c r="F65" s="415"/>
      <c r="G65" s="470"/>
      <c r="H65" s="179"/>
      <c r="I65" s="182" t="s">
        <v>701</v>
      </c>
      <c r="J65" s="421"/>
      <c r="K65" s="422"/>
      <c r="L65" s="423"/>
      <c r="Q65" s="19" t="s">
        <v>621</v>
      </c>
    </row>
    <row r="66" spans="2:17" ht="39" customHeight="1">
      <c r="B66" s="494"/>
      <c r="C66" s="518"/>
      <c r="D66" s="509"/>
      <c r="E66" s="509"/>
      <c r="F66" s="519"/>
      <c r="G66" s="477"/>
      <c r="H66" s="179"/>
      <c r="I66" s="183" t="s">
        <v>545</v>
      </c>
      <c r="J66" s="428"/>
      <c r="K66" s="429"/>
      <c r="L66" s="430"/>
      <c r="Q66" s="19" t="s">
        <v>621</v>
      </c>
    </row>
    <row r="67" spans="2:17" ht="20.25" customHeight="1">
      <c r="B67" s="410" t="s">
        <v>688</v>
      </c>
      <c r="C67" s="411"/>
      <c r="D67" s="411"/>
      <c r="E67" s="411"/>
      <c r="F67" s="411"/>
      <c r="G67" s="411"/>
      <c r="H67" s="411"/>
      <c r="I67" s="411"/>
      <c r="J67" s="411"/>
      <c r="K67" s="411"/>
      <c r="L67" s="412"/>
    </row>
    <row r="68" spans="2:17" ht="51" customHeight="1">
      <c r="B68" s="505" t="s">
        <v>44</v>
      </c>
      <c r="C68" s="516" t="s">
        <v>689</v>
      </c>
      <c r="D68" s="508"/>
      <c r="E68" s="508"/>
      <c r="F68" s="517"/>
      <c r="G68" s="524"/>
      <c r="H68" s="179"/>
      <c r="I68" s="187" t="s">
        <v>546</v>
      </c>
      <c r="J68" s="463"/>
      <c r="K68" s="464"/>
      <c r="L68" s="465"/>
      <c r="Q68" s="19" t="s">
        <v>634</v>
      </c>
    </row>
    <row r="69" spans="2:17" ht="39" customHeight="1">
      <c r="B69" s="506"/>
      <c r="C69" s="516"/>
      <c r="D69" s="508"/>
      <c r="E69" s="508"/>
      <c r="F69" s="517"/>
      <c r="G69" s="524"/>
      <c r="H69" s="179"/>
      <c r="I69" s="187" t="s">
        <v>702</v>
      </c>
      <c r="J69" s="463"/>
      <c r="K69" s="464"/>
      <c r="L69" s="465"/>
      <c r="Q69" s="19"/>
    </row>
    <row r="70" spans="2:17" ht="46.5" customHeight="1">
      <c r="B70" s="506"/>
      <c r="C70" s="516"/>
      <c r="D70" s="508"/>
      <c r="E70" s="508"/>
      <c r="F70" s="517"/>
      <c r="G70" s="524"/>
      <c r="H70" s="179"/>
      <c r="I70" s="187" t="s">
        <v>703</v>
      </c>
      <c r="J70" s="463"/>
      <c r="K70" s="464"/>
      <c r="L70" s="465"/>
      <c r="Q70" s="19"/>
    </row>
    <row r="71" spans="2:17" ht="57.75" customHeight="1">
      <c r="B71" s="507"/>
      <c r="C71" s="518"/>
      <c r="D71" s="509"/>
      <c r="E71" s="509"/>
      <c r="F71" s="519"/>
      <c r="G71" s="524"/>
      <c r="H71" s="179"/>
      <c r="I71" s="182" t="s">
        <v>704</v>
      </c>
      <c r="J71" s="428"/>
      <c r="K71" s="429"/>
      <c r="L71" s="430"/>
      <c r="Q71" s="19"/>
    </row>
    <row r="72" spans="2:17" ht="80.25" customHeight="1">
      <c r="B72" s="493" t="s">
        <v>44</v>
      </c>
      <c r="C72" s="526" t="s">
        <v>690</v>
      </c>
      <c r="D72" s="527"/>
      <c r="E72" s="527"/>
      <c r="F72" s="528"/>
      <c r="G72" s="227"/>
      <c r="H72" s="179"/>
      <c r="I72" s="180" t="s">
        <v>705</v>
      </c>
      <c r="J72" s="418"/>
      <c r="K72" s="419"/>
      <c r="L72" s="420"/>
      <c r="Q72" s="19" t="s">
        <v>634</v>
      </c>
    </row>
    <row r="73" spans="2:17" ht="55.5" customHeight="1">
      <c r="B73" s="538"/>
      <c r="C73" s="529"/>
      <c r="D73" s="530"/>
      <c r="E73" s="530"/>
      <c r="F73" s="531"/>
      <c r="G73" s="225" t="str">
        <f>IF(AND(H73="      Same State Satellite Location(s)",J73&lt;&gt;""), "Not Met",IF(AND(H73="      Same State Satellite Location(s)",J73=""),"Met","N/A"))</f>
        <v>N/A</v>
      </c>
      <c r="H73" s="458" t="str">
        <f>IF('Satellite(s)'!$H$6&lt;&gt;"N/A","      Same state satellite location(s)","      No same state satellite location(s)")</f>
        <v xml:space="preserve">      No same state satellite location(s)</v>
      </c>
      <c r="I73" s="459"/>
      <c r="J73" s="460" t="str" cm="1">
        <f t="array" ref="J73">_xlfn.TEXTJOIN("
",TRUE,IF('Satellite(s)'!F49:AB49="Not Met",'Satellite(s)'!F50:AB50,""))</f>
        <v/>
      </c>
      <c r="K73" s="461"/>
      <c r="L73" s="462"/>
      <c r="Q73" s="69" t="s">
        <v>735</v>
      </c>
    </row>
    <row r="74" spans="2:17" ht="55.5" customHeight="1">
      <c r="B74" s="538"/>
      <c r="C74" s="529"/>
      <c r="D74" s="530"/>
      <c r="E74" s="530"/>
      <c r="F74" s="531"/>
      <c r="G74" s="225" t="str">
        <f>IF(AND(H74="      Out-of-state satellite location(s)",J74&lt;&gt;""), "Not Met",IF(AND(H74="      Out-of-state satellite location(s)",J74=""),"Met","N/A"))</f>
        <v>N/A</v>
      </c>
      <c r="H74" s="458" t="str">
        <f>IF('Satellite(s)'!$H$7&lt;&gt;"N/A","      Out-of-state satellite location(s)","      No out-of-state satellite location(s)")</f>
        <v xml:space="preserve">      No out-of-state satellite location(s)</v>
      </c>
      <c r="I74" s="459"/>
      <c r="J74" s="460" t="str" cm="1">
        <f t="array" ref="J74">_xlfn.TEXTJOIN("
",TRUE,IF('Satellite(s)'!F96:L96="Not Met",'Satellite(s)'!F97:L97,""))</f>
        <v/>
      </c>
      <c r="K74" s="461"/>
      <c r="L74" s="462"/>
      <c r="Q74" s="69" t="s">
        <v>736</v>
      </c>
    </row>
    <row r="75" spans="2:17" ht="55.5" customHeight="1">
      <c r="B75" s="494"/>
      <c r="C75" s="532"/>
      <c r="D75" s="533"/>
      <c r="E75" s="533"/>
      <c r="F75" s="534"/>
      <c r="G75" s="225" t="str">
        <f>IF(AND(H75="      Not Approved Satellite Location(s)",J75&lt;&gt;""), "Not Met",IF(AND(H75="      Not Approved Satellite Location(s)",J75=""),"Met","N/A"))</f>
        <v>N/A</v>
      </c>
      <c r="H75" s="458" t="str">
        <f>IF('Satellite(s)'!$H$8&lt;&gt;"","      Not approved satellite location(s)","      No unapproved satellite location(s)")</f>
        <v xml:space="preserve">      No unapproved satellite location(s)</v>
      </c>
      <c r="I75" s="459"/>
      <c r="J75" s="460" t="str" cm="1">
        <f t="array" ref="J75">_xlfn.TEXTJOIN("
",TRUE,IF('Satellite(s)'!F143:L143="Not Met",'Satellite(s)'!F144:L144,""))</f>
        <v/>
      </c>
      <c r="K75" s="461"/>
      <c r="L75" s="462"/>
      <c r="Q75" s="69" t="s">
        <v>737</v>
      </c>
    </row>
    <row r="76" spans="2:17" ht="20.25" customHeight="1">
      <c r="B76" s="410" t="s">
        <v>187</v>
      </c>
      <c r="C76" s="411"/>
      <c r="D76" s="411"/>
      <c r="E76" s="411"/>
      <c r="F76" s="411"/>
      <c r="G76" s="411"/>
      <c r="H76" s="411"/>
      <c r="I76" s="411"/>
      <c r="J76" s="411"/>
      <c r="K76" s="411"/>
      <c r="L76" s="412"/>
    </row>
    <row r="77" spans="2:17" ht="40.35" customHeight="1">
      <c r="B77" s="493" t="s">
        <v>45</v>
      </c>
      <c r="C77" s="413" t="s">
        <v>46</v>
      </c>
      <c r="D77" s="414"/>
      <c r="E77" s="414"/>
      <c r="F77" s="415"/>
      <c r="G77" s="442"/>
      <c r="H77" s="564" t="s">
        <v>694</v>
      </c>
      <c r="I77" s="459"/>
      <c r="J77" s="421"/>
      <c r="K77" s="422"/>
      <c r="L77" s="423"/>
      <c r="Q77" s="19" t="s">
        <v>306</v>
      </c>
    </row>
    <row r="78" spans="2:17" ht="33" customHeight="1">
      <c r="B78" s="538"/>
      <c r="C78" s="516"/>
      <c r="D78" s="508"/>
      <c r="E78" s="508"/>
      <c r="F78" s="517"/>
      <c r="G78" s="524"/>
      <c r="H78" s="179"/>
      <c r="I78" s="185" t="s">
        <v>547</v>
      </c>
      <c r="J78" s="463"/>
      <c r="K78" s="464"/>
      <c r="L78" s="465"/>
    </row>
    <row r="79" spans="2:17" ht="33" customHeight="1">
      <c r="B79" s="538"/>
      <c r="C79" s="516"/>
      <c r="D79" s="508"/>
      <c r="E79" s="508"/>
      <c r="F79" s="517"/>
      <c r="G79" s="524"/>
      <c r="H79" s="179"/>
      <c r="I79" s="182" t="s">
        <v>548</v>
      </c>
      <c r="J79" s="463"/>
      <c r="K79" s="464"/>
      <c r="L79" s="465"/>
    </row>
    <row r="80" spans="2:17" ht="33" customHeight="1">
      <c r="B80" s="538"/>
      <c r="C80" s="516"/>
      <c r="D80" s="508"/>
      <c r="E80" s="508"/>
      <c r="F80" s="517"/>
      <c r="G80" s="524"/>
      <c r="H80" s="179"/>
      <c r="I80" s="188" t="s">
        <v>186</v>
      </c>
      <c r="J80" s="463"/>
      <c r="K80" s="464"/>
      <c r="L80" s="465"/>
    </row>
    <row r="81" spans="2:105" ht="42" customHeight="1">
      <c r="B81" s="538"/>
      <c r="C81" s="516"/>
      <c r="D81" s="508"/>
      <c r="E81" s="508"/>
      <c r="F81" s="517"/>
      <c r="G81" s="524"/>
      <c r="H81" s="179"/>
      <c r="I81" s="182" t="s">
        <v>650</v>
      </c>
      <c r="J81" s="463"/>
      <c r="K81" s="464"/>
      <c r="L81" s="465"/>
    </row>
    <row r="82" spans="2:105" ht="55.5" customHeight="1">
      <c r="B82" s="538"/>
      <c r="C82" s="516"/>
      <c r="D82" s="508"/>
      <c r="E82" s="508"/>
      <c r="F82" s="517"/>
      <c r="G82" s="524"/>
      <c r="H82" s="179"/>
      <c r="I82" s="182" t="s">
        <v>549</v>
      </c>
      <c r="J82" s="463"/>
      <c r="K82" s="464"/>
      <c r="L82" s="465"/>
    </row>
    <row r="83" spans="2:105" ht="33" customHeight="1">
      <c r="B83" s="494"/>
      <c r="C83" s="518"/>
      <c r="D83" s="509"/>
      <c r="E83" s="509"/>
      <c r="F83" s="519"/>
      <c r="G83" s="525"/>
      <c r="H83" s="189"/>
      <c r="I83" s="190" t="s">
        <v>550</v>
      </c>
      <c r="J83" s="428"/>
      <c r="K83" s="429"/>
      <c r="L83" s="430"/>
    </row>
    <row r="84" spans="2:105" ht="20.25" customHeight="1">
      <c r="B84" s="410" t="s">
        <v>196</v>
      </c>
      <c r="C84" s="411"/>
      <c r="D84" s="411"/>
      <c r="E84" s="411"/>
      <c r="F84" s="411"/>
      <c r="G84" s="411"/>
      <c r="H84" s="411"/>
      <c r="I84" s="411"/>
      <c r="J84" s="411"/>
      <c r="K84" s="411"/>
      <c r="L84" s="412"/>
    </row>
    <row r="85" spans="2:105" ht="39" customHeight="1">
      <c r="B85" s="424" t="s">
        <v>47</v>
      </c>
      <c r="C85" s="411"/>
      <c r="D85" s="411"/>
      <c r="E85" s="411"/>
      <c r="F85" s="411"/>
      <c r="G85" s="411"/>
      <c r="H85" s="411"/>
      <c r="I85" s="411"/>
      <c r="J85" s="411"/>
      <c r="K85" s="411"/>
      <c r="L85" s="412"/>
    </row>
    <row r="86" spans="2:105" ht="39" customHeight="1">
      <c r="B86" s="493" t="s">
        <v>48</v>
      </c>
      <c r="C86" s="413" t="s">
        <v>262</v>
      </c>
      <c r="D86" s="414"/>
      <c r="E86" s="414"/>
      <c r="F86" s="415"/>
      <c r="G86" s="470"/>
      <c r="H86" s="179"/>
      <c r="I86" s="191" t="s">
        <v>294</v>
      </c>
      <c r="J86" s="421"/>
      <c r="K86" s="422"/>
      <c r="L86" s="423"/>
      <c r="Q86" s="19" t="s">
        <v>307</v>
      </c>
    </row>
    <row r="87" spans="2:105" ht="39" customHeight="1">
      <c r="B87" s="538"/>
      <c r="C87" s="516"/>
      <c r="D87" s="508"/>
      <c r="E87" s="508"/>
      <c r="F87" s="517"/>
      <c r="G87" s="471"/>
      <c r="H87" s="179"/>
      <c r="I87" s="187" t="s">
        <v>551</v>
      </c>
      <c r="J87" s="463"/>
      <c r="K87" s="464"/>
      <c r="L87" s="465"/>
      <c r="Q87" s="19"/>
    </row>
    <row r="88" spans="2:105" ht="145.5" customHeight="1">
      <c r="B88" s="538"/>
      <c r="C88" s="516"/>
      <c r="D88" s="508"/>
      <c r="E88" s="508"/>
      <c r="F88" s="517"/>
      <c r="G88" s="471"/>
      <c r="H88" s="179"/>
      <c r="I88" s="182" t="s">
        <v>552</v>
      </c>
      <c r="J88" s="463"/>
      <c r="K88" s="464"/>
      <c r="L88" s="465"/>
      <c r="Q88" s="19"/>
    </row>
    <row r="89" spans="2:105" ht="15.75" customHeight="1">
      <c r="B89" s="505" t="s">
        <v>49</v>
      </c>
      <c r="C89" s="413" t="s">
        <v>261</v>
      </c>
      <c r="D89" s="414"/>
      <c r="E89" s="414"/>
      <c r="F89" s="415"/>
      <c r="G89" s="470"/>
      <c r="H89" s="497"/>
      <c r="I89" s="502"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89" s="421"/>
      <c r="K89" s="422"/>
      <c r="L89" s="423"/>
      <c r="M89" s="41"/>
      <c r="Q89" s="19" t="s">
        <v>308</v>
      </c>
    </row>
    <row r="90" spans="2:105" ht="9" customHeight="1">
      <c r="B90" s="506"/>
      <c r="C90" s="516"/>
      <c r="D90" s="508"/>
      <c r="E90" s="508"/>
      <c r="F90" s="517"/>
      <c r="G90" s="471"/>
      <c r="H90" s="523"/>
      <c r="I90" s="503"/>
      <c r="J90" s="463"/>
      <c r="K90" s="464"/>
      <c r="L90" s="465"/>
      <c r="M90" s="41"/>
      <c r="Q90" s="19"/>
    </row>
    <row r="91" spans="2:105" ht="68.25" customHeight="1">
      <c r="B91" s="507"/>
      <c r="C91" s="518"/>
      <c r="D91" s="509"/>
      <c r="E91" s="509"/>
      <c r="F91" s="519"/>
      <c r="G91" s="477"/>
      <c r="H91" s="498"/>
      <c r="I91" s="504"/>
      <c r="J91" s="428"/>
      <c r="K91" s="429"/>
      <c r="L91" s="430"/>
      <c r="Q91" s="19"/>
    </row>
    <row r="92" spans="2:105" ht="58.5" customHeight="1">
      <c r="B92" s="223" t="s">
        <v>50</v>
      </c>
      <c r="C92" s="413" t="s">
        <v>662</v>
      </c>
      <c r="D92" s="414"/>
      <c r="E92" s="414"/>
      <c r="F92" s="415"/>
      <c r="G92" s="229"/>
      <c r="H92" s="179"/>
      <c r="I92" s="182" t="s">
        <v>663</v>
      </c>
      <c r="J92" s="421"/>
      <c r="K92" s="422"/>
      <c r="L92" s="423"/>
      <c r="Q92" s="19" t="s">
        <v>309</v>
      </c>
    </row>
    <row r="93" spans="2:105" s="9" customFormat="1" ht="47.25" customHeight="1">
      <c r="B93" s="505" t="s">
        <v>51</v>
      </c>
      <c r="C93" s="413" t="s">
        <v>664</v>
      </c>
      <c r="D93" s="414"/>
      <c r="E93" s="414"/>
      <c r="F93" s="415"/>
      <c r="G93" s="470"/>
      <c r="H93" s="179"/>
      <c r="I93" s="181"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93" s="421"/>
      <c r="K93" s="422"/>
      <c r="L93" s="423"/>
      <c r="M93" s="51"/>
      <c r="N93" s="51"/>
      <c r="O93" s="51"/>
      <c r="P93" s="51"/>
      <c r="Q93" s="51" t="s">
        <v>310</v>
      </c>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c r="CH93" s="51"/>
      <c r="CI93" s="51"/>
      <c r="CJ93" s="51"/>
      <c r="CK93" s="51"/>
      <c r="CL93" s="51"/>
      <c r="CM93" s="51"/>
      <c r="CN93" s="51"/>
      <c r="CO93" s="51"/>
      <c r="CP93" s="51"/>
      <c r="CQ93" s="51"/>
      <c r="CR93" s="51"/>
      <c r="CS93" s="51"/>
      <c r="CT93" s="51"/>
      <c r="CU93" s="51"/>
      <c r="CV93" s="51"/>
      <c r="CW93" s="51"/>
      <c r="CX93" s="51"/>
      <c r="CY93" s="51"/>
      <c r="CZ93" s="51"/>
      <c r="DA93" s="51"/>
    </row>
    <row r="94" spans="2:105" s="9" customFormat="1" ht="183" customHeight="1">
      <c r="B94" s="506"/>
      <c r="C94" s="516"/>
      <c r="D94" s="508"/>
      <c r="E94" s="508"/>
      <c r="F94" s="517"/>
      <c r="G94" s="471"/>
      <c r="H94" s="179"/>
      <c r="I94" s="181"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94" s="463"/>
      <c r="K94" s="464"/>
      <c r="L94" s="465"/>
      <c r="M94" s="51"/>
      <c r="N94" s="51"/>
      <c r="O94" s="51"/>
      <c r="P94" s="51"/>
      <c r="Q94" s="286"/>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c r="CH94" s="51"/>
      <c r="CI94" s="51"/>
      <c r="CJ94" s="51"/>
      <c r="CK94" s="51"/>
      <c r="CL94" s="51"/>
      <c r="CM94" s="51"/>
      <c r="CN94" s="51"/>
      <c r="CO94" s="51"/>
      <c r="CP94" s="51"/>
      <c r="CQ94" s="51"/>
      <c r="CR94" s="51"/>
      <c r="CS94" s="51"/>
      <c r="CT94" s="51"/>
      <c r="CU94" s="51"/>
      <c r="CV94" s="51"/>
      <c r="CW94" s="51"/>
      <c r="CX94" s="51"/>
      <c r="CY94" s="51"/>
      <c r="CZ94" s="51"/>
      <c r="DA94" s="51"/>
    </row>
    <row r="95" spans="2:105" s="9" customFormat="1" ht="258.75" customHeight="1">
      <c r="B95" s="506"/>
      <c r="C95" s="516"/>
      <c r="D95" s="508"/>
      <c r="E95" s="508"/>
      <c r="F95" s="517"/>
      <c r="G95" s="471"/>
      <c r="H95" s="179"/>
      <c r="I95" s="181"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95" s="463"/>
      <c r="K95" s="464"/>
      <c r="L95" s="465"/>
      <c r="M95" s="51"/>
      <c r="N95" s="51"/>
      <c r="O95" s="51"/>
      <c r="P95" s="51"/>
      <c r="Q95" s="286"/>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c r="CH95" s="51"/>
      <c r="CI95" s="51"/>
      <c r="CJ95" s="51"/>
      <c r="CK95" s="51"/>
      <c r="CL95" s="51"/>
      <c r="CM95" s="51"/>
      <c r="CN95" s="51"/>
      <c r="CO95" s="51"/>
      <c r="CP95" s="51"/>
      <c r="CQ95" s="51"/>
      <c r="CR95" s="51"/>
      <c r="CS95" s="51"/>
      <c r="CT95" s="51"/>
      <c r="CU95" s="51"/>
      <c r="CV95" s="51"/>
      <c r="CW95" s="51"/>
      <c r="CX95" s="51"/>
      <c r="CY95" s="51"/>
      <c r="CZ95" s="51"/>
      <c r="DA95" s="51"/>
    </row>
    <row r="96" spans="2:105" s="9" customFormat="1" ht="55.5" customHeight="1">
      <c r="B96" s="535" t="s">
        <v>692</v>
      </c>
      <c r="C96" s="413" t="s">
        <v>682</v>
      </c>
      <c r="D96" s="414"/>
      <c r="E96" s="414"/>
      <c r="F96" s="415"/>
      <c r="G96" s="225" t="str">
        <f>IF(AND(H96="      Same State Satellite Location(s)",J96&lt;&gt;""), "Not Met",IF(AND(H96="      Same State Satellite Location(s)",J96=""),"Met","N/A"))</f>
        <v>N/A</v>
      </c>
      <c r="H96" s="458" t="str">
        <f>IF('Satellite(s)'!$H$6&lt;&gt;"N/A","      Same state satellite location(s)","      No same state satellite location(s)")</f>
        <v xml:space="preserve">      No same state satellite location(s)</v>
      </c>
      <c r="I96" s="459"/>
      <c r="J96" s="541" t="str" cm="1">
        <f t="array" ref="J96">_xlfn.TEXTJOIN("
",TRUE,IF('Satellite(s)'!F21:AB21="Not Met","The PD is not responsible for satellite management at the following location(s):" &amp; 'Satellite(s)'!F13:AB13,""))</f>
        <v/>
      </c>
      <c r="K96" s="542"/>
      <c r="L96" s="543"/>
      <c r="M96" s="286"/>
      <c r="N96" s="51"/>
      <c r="O96" s="51"/>
      <c r="P96" s="51"/>
      <c r="Q96" s="296" t="s">
        <v>738</v>
      </c>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c r="CH96" s="51"/>
      <c r="CI96" s="51"/>
      <c r="CJ96" s="51"/>
      <c r="CK96" s="51"/>
      <c r="CL96" s="51"/>
      <c r="CM96" s="51"/>
      <c r="CN96" s="51"/>
      <c r="CO96" s="51"/>
      <c r="CP96" s="51"/>
      <c r="CQ96" s="51"/>
      <c r="CR96" s="51"/>
      <c r="CS96" s="51"/>
      <c r="CT96" s="51"/>
      <c r="CU96" s="51"/>
      <c r="CV96" s="51"/>
      <c r="CW96" s="51"/>
      <c r="CX96" s="51"/>
      <c r="CY96" s="51"/>
      <c r="CZ96" s="51"/>
      <c r="DA96" s="51"/>
    </row>
    <row r="97" spans="2:105" s="9" customFormat="1" ht="55.5" customHeight="1">
      <c r="B97" s="536"/>
      <c r="C97" s="516"/>
      <c r="D97" s="508"/>
      <c r="E97" s="508"/>
      <c r="F97" s="517"/>
      <c r="G97" s="225" t="str">
        <f>IF(AND(H97="      Out-of-state satellite location(s)",J97&lt;&gt;""), "Not Met",IF(AND(H97="      Out-of-state satellite location(s)",J97=""),"Met","N/A"))</f>
        <v>N/A</v>
      </c>
      <c r="H97" s="458" t="str">
        <f>IF('Satellite(s)'!$H$7&lt;&gt;"N/A","      Out-of-state satellite location(s)","      No out-of-state satellite location(s)")</f>
        <v xml:space="preserve">      No out-of-state satellite location(s)</v>
      </c>
      <c r="I97" s="459"/>
      <c r="J97" s="541" t="str" cm="1">
        <f t="array" ref="J97">_xlfn.TEXTJOIN("
",TRUE,IF('Satellite(s)'!F68:L68="Not Met","The PD is not responsible for satellite management at the following location(s):" &amp; 'Satellite(s)'!F60:L60,""))</f>
        <v/>
      </c>
      <c r="K97" s="542"/>
      <c r="L97" s="543"/>
      <c r="M97" s="286"/>
      <c r="N97" s="51"/>
      <c r="O97" s="51"/>
      <c r="P97" s="51"/>
      <c r="Q97" s="296" t="s">
        <v>739</v>
      </c>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row>
    <row r="98" spans="2:105" s="9" customFormat="1" ht="55.5" customHeight="1">
      <c r="B98" s="537"/>
      <c r="C98" s="518"/>
      <c r="D98" s="509"/>
      <c r="E98" s="509"/>
      <c r="F98" s="519"/>
      <c r="G98" s="225" t="str">
        <f>IF(AND(H98="      Not Approved Satellite Location(s)",J98&lt;&gt;""), "Not Met",IF(AND(H98="      Not Approved Satellite Location(s)",J98=""),"Met","N/A"))</f>
        <v>N/A</v>
      </c>
      <c r="H98" s="458" t="str">
        <f>IF('Satellite(s)'!$H$8&lt;&gt;"","      Not approved satellite location(s)","      No unapproved satellite location(s)")</f>
        <v xml:space="preserve">      No unapproved satellite location(s)</v>
      </c>
      <c r="I98" s="459"/>
      <c r="J98" s="541" t="str" cm="1">
        <f t="array" ref="J98">_xlfn.TEXTJOIN("
",TRUE,IF('Satellite(s)'!F115:L115="Not Met","The PD is not responsible for satellite management at the following location(s):" &amp; 'Satellite(s)'!F107:L107,""))</f>
        <v/>
      </c>
      <c r="K98" s="542"/>
      <c r="L98" s="543"/>
      <c r="M98" s="286"/>
      <c r="N98" s="51"/>
      <c r="O98" s="51"/>
      <c r="P98" s="51"/>
      <c r="Q98" s="296" t="s">
        <v>740</v>
      </c>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c r="CX98" s="51"/>
      <c r="CY98" s="51"/>
      <c r="CZ98" s="51"/>
      <c r="DA98" s="51"/>
    </row>
    <row r="99" spans="2:105" s="9" customFormat="1" ht="55.5" customHeight="1">
      <c r="B99" s="535" t="s">
        <v>693</v>
      </c>
      <c r="C99" s="413" t="s">
        <v>777</v>
      </c>
      <c r="D99" s="414"/>
      <c r="E99" s="414"/>
      <c r="F99" s="415"/>
      <c r="G99" s="225" t="str">
        <f>IF(AND(H99="      Same State Satellite Location(s)",J99&lt;&gt;""), "Not Met",IF(AND(H99="      Same State Satellite Location(s)",J99=""),"Met","N/A"))</f>
        <v>N/A</v>
      </c>
      <c r="H99" s="458" t="str">
        <f>IF('Satellite(s)'!$H$6&lt;&gt;"N/A","      same state satellite location(s)","      No same state satellite location(s)")</f>
        <v xml:space="preserve">      No same state satellite location(s)</v>
      </c>
      <c r="I99" s="459"/>
      <c r="J99" s="437" t="str" cm="1">
        <f t="array" ref="J99">_xlfn.TEXTJOIN("
",TRUE,IF('Satellite(s)'!F51:AB51="Not Met",'Satellite(s)'!F52:AB52,""))</f>
        <v/>
      </c>
      <c r="K99" s="438"/>
      <c r="L99" s="439"/>
      <c r="M99" s="51"/>
      <c r="N99" s="51"/>
      <c r="O99" s="51"/>
      <c r="P99" s="51"/>
      <c r="Q99" s="296" t="s">
        <v>741</v>
      </c>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c r="CX99" s="51"/>
      <c r="CY99" s="51"/>
      <c r="CZ99" s="51"/>
      <c r="DA99" s="51"/>
    </row>
    <row r="100" spans="2:105" s="9" customFormat="1" ht="63.75" customHeight="1">
      <c r="B100" s="536"/>
      <c r="C100" s="516"/>
      <c r="D100" s="508"/>
      <c r="E100" s="508"/>
      <c r="F100" s="517"/>
      <c r="G100" s="225" t="str">
        <f>IF(AND(H100="      Out-of-state satellite location(s)",J100&lt;&gt;""), "Not Met",IF(AND(H100="      Out-of-state satellite location(s)",J100=""),"Met","N/A"))</f>
        <v>N/A</v>
      </c>
      <c r="H100" s="458" t="str">
        <f>IF('Satellite(s)'!$H$7&lt;&gt;"N/A","      Out-of-state satellite location(s)","      No out-of-state satellite location(s)")</f>
        <v xml:space="preserve">      No out-of-state satellite location(s)</v>
      </c>
      <c r="I100" s="459"/>
      <c r="J100" s="437" t="str" cm="1">
        <f t="array" ref="J100">_xlfn.TEXTJOIN("
",TRUE,IF('Satellite(s)'!F98:L98="Not Met",'Satellite(s)'!F99:L99,""))</f>
        <v/>
      </c>
      <c r="K100" s="438"/>
      <c r="L100" s="439"/>
      <c r="M100" s="51"/>
      <c r="N100" s="51"/>
      <c r="O100" s="51"/>
      <c r="P100" s="51"/>
      <c r="Q100" s="296" t="s">
        <v>742</v>
      </c>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c r="CX100" s="51"/>
      <c r="CY100" s="51"/>
      <c r="CZ100" s="51"/>
      <c r="DA100" s="51"/>
    </row>
    <row r="101" spans="2:105" s="9" customFormat="1" ht="63.75" customHeight="1">
      <c r="B101" s="537"/>
      <c r="C101" s="518"/>
      <c r="D101" s="509"/>
      <c r="E101" s="509"/>
      <c r="F101" s="519"/>
      <c r="G101" s="225" t="str">
        <f>IF(AND(H101="      Not Approved Satellite Location(s)",J101&lt;&gt;""), "Not Met",IF(AND(H101="      Not Approved Satellite Location(s)",J101=""),"Met","N/A"))</f>
        <v>N/A</v>
      </c>
      <c r="H101" s="458" t="str">
        <f>IF('Satellite(s)'!$H$8&lt;&gt;"","      Not approved satellite location(s)","      No unapproved satellite location(s)")</f>
        <v xml:space="preserve">      No unapproved satellite location(s)</v>
      </c>
      <c r="I101" s="459"/>
      <c r="J101" s="437" t="str" cm="1">
        <f t="array" ref="J101">_xlfn.TEXTJOIN("
",TRUE,IF('Satellite(s)'!F145:L145="Not Met",'Satellite(s)'!F146:L146,""))</f>
        <v/>
      </c>
      <c r="K101" s="438"/>
      <c r="L101" s="439"/>
      <c r="M101" s="51"/>
      <c r="N101" s="51"/>
      <c r="O101" s="51"/>
      <c r="P101" s="51"/>
      <c r="Q101" s="296" t="s">
        <v>743</v>
      </c>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1"/>
      <c r="CL101" s="51"/>
      <c r="CM101" s="51"/>
      <c r="CN101" s="51"/>
      <c r="CO101" s="51"/>
      <c r="CP101" s="51"/>
      <c r="CQ101" s="51"/>
      <c r="CR101" s="51"/>
      <c r="CS101" s="51"/>
      <c r="CT101" s="51"/>
      <c r="CU101" s="51"/>
      <c r="CV101" s="51"/>
      <c r="CW101" s="51"/>
      <c r="CX101" s="51"/>
      <c r="CY101" s="51"/>
      <c r="CZ101" s="51"/>
      <c r="DA101" s="51"/>
    </row>
    <row r="102" spans="2:105" ht="20.25" customHeight="1">
      <c r="B102" s="410" t="s">
        <v>194</v>
      </c>
      <c r="C102" s="411"/>
      <c r="D102" s="411"/>
      <c r="E102" s="411"/>
      <c r="F102" s="411"/>
      <c r="G102" s="411"/>
      <c r="H102" s="411"/>
      <c r="I102" s="411"/>
      <c r="J102" s="411"/>
      <c r="K102" s="411"/>
      <c r="L102" s="412"/>
    </row>
    <row r="103" spans="2:105" s="7" customFormat="1" ht="33" customHeight="1">
      <c r="B103" s="230" t="s">
        <v>53</v>
      </c>
      <c r="C103" s="407" t="str">
        <f>IF('Cover Page'!D8="AEMT","Minimum of an Associate's degree","Minimum of a Bachelor's degree")</f>
        <v>Minimum of a Bachelor's degree</v>
      </c>
      <c r="D103" s="408"/>
      <c r="E103" s="408"/>
      <c r="F103" s="409"/>
      <c r="G103" s="227"/>
      <c r="H103" s="440" t="s">
        <v>475</v>
      </c>
      <c r="I103" s="441"/>
      <c r="J103" s="418"/>
      <c r="K103" s="419"/>
      <c r="L103" s="420"/>
      <c r="M103" s="52"/>
      <c r="N103" s="52"/>
      <c r="O103" s="52"/>
      <c r="P103" s="52"/>
      <c r="Q103" s="52" t="s">
        <v>311</v>
      </c>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c r="CH103" s="52"/>
      <c r="CI103" s="52"/>
      <c r="CJ103" s="52"/>
      <c r="CK103" s="52"/>
      <c r="CL103" s="52"/>
      <c r="CM103" s="52"/>
      <c r="CN103" s="52"/>
      <c r="CO103" s="52"/>
      <c r="CP103" s="52"/>
      <c r="CQ103" s="52"/>
      <c r="CR103" s="52"/>
      <c r="CS103" s="52"/>
      <c r="CT103" s="52"/>
      <c r="CU103" s="52"/>
      <c r="CV103" s="52"/>
      <c r="CW103" s="52"/>
      <c r="CX103" s="52"/>
      <c r="CY103" s="52"/>
      <c r="CZ103" s="52"/>
      <c r="DA103" s="52"/>
    </row>
    <row r="104" spans="2:105" ht="37.5" customHeight="1">
      <c r="B104" s="230" t="s">
        <v>54</v>
      </c>
      <c r="C104" s="686" t="s">
        <v>651</v>
      </c>
      <c r="D104" s="687"/>
      <c r="E104" s="687"/>
      <c r="F104" s="688"/>
      <c r="G104" s="227"/>
      <c r="H104" s="539"/>
      <c r="I104" s="540"/>
      <c r="J104" s="418"/>
      <c r="K104" s="419"/>
      <c r="L104" s="420"/>
      <c r="Q104" s="63" t="s">
        <v>312</v>
      </c>
    </row>
    <row r="105" spans="2:105" ht="47.25" customHeight="1">
      <c r="B105" s="230" t="s">
        <v>55</v>
      </c>
      <c r="C105" s="407" t="s">
        <v>652</v>
      </c>
      <c r="D105" s="408"/>
      <c r="E105" s="408"/>
      <c r="F105" s="409"/>
      <c r="G105" s="224"/>
      <c r="H105" s="440" t="s">
        <v>475</v>
      </c>
      <c r="I105" s="441"/>
      <c r="J105" s="520"/>
      <c r="K105" s="521"/>
      <c r="L105" s="522"/>
      <c r="Q105" s="19" t="s">
        <v>313</v>
      </c>
    </row>
    <row r="106" spans="2:105" ht="41.25" customHeight="1">
      <c r="B106" s="230" t="s">
        <v>56</v>
      </c>
      <c r="C106" s="407" t="s">
        <v>654</v>
      </c>
      <c r="D106" s="408"/>
      <c r="E106" s="408"/>
      <c r="F106" s="409"/>
      <c r="G106" s="224"/>
      <c r="H106" s="539"/>
      <c r="I106" s="540"/>
      <c r="J106" s="520"/>
      <c r="K106" s="521"/>
      <c r="L106" s="522"/>
      <c r="Q106" s="19" t="s">
        <v>314</v>
      </c>
    </row>
    <row r="107" spans="2:105" ht="65.099999999999994" customHeight="1">
      <c r="B107" s="230" t="s">
        <v>57</v>
      </c>
      <c r="C107" s="407" t="s">
        <v>655</v>
      </c>
      <c r="D107" s="408"/>
      <c r="E107" s="408"/>
      <c r="F107" s="409"/>
      <c r="G107" s="227"/>
      <c r="H107" s="179"/>
      <c r="I107" s="182" t="s">
        <v>516</v>
      </c>
      <c r="J107" s="418"/>
      <c r="K107" s="419"/>
      <c r="L107" s="420"/>
      <c r="Q107" s="19" t="s">
        <v>315</v>
      </c>
    </row>
    <row r="108" spans="2:105" ht="20.25" customHeight="1">
      <c r="B108" s="410" t="s">
        <v>197</v>
      </c>
      <c r="C108" s="411"/>
      <c r="D108" s="411"/>
      <c r="E108" s="411"/>
      <c r="F108" s="411"/>
      <c r="G108" s="411"/>
      <c r="H108" s="411"/>
      <c r="I108" s="411"/>
      <c r="J108" s="411"/>
      <c r="K108" s="411"/>
      <c r="L108" s="412"/>
      <c r="M108" s="41"/>
      <c r="Q108" s="19"/>
    </row>
    <row r="109" spans="2:105" ht="35.25" customHeight="1">
      <c r="B109" s="425" t="s">
        <v>582</v>
      </c>
      <c r="C109" s="426"/>
      <c r="D109" s="426"/>
      <c r="E109" s="426"/>
      <c r="F109" s="426"/>
      <c r="G109" s="426"/>
      <c r="H109" s="426"/>
      <c r="I109" s="426"/>
      <c r="J109" s="426"/>
      <c r="K109" s="426"/>
      <c r="L109" s="427"/>
    </row>
    <row r="110" spans="2:105" ht="88.5" customHeight="1">
      <c r="B110" s="223" t="s">
        <v>58</v>
      </c>
      <c r="C110" s="413" t="s">
        <v>656</v>
      </c>
      <c r="D110" s="414"/>
      <c r="E110" s="414"/>
      <c r="F110" s="415"/>
      <c r="G110" s="222"/>
      <c r="H110" s="179"/>
      <c r="I110" s="235" t="s">
        <v>785</v>
      </c>
      <c r="J110" s="421"/>
      <c r="K110" s="422"/>
      <c r="L110" s="423"/>
      <c r="Q110" s="19" t="s">
        <v>316</v>
      </c>
    </row>
    <row r="111" spans="2:105" ht="51.75" customHeight="1">
      <c r="B111" s="223" t="s">
        <v>59</v>
      </c>
      <c r="C111" s="413" t="s">
        <v>203</v>
      </c>
      <c r="D111" s="414"/>
      <c r="E111" s="414"/>
      <c r="F111" s="415"/>
      <c r="G111" s="222"/>
      <c r="H111" s="179"/>
      <c r="I111" s="180" t="s">
        <v>786</v>
      </c>
      <c r="J111" s="421"/>
      <c r="K111" s="422"/>
      <c r="L111" s="423"/>
      <c r="Q111" s="19" t="s">
        <v>317</v>
      </c>
    </row>
    <row r="112" spans="2:105" ht="64.5" customHeight="1">
      <c r="B112" s="230" t="s">
        <v>60</v>
      </c>
      <c r="C112" s="407" t="s">
        <v>657</v>
      </c>
      <c r="D112" s="408"/>
      <c r="E112" s="408"/>
      <c r="F112" s="409"/>
      <c r="G112" s="224"/>
      <c r="H112" s="179"/>
      <c r="I112" s="182" t="str">
        <f>IF($B$2="PRELIMINARY SITE VISIT REPORT FINDINGS","Plan for the review of instruments used to evaluate students", "Review of instruments used to evaluate students")</f>
        <v>Review of instruments used to evaluate students</v>
      </c>
      <c r="J112" s="418"/>
      <c r="K112" s="419"/>
      <c r="L112" s="420"/>
      <c r="Q112" s="19" t="s">
        <v>318</v>
      </c>
    </row>
    <row r="113" spans="2:17" ht="62.25" customHeight="1">
      <c r="B113" s="230" t="s">
        <v>61</v>
      </c>
      <c r="C113" s="407" t="s">
        <v>653</v>
      </c>
      <c r="D113" s="408"/>
      <c r="E113" s="408"/>
      <c r="F113" s="409"/>
      <c r="G113" s="224"/>
      <c r="H113" s="179"/>
      <c r="I113" s="182" t="str">
        <f>IF($B$2="PRELIMINARY SITE VISIT REPORT FINDINGS","Plan or evidence of process for Medical Director review and approval", "Evidence of process for Medical Director review and approval")</f>
        <v>Evidence of process for Medical Director review and approval</v>
      </c>
      <c r="J113" s="418"/>
      <c r="K113" s="419"/>
      <c r="L113" s="420"/>
      <c r="Q113" s="19" t="s">
        <v>319</v>
      </c>
    </row>
    <row r="114" spans="2:17" ht="55.5" customHeight="1">
      <c r="B114" s="223" t="s">
        <v>62</v>
      </c>
      <c r="C114" s="413" t="s">
        <v>204</v>
      </c>
      <c r="D114" s="414"/>
      <c r="E114" s="414"/>
      <c r="F114" s="415"/>
      <c r="G114" s="222"/>
      <c r="H114" s="179"/>
      <c r="I114" s="186" t="str">
        <f>IF($B$2="PRELIMINARY SITE VISIT REPORT FINDINGS","Process to sign Terminal Competency forms", "Signed Terminal Competency forms")</f>
        <v>Signed Terminal Competency forms</v>
      </c>
      <c r="J114" s="421"/>
      <c r="K114" s="422"/>
      <c r="L114" s="423"/>
      <c r="Q114" s="19" t="s">
        <v>320</v>
      </c>
    </row>
    <row r="115" spans="2:17" ht="106.5" customHeight="1">
      <c r="B115" s="230" t="s">
        <v>63</v>
      </c>
      <c r="C115" s="407" t="s">
        <v>205</v>
      </c>
      <c r="D115" s="408"/>
      <c r="E115" s="408"/>
      <c r="F115" s="409"/>
      <c r="G115" s="224"/>
      <c r="H115" s="179"/>
      <c r="I115" s="182" t="s">
        <v>697</v>
      </c>
      <c r="J115" s="418"/>
      <c r="K115" s="419"/>
      <c r="L115" s="420"/>
      <c r="Q115" s="19" t="s">
        <v>321</v>
      </c>
    </row>
    <row r="116" spans="2:17" ht="51" customHeight="1">
      <c r="B116" s="223" t="s">
        <v>206</v>
      </c>
      <c r="C116" s="413" t="s">
        <v>681</v>
      </c>
      <c r="D116" s="414"/>
      <c r="E116" s="414"/>
      <c r="F116" s="415"/>
      <c r="G116" s="229"/>
      <c r="H116" s="179"/>
      <c r="I116" s="182" t="s">
        <v>665</v>
      </c>
      <c r="J116" s="421"/>
      <c r="K116" s="422"/>
      <c r="L116" s="423"/>
      <c r="Q116" s="19" t="s">
        <v>322</v>
      </c>
    </row>
    <row r="117" spans="2:17" ht="20.25" customHeight="1">
      <c r="B117" s="424" t="s">
        <v>195</v>
      </c>
      <c r="C117" s="411"/>
      <c r="D117" s="411"/>
      <c r="E117" s="411"/>
      <c r="F117" s="411"/>
      <c r="G117" s="411"/>
      <c r="H117" s="411"/>
      <c r="I117" s="411"/>
      <c r="J117" s="411"/>
      <c r="K117" s="411"/>
      <c r="L117" s="412"/>
    </row>
    <row r="118" spans="2:17" ht="72.75" customHeight="1">
      <c r="B118" s="219" t="s">
        <v>188</v>
      </c>
      <c r="C118" s="407" t="s">
        <v>679</v>
      </c>
      <c r="D118" s="408"/>
      <c r="E118" s="408"/>
      <c r="F118" s="409"/>
      <c r="G118" s="224"/>
      <c r="H118" s="440" t="s">
        <v>477</v>
      </c>
      <c r="I118" s="441"/>
      <c r="J118" s="428"/>
      <c r="K118" s="429"/>
      <c r="L118" s="430"/>
      <c r="Q118" s="19" t="s">
        <v>323</v>
      </c>
    </row>
    <row r="119" spans="2:17" ht="72" customHeight="1">
      <c r="B119" s="219" t="s">
        <v>189</v>
      </c>
      <c r="C119" s="407" t="s">
        <v>678</v>
      </c>
      <c r="D119" s="408"/>
      <c r="E119" s="408"/>
      <c r="F119" s="409"/>
      <c r="G119" s="224"/>
      <c r="H119" s="179"/>
      <c r="I119" s="182" t="s">
        <v>515</v>
      </c>
      <c r="J119" s="418"/>
      <c r="K119" s="419"/>
      <c r="L119" s="420"/>
      <c r="Q119" s="19" t="s">
        <v>324</v>
      </c>
    </row>
    <row r="120" spans="2:17" ht="47.25" customHeight="1">
      <c r="B120" s="219" t="s">
        <v>190</v>
      </c>
      <c r="C120" s="407" t="s">
        <v>677</v>
      </c>
      <c r="D120" s="408"/>
      <c r="E120" s="408"/>
      <c r="F120" s="409"/>
      <c r="G120" s="224"/>
      <c r="H120" s="179"/>
      <c r="I120" s="182" t="s">
        <v>517</v>
      </c>
      <c r="J120" s="418"/>
      <c r="K120" s="419"/>
      <c r="L120" s="420"/>
      <c r="Q120" s="19" t="s">
        <v>325</v>
      </c>
    </row>
    <row r="121" spans="2:17" ht="63.6" customHeight="1">
      <c r="B121" s="219" t="s">
        <v>191</v>
      </c>
      <c r="C121" s="407" t="s">
        <v>658</v>
      </c>
      <c r="D121" s="408"/>
      <c r="E121" s="408"/>
      <c r="F121" s="409"/>
      <c r="G121" s="224"/>
      <c r="H121" s="179"/>
      <c r="I121" s="181" t="s">
        <v>518</v>
      </c>
      <c r="J121" s="418"/>
      <c r="K121" s="419"/>
      <c r="L121" s="420"/>
      <c r="Q121" s="19" t="s">
        <v>326</v>
      </c>
    </row>
    <row r="122" spans="2:17" ht="63.6" customHeight="1">
      <c r="B122" s="219" t="s">
        <v>659</v>
      </c>
      <c r="C122" s="407" t="s">
        <v>676</v>
      </c>
      <c r="D122" s="408"/>
      <c r="E122" s="408"/>
      <c r="F122" s="409"/>
      <c r="G122" s="224"/>
      <c r="H122" s="179"/>
      <c r="I122" s="181" t="s">
        <v>518</v>
      </c>
      <c r="J122" s="418"/>
      <c r="K122" s="419"/>
      <c r="L122" s="420"/>
      <c r="Q122" s="19" t="s">
        <v>680</v>
      </c>
    </row>
    <row r="123" spans="2:17" ht="20.25" customHeight="1">
      <c r="B123" s="424" t="s">
        <v>198</v>
      </c>
      <c r="C123" s="411"/>
      <c r="D123" s="411"/>
      <c r="E123" s="411"/>
      <c r="F123" s="411"/>
      <c r="G123" s="411"/>
      <c r="H123" s="411"/>
      <c r="I123" s="411"/>
      <c r="J123" s="411"/>
      <c r="K123" s="411"/>
      <c r="L123" s="412"/>
    </row>
    <row r="124" spans="2:17" ht="53.25" customHeight="1">
      <c r="B124" s="644" t="s">
        <v>793</v>
      </c>
      <c r="C124" s="645"/>
      <c r="D124" s="645"/>
      <c r="E124" s="645"/>
      <c r="F124" s="645"/>
      <c r="G124" s="231" t="s">
        <v>119</v>
      </c>
      <c r="H124" s="696" t="str">
        <f>IF(G124="N/A", "", "          Number of Associate MDs: ==&gt;")</f>
        <v/>
      </c>
      <c r="I124" s="697"/>
      <c r="J124" s="297"/>
      <c r="K124" s="314"/>
      <c r="L124" s="315"/>
    </row>
    <row r="125" spans="2:17" ht="53.1" customHeight="1">
      <c r="B125" s="425" t="str">
        <f>IF(G124="N/A", "", "a. Responsibilities
When the program Medical Director delegates specified responsibilities, the program must designate one or more Associate Medical Directors:")</f>
        <v/>
      </c>
      <c r="C125" s="426"/>
      <c r="D125" s="426"/>
      <c r="E125" s="426"/>
      <c r="F125" s="426"/>
      <c r="G125" s="426"/>
      <c r="H125" s="426"/>
      <c r="I125" s="426"/>
      <c r="J125" s="426"/>
      <c r="K125" s="426"/>
      <c r="L125" s="427"/>
    </row>
    <row r="126" spans="2:17" ht="33" customHeight="1">
      <c r="B126" s="493" t="str">
        <f>IF(G124="N/A", "", "III.B.3.a.1)")</f>
        <v/>
      </c>
      <c r="C126" s="413" t="str">
        <f>IF(G124="N/A", "", "Fulfills responsibilities as delegated by the program Medical Director")</f>
        <v/>
      </c>
      <c r="D126" s="414"/>
      <c r="E126" s="414"/>
      <c r="F126" s="415"/>
      <c r="G126" s="470"/>
      <c r="H126" s="179"/>
      <c r="I126" s="185" t="str">
        <f>IF(G124="N/A", "", "Verified by emails")</f>
        <v/>
      </c>
      <c r="J126" s="421"/>
      <c r="K126" s="422"/>
      <c r="L126" s="423"/>
      <c r="Q126" s="19" t="s">
        <v>327</v>
      </c>
    </row>
    <row r="127" spans="2:17" ht="33" customHeight="1">
      <c r="B127" s="538"/>
      <c r="C127" s="518"/>
      <c r="D127" s="509"/>
      <c r="E127" s="509"/>
      <c r="F127" s="519"/>
      <c r="G127" s="477"/>
      <c r="H127" s="179"/>
      <c r="I127" s="188" t="str">
        <f>IF(G124="N/A", "", "Verified by conversation")</f>
        <v/>
      </c>
      <c r="J127" s="428"/>
      <c r="K127" s="429"/>
      <c r="L127" s="430"/>
      <c r="Q127" s="19"/>
    </row>
    <row r="128" spans="2:17" ht="20.25" customHeight="1">
      <c r="B128" s="424" t="str">
        <f>IF(G124="N/A", "", "b. Qualifications (Assoc MD)")</f>
        <v/>
      </c>
      <c r="C128" s="411"/>
      <c r="D128" s="411"/>
      <c r="E128" s="411"/>
      <c r="F128" s="411"/>
      <c r="G128" s="411"/>
      <c r="H128" s="411"/>
      <c r="I128" s="411"/>
      <c r="J128" s="411"/>
      <c r="K128" s="411"/>
      <c r="L128" s="412"/>
      <c r="Q128" s="19"/>
    </row>
    <row r="129" spans="2:17" ht="76.5" customHeight="1">
      <c r="B129" s="219" t="str">
        <f>IF(G124="N/A", "", "III.B.3.b.1)")</f>
        <v/>
      </c>
      <c r="C129" s="407" t="str">
        <f>IF(G124="N/A", "", "Currently licensed and authorized to practice in the state in which assigned program activities occur with experience and current knowledge of emergency care of acutely ill and injured patients")</f>
        <v/>
      </c>
      <c r="D129" s="408"/>
      <c r="E129" s="408"/>
      <c r="F129" s="409"/>
      <c r="G129" s="228"/>
      <c r="H129" s="179"/>
      <c r="I129" s="182" t="str">
        <f>IF(G124="N/A", "", "Maintained by program")</f>
        <v/>
      </c>
      <c r="J129" s="428"/>
      <c r="K129" s="429"/>
      <c r="L129" s="430"/>
      <c r="Q129" s="19" t="s">
        <v>328</v>
      </c>
    </row>
    <row r="130" spans="2:17" ht="81.75" customHeight="1">
      <c r="B130" s="219" t="str">
        <f>IF(G124="N/A", "", "III.B.3.b.2)")</f>
        <v/>
      </c>
      <c r="C130" s="407" t="str">
        <f>IF(G124="N/A", "", "Adequate training or experience in the delivery of out-of-hospital emergency care, including the proper care and transport of patients, medical direction, and quality improvement in out-of-hospital care")</f>
        <v/>
      </c>
      <c r="D130" s="408"/>
      <c r="E130" s="408"/>
      <c r="F130" s="409"/>
      <c r="G130" s="224"/>
      <c r="H130" s="179"/>
      <c r="I130" s="182" t="str">
        <f>IF(G124="N/A", "", "Letter of appointment/acceptance")</f>
        <v/>
      </c>
      <c r="J130" s="418"/>
      <c r="K130" s="419"/>
      <c r="L130" s="420"/>
      <c r="Q130" s="19" t="s">
        <v>329</v>
      </c>
    </row>
    <row r="131" spans="2:17" ht="54.6" customHeight="1">
      <c r="B131" s="505" t="str">
        <f>IF(G124="N/A", "", "III.B.3.b.3)")</f>
        <v/>
      </c>
      <c r="C131" s="413" t="str">
        <f>IF(G124="N/A", "", "Knowledgeable about the education of the Emergency Medical Services Professions, including professional, legislative and regulatory issues regarding the education of the Emergency Medical Services Professions")</f>
        <v/>
      </c>
      <c r="D131" s="414"/>
      <c r="E131" s="414"/>
      <c r="F131" s="415"/>
      <c r="G131" s="470"/>
      <c r="H131" s="179"/>
      <c r="I131" s="182" t="str">
        <f>IF(G124="N/A", "", "Verified by conversation")</f>
        <v/>
      </c>
      <c r="J131" s="421"/>
      <c r="K131" s="422"/>
      <c r="L131" s="423"/>
      <c r="Q131" s="19" t="s">
        <v>330</v>
      </c>
    </row>
    <row r="132" spans="2:17" ht="54" customHeight="1">
      <c r="B132" s="507"/>
      <c r="C132" s="518"/>
      <c r="D132" s="509"/>
      <c r="E132" s="509"/>
      <c r="F132" s="519"/>
      <c r="G132" s="477"/>
      <c r="H132" s="179"/>
      <c r="I132" s="182" t="str">
        <f>IF(G124="N/A", "", "Verified by conversation")</f>
        <v/>
      </c>
      <c r="J132" s="428"/>
      <c r="K132" s="429"/>
      <c r="L132" s="430"/>
      <c r="M132" s="41"/>
    </row>
    <row r="133" spans="2:17" ht="20.25" customHeight="1">
      <c r="B133" s="424" t="s">
        <v>207</v>
      </c>
      <c r="C133" s="411"/>
      <c r="D133" s="411"/>
      <c r="E133" s="411"/>
      <c r="F133" s="411"/>
      <c r="G133" s="411"/>
      <c r="H133" s="411"/>
      <c r="I133" s="411"/>
      <c r="J133" s="411"/>
      <c r="K133" s="411"/>
      <c r="L133" s="412"/>
    </row>
    <row r="134" spans="2:17" ht="57.75" customHeight="1">
      <c r="B134" s="694" t="s">
        <v>794</v>
      </c>
      <c r="C134" s="695"/>
      <c r="D134" s="695"/>
      <c r="E134" s="695"/>
      <c r="F134" s="695"/>
      <c r="G134" s="231" t="s">
        <v>119</v>
      </c>
      <c r="H134" s="690" t="str">
        <f>IF(G134="N/A", "", "Number of Assistant MDs: ==&gt;")</f>
        <v/>
      </c>
      <c r="I134" s="691"/>
      <c r="J134" s="205"/>
      <c r="K134" s="232"/>
      <c r="L134" s="233"/>
    </row>
    <row r="135" spans="2:17" ht="54" customHeight="1">
      <c r="B135" s="425" t="str">
        <f>IF(G134="N/A", "", "a. Responsibilities
When the program Medical Director or Associate Medical Director cannot legally provide supervision for out of state location(s) of the educational activities of the program, the sponsor must appoint an Assistant Medical Director:")</f>
        <v/>
      </c>
      <c r="C135" s="692"/>
      <c r="D135" s="692"/>
      <c r="E135" s="692"/>
      <c r="F135" s="692"/>
      <c r="G135" s="692"/>
      <c r="H135" s="692"/>
      <c r="I135" s="692"/>
      <c r="J135" s="692"/>
      <c r="K135" s="692"/>
      <c r="L135" s="693"/>
    </row>
    <row r="136" spans="2:17" ht="67.5" customHeight="1">
      <c r="B136" s="493" t="str">
        <f>IF(G134="N/A", "", "III.B.4.a.1)")</f>
        <v/>
      </c>
      <c r="C136" s="508" t="str">
        <f>IF(G134="N/A", "", "Provides medical supervision and oversight of students participating in clinical rotations, field experience and/or capstone field internship")</f>
        <v/>
      </c>
      <c r="D136" s="508"/>
      <c r="E136" s="508"/>
      <c r="F136" s="508"/>
      <c r="G136" s="443"/>
      <c r="H136" s="294"/>
      <c r="I136" s="295" t="str">
        <f>IF(G134="N/A", "", "Verified by emails")</f>
        <v/>
      </c>
      <c r="J136" s="464"/>
      <c r="K136" s="464"/>
      <c r="L136" s="464"/>
      <c r="Q136" s="19" t="s">
        <v>331</v>
      </c>
    </row>
    <row r="137" spans="2:17" ht="62.45" customHeight="1">
      <c r="B137" s="538"/>
      <c r="C137" s="508"/>
      <c r="D137" s="508"/>
      <c r="E137" s="508"/>
      <c r="F137" s="508"/>
      <c r="G137" s="443"/>
      <c r="H137" s="294"/>
      <c r="I137" s="295" t="str">
        <f>IF(G134="N/A", "", "Verified by conversation")</f>
        <v/>
      </c>
      <c r="J137" s="464"/>
      <c r="K137" s="464"/>
      <c r="L137" s="464"/>
      <c r="Q137" s="19"/>
    </row>
    <row r="138" spans="2:17" ht="20.25" customHeight="1">
      <c r="B138" s="466" t="str">
        <f>IF(G134="N/A", "", "b. Qualifications (Assist MD)")</f>
        <v/>
      </c>
      <c r="C138" s="466"/>
      <c r="D138" s="466"/>
      <c r="E138" s="466"/>
      <c r="F138" s="466"/>
      <c r="G138" s="466"/>
      <c r="H138" s="466"/>
      <c r="I138" s="466"/>
      <c r="J138" s="466"/>
      <c r="K138" s="466"/>
      <c r="L138" s="466"/>
      <c r="Q138" s="19"/>
    </row>
    <row r="139" spans="2:17" ht="66" customHeight="1">
      <c r="B139" s="219" t="str">
        <f>IF(G134="N/A", "", "III.B.4.b.1)")</f>
        <v/>
      </c>
      <c r="C139" s="516" t="str">
        <f>IF(G134="N/A", "", "Physician currently licensed to practice in the state or other like jurisdiction and authorized to practice in the jurisdiction where the student(s) are practicing")</f>
        <v/>
      </c>
      <c r="D139" s="508"/>
      <c r="E139" s="508"/>
      <c r="F139" s="517"/>
      <c r="G139" s="228"/>
      <c r="H139" s="203"/>
      <c r="I139" s="295" t="str">
        <f>IF(G134="N/A", "", "Letter of appointment/acceptance")</f>
        <v/>
      </c>
      <c r="J139" s="464"/>
      <c r="K139" s="464"/>
      <c r="L139" s="465"/>
      <c r="Q139" s="19" t="s">
        <v>332</v>
      </c>
    </row>
    <row r="140" spans="2:17" ht="45" customHeight="1">
      <c r="B140" s="493" t="str">
        <f>IF(G134="N/A", "", "III.B.4.b.2)")</f>
        <v/>
      </c>
      <c r="C140" s="508" t="str">
        <f>IF(G134="N/A", "", "Adequate training or experience in the delivery of out-of-hospital emergency care, including the proper care and transport of patients, medical direction, and quality improvement in out-of-hospital care")</f>
        <v/>
      </c>
      <c r="D140" s="508"/>
      <c r="E140" s="508"/>
      <c r="F140" s="508"/>
      <c r="G140" s="442"/>
      <c r="H140" s="189"/>
      <c r="I140" s="300" t="str">
        <f>IF(G134="N/A", "", "Verified by conversation")</f>
        <v/>
      </c>
      <c r="J140" s="464"/>
      <c r="K140" s="464"/>
      <c r="L140" s="464"/>
      <c r="Q140" s="19" t="s">
        <v>333</v>
      </c>
    </row>
    <row r="141" spans="2:17" ht="38.450000000000003" customHeight="1">
      <c r="B141" s="494"/>
      <c r="C141" s="508"/>
      <c r="D141" s="508"/>
      <c r="E141" s="508"/>
      <c r="F141" s="508"/>
      <c r="G141" s="444"/>
      <c r="H141" s="294"/>
      <c r="I141" s="301" t="str">
        <f>IF(G134="N/A", "", "Letter of appointment/acceptance")</f>
        <v/>
      </c>
      <c r="J141" s="464"/>
      <c r="K141" s="464"/>
      <c r="L141" s="464"/>
      <c r="Q141" s="19"/>
    </row>
    <row r="142" spans="2:17" ht="57.6" customHeight="1">
      <c r="B142" s="493" t="str">
        <f>IF(G134="N/A", "", "III.B.4.b.3)")</f>
        <v/>
      </c>
      <c r="C142" s="508" t="str">
        <f>IF(G134="N/A", "",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42" s="508"/>
      <c r="E142" s="508"/>
      <c r="F142" s="508"/>
      <c r="G142" s="442"/>
      <c r="H142" s="281"/>
      <c r="I142" s="186" t="str">
        <f>IF(G134="N/A", "", "Verified by conversation")</f>
        <v/>
      </c>
      <c r="J142" s="464"/>
      <c r="K142" s="464"/>
      <c r="L142" s="464"/>
      <c r="Q142" s="19" t="s">
        <v>334</v>
      </c>
    </row>
    <row r="143" spans="2:17" ht="59.45" customHeight="1">
      <c r="B143" s="538"/>
      <c r="C143" s="508"/>
      <c r="D143" s="508"/>
      <c r="E143" s="508"/>
      <c r="F143" s="508"/>
      <c r="G143" s="443"/>
      <c r="H143" s="294"/>
      <c r="I143" s="292" t="str">
        <f>IF(G134="N/A", "", "Letter of appointment/acceptance")</f>
        <v/>
      </c>
      <c r="J143" s="464"/>
      <c r="K143" s="464"/>
      <c r="L143" s="464"/>
    </row>
    <row r="144" spans="2:17" ht="20.25" customHeight="1">
      <c r="B144" s="410" t="s">
        <v>208</v>
      </c>
      <c r="C144" s="411"/>
      <c r="D144" s="411"/>
      <c r="E144" s="411"/>
      <c r="F144" s="411"/>
      <c r="G144" s="411"/>
      <c r="H144" s="411"/>
      <c r="I144" s="411"/>
      <c r="J144" s="411"/>
      <c r="K144" s="411"/>
      <c r="L144" s="412"/>
    </row>
    <row r="145" spans="2:105" ht="20.25" customHeight="1">
      <c r="B145" s="410" t="s">
        <v>64</v>
      </c>
      <c r="C145" s="411"/>
      <c r="D145" s="411"/>
      <c r="E145" s="411"/>
      <c r="F145" s="411"/>
      <c r="G145" s="411"/>
      <c r="H145" s="411"/>
      <c r="I145" s="411"/>
      <c r="J145" s="411"/>
      <c r="K145" s="411"/>
      <c r="L145" s="412"/>
    </row>
    <row r="146" spans="2:105" ht="55.5" customHeight="1">
      <c r="B146" s="493" t="s">
        <v>192</v>
      </c>
      <c r="C146" s="495" t="s">
        <v>691</v>
      </c>
      <c r="D146" s="495"/>
      <c r="E146" s="495"/>
      <c r="F146" s="495"/>
      <c r="G146" s="470"/>
      <c r="H146" s="179"/>
      <c r="I146" s="183" t="s">
        <v>553</v>
      </c>
      <c r="J146" s="431"/>
      <c r="K146" s="432"/>
      <c r="L146" s="433"/>
      <c r="Q146" s="19" t="s">
        <v>249</v>
      </c>
    </row>
    <row r="147" spans="2:105" s="7" customFormat="1" ht="69.75" customHeight="1">
      <c r="B147" s="538"/>
      <c r="C147" s="495"/>
      <c r="D147" s="495"/>
      <c r="E147" s="495"/>
      <c r="F147" s="495"/>
      <c r="G147" s="471"/>
      <c r="H147" s="179"/>
      <c r="I147" s="182"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47" s="434"/>
      <c r="K147" s="435"/>
      <c r="L147" s="436"/>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c r="CH147" s="52"/>
      <c r="CI147" s="52"/>
      <c r="CJ147" s="52"/>
      <c r="CK147" s="52"/>
      <c r="CL147" s="52"/>
      <c r="CM147" s="52"/>
      <c r="CN147" s="52"/>
      <c r="CO147" s="52"/>
      <c r="CP147" s="52"/>
      <c r="CQ147" s="52"/>
      <c r="CR147" s="52"/>
      <c r="CS147" s="52"/>
      <c r="CT147" s="52"/>
      <c r="CU147" s="52"/>
      <c r="CV147" s="52"/>
      <c r="CW147" s="52"/>
      <c r="CX147" s="52"/>
      <c r="CY147" s="52"/>
      <c r="CZ147" s="52"/>
      <c r="DA147" s="52"/>
    </row>
    <row r="148" spans="2:105" ht="38.25" customHeight="1">
      <c r="B148" s="538"/>
      <c r="C148" s="495"/>
      <c r="D148" s="495"/>
      <c r="E148" s="495"/>
      <c r="F148" s="495"/>
      <c r="G148" s="471"/>
      <c r="H148" s="179"/>
      <c r="I148" s="181" t="str">
        <f>IF($B$2="PRELIMINARY SITE VISIT REPORT FINDINGS","Plan for sufficient number of faculty for the number of enrolled students", "")</f>
        <v/>
      </c>
      <c r="J148" s="434"/>
      <c r="K148" s="435"/>
      <c r="L148" s="436"/>
      <c r="Q148" s="19"/>
    </row>
    <row r="149" spans="2:105" ht="30.75" customHeight="1">
      <c r="B149" s="538"/>
      <c r="C149" s="495"/>
      <c r="D149" s="495"/>
      <c r="E149" s="495"/>
      <c r="F149" s="495"/>
      <c r="G149" s="225" t="str">
        <f>IF(AND(H149="      Same State Satellite Location(s)",J149&lt;&gt;""), "Not Met",IF(AND(H149="      Same State Satellite Location(s)",J149=""),"Met","N/A"))</f>
        <v>N/A</v>
      </c>
      <c r="H149" s="630" t="str">
        <f>IF('Satellite(s)'!$H$6&lt;&gt;"N/A","      Same state satellite location(s)","      No same state satellite location(s)")</f>
        <v xml:space="preserve">      No same state satellite location(s)</v>
      </c>
      <c r="I149" s="631"/>
      <c r="J149" s="437" t="str" cm="1">
        <f t="array" ref="J149">_xlfn.TEXTJOIN("
",TRUE,IF('Satellite(s)'!F41:AB41="Not Met",'Satellite(s)'!F42:AB42,""))</f>
        <v/>
      </c>
      <c r="K149" s="438"/>
      <c r="L149" s="439"/>
      <c r="Q149" s="69" t="s">
        <v>744</v>
      </c>
    </row>
    <row r="150" spans="2:105" ht="37.5" customHeight="1">
      <c r="B150" s="538"/>
      <c r="C150" s="495"/>
      <c r="D150" s="495"/>
      <c r="E150" s="495"/>
      <c r="F150" s="495"/>
      <c r="G150" s="225" t="str">
        <f>IF(AND(H150="      Out-of-state satellite location(s)",J150&lt;&gt;""), "Not Met",IF(AND(H150="      Out-of-state satellite location(s)",J150=""),"Met","N/A"))</f>
        <v>N/A</v>
      </c>
      <c r="H150" s="630" t="str">
        <f>IF('Satellite(s)'!$H$7&lt;&gt;"N/A","      Out-of-state satellite location(s)","      No out-of-state satellite location(s)")</f>
        <v xml:space="preserve">      No out-of-state satellite location(s)</v>
      </c>
      <c r="I150" s="631"/>
      <c r="J150" s="437" t="str" cm="1">
        <f t="array" ref="J150">_xlfn.TEXTJOIN("
",TRUE,IF('Satellite(s)'!F88:L88="Not Met",'Satellite(s)'!F89:L89,""))</f>
        <v/>
      </c>
      <c r="K150" s="438"/>
      <c r="L150" s="439"/>
      <c r="Q150" s="69" t="s">
        <v>745</v>
      </c>
    </row>
    <row r="151" spans="2:105" ht="37.5" customHeight="1">
      <c r="B151" s="494"/>
      <c r="C151" s="495"/>
      <c r="D151" s="495"/>
      <c r="E151" s="495"/>
      <c r="F151" s="495"/>
      <c r="G151" s="225" t="str">
        <f>IF(AND(H151="      Not Approved Satellite Location(s)",J151&lt;&gt;""), "Not Met",IF(AND(H151="      Not Approved Satellite Location(s)",J151=""),"Met","N/A"))</f>
        <v>N/A</v>
      </c>
      <c r="H151" s="630" t="str">
        <f>IF('Satellite(s)'!$H$8&lt;&gt;"","      Not approved satellite location(s)","      No unapproved satellite location(s)")</f>
        <v xml:space="preserve">      No unapproved satellite location(s)</v>
      </c>
      <c r="I151" s="631"/>
      <c r="J151" s="437" t="str" cm="1">
        <f t="array" ref="J151">_xlfn.TEXTJOIN("
",TRUE,IF('Satellite(s)'!F135:L135="Not Met",'Satellite(s)'!F136:L136,""))</f>
        <v/>
      </c>
      <c r="K151" s="438"/>
      <c r="L151" s="439"/>
      <c r="Q151" s="69" t="s">
        <v>746</v>
      </c>
    </row>
    <row r="152" spans="2:105" ht="20.25" customHeight="1">
      <c r="B152" s="410" t="s">
        <v>52</v>
      </c>
      <c r="C152" s="411"/>
      <c r="D152" s="411"/>
      <c r="E152" s="411"/>
      <c r="F152" s="411"/>
      <c r="G152" s="411"/>
      <c r="H152" s="411"/>
      <c r="I152" s="411"/>
      <c r="J152" s="411"/>
      <c r="K152" s="411"/>
      <c r="L152" s="412"/>
    </row>
    <row r="153" spans="2:105" ht="75.95" customHeight="1">
      <c r="B153" s="223" t="s">
        <v>193</v>
      </c>
      <c r="C153" s="413" t="s">
        <v>675</v>
      </c>
      <c r="D153" s="414"/>
      <c r="E153" s="414"/>
      <c r="F153" s="415"/>
      <c r="G153" s="222"/>
      <c r="H153" s="179"/>
      <c r="I153" s="234" t="s">
        <v>554</v>
      </c>
      <c r="J153" s="421"/>
      <c r="K153" s="422"/>
      <c r="L153" s="423"/>
      <c r="Q153" s="19" t="s">
        <v>263</v>
      </c>
    </row>
    <row r="154" spans="2:105" ht="20.25" customHeight="1">
      <c r="B154" s="410" t="s">
        <v>209</v>
      </c>
      <c r="C154" s="411"/>
      <c r="D154" s="411"/>
      <c r="E154" s="411"/>
      <c r="F154" s="411"/>
      <c r="G154" s="411"/>
      <c r="H154" s="411"/>
      <c r="I154" s="411"/>
      <c r="J154" s="411"/>
      <c r="K154" s="411"/>
      <c r="L154" s="412"/>
    </row>
    <row r="155" spans="2:105" ht="55.5" customHeight="1">
      <c r="B155" s="416" t="s">
        <v>795</v>
      </c>
      <c r="C155" s="417"/>
      <c r="D155" s="417"/>
      <c r="E155" s="417"/>
      <c r="F155" s="417"/>
      <c r="G155" s="205" t="s">
        <v>119</v>
      </c>
      <c r="H155" s="302"/>
      <c r="I155" s="313" t="str">
        <f>IF(G155="N/A", "", "Number of Lead Instructors: ==&gt;")</f>
        <v/>
      </c>
      <c r="J155" s="303"/>
      <c r="K155" s="298"/>
      <c r="L155" s="299"/>
    </row>
    <row r="156" spans="2:105" ht="40.5" customHeight="1">
      <c r="B156" s="410" t="str">
        <f>IF(G155="N/A", "", "a. Responsibilities
    When the Program Director delegates specified responsibilities to a lead instructor, that individual must:")</f>
        <v/>
      </c>
      <c r="C156" s="411"/>
      <c r="D156" s="411"/>
      <c r="E156" s="411"/>
      <c r="F156" s="411"/>
      <c r="G156" s="411"/>
      <c r="H156" s="411"/>
      <c r="I156" s="411"/>
      <c r="J156" s="411"/>
      <c r="K156" s="411"/>
      <c r="L156" s="412"/>
    </row>
    <row r="157" spans="2:105" ht="69" customHeight="1">
      <c r="B157" s="223" t="str">
        <f>IF(G155="N/A", "", "III.B.6.a.")</f>
        <v/>
      </c>
      <c r="C157" s="413" t="str">
        <f>IF(G155="N/A", "", "Performs duties assigned under the direction and delegation of the Program Director")</f>
        <v/>
      </c>
      <c r="D157" s="414"/>
      <c r="E157" s="414"/>
      <c r="F157" s="415"/>
      <c r="G157" s="222"/>
      <c r="H157" s="179"/>
      <c r="I157" s="183" t="str">
        <f>IF(G155="N/A", "", "Verified by by conversation with the Program Director and Lead Instructor")</f>
        <v/>
      </c>
      <c r="J157" s="421"/>
      <c r="K157" s="422"/>
      <c r="L157" s="423"/>
      <c r="Q157" s="19" t="s">
        <v>250</v>
      </c>
    </row>
    <row r="158" spans="2:105" ht="20.25" customHeight="1">
      <c r="B158" s="410" t="str">
        <f>IF(G155="N/A", "", "b. Qualifications")</f>
        <v/>
      </c>
      <c r="C158" s="411"/>
      <c r="D158" s="411"/>
      <c r="E158" s="411"/>
      <c r="F158" s="411"/>
      <c r="G158" s="411"/>
      <c r="H158" s="411"/>
      <c r="I158" s="411"/>
      <c r="J158" s="411"/>
      <c r="K158" s="411"/>
      <c r="L158" s="412"/>
      <c r="Q158" s="19"/>
    </row>
    <row r="159" spans="2:105" ht="54.75" customHeight="1">
      <c r="B159" s="223" t="str">
        <f>IF(G155="N/A", "", "III.B.6.b.1)")</f>
        <v/>
      </c>
      <c r="C159" s="413" t="str">
        <f>IF(G155="N/A", "", "Minimum of an Associate Degree")</f>
        <v/>
      </c>
      <c r="D159" s="414"/>
      <c r="E159" s="414"/>
      <c r="F159" s="415"/>
      <c r="G159" s="224"/>
      <c r="H159" s="497"/>
      <c r="I159" s="622" t="str">
        <f>IF($G$155="N/A", "", "Documentation maintained by program 
(only Satellite Lead Instructors are verified by CoAEMSP)")</f>
        <v/>
      </c>
      <c r="J159" s="421"/>
      <c r="K159" s="422"/>
      <c r="L159" s="423"/>
      <c r="Q159" s="19" t="s">
        <v>335</v>
      </c>
    </row>
    <row r="160" spans="2:105" ht="51.75" customHeight="1">
      <c r="B160" s="223" t="str">
        <f>IF(G155="N/A", "", "III.B.6.b.2)")</f>
        <v/>
      </c>
      <c r="C160" s="413" t="str">
        <f>IF(G155="N/A", "", "Professional healthcare credential(s)")</f>
        <v/>
      </c>
      <c r="D160" s="414"/>
      <c r="E160" s="414"/>
      <c r="F160" s="415"/>
      <c r="G160" s="224"/>
      <c r="H160" s="523"/>
      <c r="I160" s="689"/>
      <c r="J160" s="421"/>
      <c r="K160" s="422"/>
      <c r="L160" s="423"/>
      <c r="Q160" s="19" t="s">
        <v>336</v>
      </c>
    </row>
    <row r="161" spans="2:17" ht="53.25" customHeight="1">
      <c r="B161" s="223" t="str">
        <f>IF(G155="N/A", "", "III.B.6.b.3)")</f>
        <v/>
      </c>
      <c r="C161" s="413" t="str">
        <f>IF(G155="N/A", "", "Experience in emergency medicine/prehospital care")</f>
        <v/>
      </c>
      <c r="D161" s="414"/>
      <c r="E161" s="414"/>
      <c r="F161" s="415"/>
      <c r="G161" s="224"/>
      <c r="H161" s="523"/>
      <c r="I161" s="689"/>
      <c r="J161" s="421"/>
      <c r="K161" s="422"/>
      <c r="L161" s="423"/>
      <c r="Q161" s="19" t="s">
        <v>337</v>
      </c>
    </row>
    <row r="162" spans="2:17" ht="52.5" customHeight="1">
      <c r="B162" s="223" t="str">
        <f>IF(G155="N/A", "", "III.B.6.b.4)")</f>
        <v/>
      </c>
      <c r="C162" s="413" t="str">
        <f>IF(G155="N/A", "", "Knowledge of instructional methods")</f>
        <v/>
      </c>
      <c r="D162" s="414"/>
      <c r="E162" s="414"/>
      <c r="F162" s="415"/>
      <c r="G162" s="224"/>
      <c r="H162" s="523"/>
      <c r="I162" s="689"/>
      <c r="J162" s="421"/>
      <c r="K162" s="422"/>
      <c r="L162" s="423"/>
      <c r="Q162" s="19" t="s">
        <v>338</v>
      </c>
    </row>
    <row r="163" spans="2:17" ht="52.5" customHeight="1">
      <c r="B163" s="223" t="str">
        <f>IF(G155="N/A", "", "III.B.6.b.5)")</f>
        <v/>
      </c>
      <c r="C163" s="407" t="str">
        <f>IF(G155="N/A", "", "Teaching experience to deliver content, skills instruction, and remediation")</f>
        <v/>
      </c>
      <c r="D163" s="408"/>
      <c r="E163" s="408"/>
      <c r="F163" s="409"/>
      <c r="G163" s="224"/>
      <c r="H163" s="498"/>
      <c r="I163" s="664"/>
      <c r="J163" s="421"/>
      <c r="K163" s="422"/>
      <c r="L163" s="423"/>
      <c r="Q163" s="19" t="s">
        <v>339</v>
      </c>
    </row>
    <row r="164" spans="2:17" ht="20.25" customHeight="1">
      <c r="B164" s="410" t="s">
        <v>635</v>
      </c>
      <c r="C164" s="411"/>
      <c r="D164" s="411"/>
      <c r="E164" s="411"/>
      <c r="F164" s="411"/>
      <c r="G164" s="411"/>
      <c r="H164" s="411"/>
      <c r="I164" s="411"/>
      <c r="J164" s="411"/>
      <c r="K164" s="411"/>
      <c r="L164" s="412"/>
      <c r="Q164" s="19"/>
    </row>
    <row r="165" spans="2:17" ht="21" customHeight="1">
      <c r="B165" s="698" t="s">
        <v>636</v>
      </c>
      <c r="C165" s="699"/>
      <c r="D165" s="699"/>
      <c r="E165" s="699"/>
      <c r="F165" s="699"/>
      <c r="G165" s="304"/>
      <c r="H165" s="702" t="str">
        <f>IF(G165="No", "", "Number of Clinical Coordinators: ==&gt;")</f>
        <v>Number of Clinical Coordinators: ==&gt;</v>
      </c>
      <c r="I165" s="703"/>
      <c r="J165" s="305"/>
      <c r="K165" s="306"/>
      <c r="L165" s="307"/>
    </row>
    <row r="166" spans="2:17" ht="62.25" customHeight="1">
      <c r="B166" s="632" t="str">
        <f>IF(G165="Yes",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66" s="632"/>
      <c r="D166" s="632"/>
      <c r="E166" s="632"/>
      <c r="F166" s="632"/>
      <c r="G166" s="632"/>
      <c r="H166" s="632"/>
      <c r="I166" s="632"/>
      <c r="J166" s="632"/>
      <c r="K166" s="632"/>
      <c r="L166" s="632"/>
    </row>
    <row r="167" spans="2:17" ht="61.5" customHeight="1">
      <c r="B167" s="317" t="s">
        <v>787</v>
      </c>
      <c r="C167" s="495" t="s">
        <v>788</v>
      </c>
      <c r="D167" s="495"/>
      <c r="E167" s="495"/>
      <c r="F167" s="495"/>
      <c r="G167" s="220"/>
      <c r="H167" s="406"/>
      <c r="I167" s="405" t="str">
        <f>IF(G165="N/A", "", "Verified by conversation with the Program Director and, if applicable, Lead Instructor
"&amp;"Verified by conversation with students")</f>
        <v>Verified by conversation with the Program Director and, if applicable, Lead Instructor
Verified by conversation with students</v>
      </c>
      <c r="J167" s="638"/>
      <c r="K167" s="638"/>
      <c r="L167" s="638"/>
      <c r="Q167" s="19" t="s">
        <v>668</v>
      </c>
    </row>
    <row r="168" spans="2:17" ht="51.75" customHeight="1">
      <c r="B168" s="317" t="s">
        <v>790</v>
      </c>
      <c r="C168" s="495" t="s">
        <v>789</v>
      </c>
      <c r="D168" s="495"/>
      <c r="E168" s="495"/>
      <c r="F168" s="495"/>
      <c r="G168" s="220"/>
      <c r="H168" s="406"/>
      <c r="I168" s="405"/>
      <c r="J168" s="638"/>
      <c r="K168" s="638"/>
      <c r="L168" s="638"/>
      <c r="Q168" s="19" t="s">
        <v>669</v>
      </c>
    </row>
    <row r="169" spans="2:17" ht="53.25" customHeight="1">
      <c r="B169" s="317" t="s">
        <v>791</v>
      </c>
      <c r="C169" s="495" t="str">
        <f>IF(G165="N/A",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69" s="495"/>
      <c r="E169" s="495"/>
      <c r="F169" s="495"/>
      <c r="G169" s="220"/>
      <c r="H169" s="406"/>
      <c r="I169" s="405"/>
      <c r="J169" s="638"/>
      <c r="K169" s="638"/>
      <c r="L169" s="638"/>
      <c r="Q169" s="19" t="s">
        <v>670</v>
      </c>
    </row>
    <row r="170" spans="2:17" ht="52.5" customHeight="1">
      <c r="B170" s="317" t="s">
        <v>792</v>
      </c>
      <c r="C170" s="495" t="str">
        <f>IF(G165="N/A", "", "Coordinates the assignment of students to clinical and field internship sites")</f>
        <v>Coordinates the assignment of students to clinical and field internship sites</v>
      </c>
      <c r="D170" s="495"/>
      <c r="E170" s="495"/>
      <c r="F170" s="495"/>
      <c r="G170" s="220"/>
      <c r="H170" s="406"/>
      <c r="I170" s="405"/>
      <c r="J170" s="638"/>
      <c r="K170" s="638"/>
      <c r="L170" s="638"/>
      <c r="Q170" s="19" t="s">
        <v>671</v>
      </c>
    </row>
    <row r="171" spans="2:17" ht="20.25" customHeight="1">
      <c r="B171" s="466" t="str">
        <f>IF(G165="No", "", "b. Qualifications")</f>
        <v>b. Qualifications</v>
      </c>
      <c r="C171" s="466"/>
      <c r="D171" s="466"/>
      <c r="E171" s="466"/>
      <c r="F171" s="466"/>
      <c r="G171" s="466"/>
      <c r="H171" s="466"/>
      <c r="I171" s="466"/>
      <c r="J171" s="466"/>
      <c r="K171" s="466"/>
      <c r="L171" s="466"/>
    </row>
    <row r="172" spans="2:17" ht="54.75" customHeight="1">
      <c r="B172" s="308" t="str">
        <f>IF(G165="No", "", "III.B.7.b.1)")</f>
        <v>III.B.7.b.1)</v>
      </c>
      <c r="C172" s="508" t="str">
        <f>IF(G165="No", "", "Experience in emergency medical services")</f>
        <v>Experience in emergency medical services</v>
      </c>
      <c r="D172" s="508"/>
      <c r="E172" s="508"/>
      <c r="F172" s="508"/>
      <c r="G172" s="291"/>
      <c r="H172" s="650"/>
      <c r="I172" s="649" t="str">
        <f>IF($G$165="No", "", "CV/Resume and conversation with program director and clinical coordinator")</f>
        <v>CV/Resume and conversation with program director and clinical coordinator</v>
      </c>
      <c r="J172" s="464"/>
      <c r="K172" s="464"/>
      <c r="L172" s="464"/>
      <c r="M172" s="24"/>
      <c r="Q172" s="19" t="s">
        <v>672</v>
      </c>
    </row>
    <row r="173" spans="2:17" ht="51.75" customHeight="1">
      <c r="B173" s="308" t="str">
        <f>IF(G165="No", "", "III.B.7.b.2)")</f>
        <v>III.B.7.b.2)</v>
      </c>
      <c r="C173" s="508" t="str">
        <f>IF(G165="No", "", "Knowledge of the curriculum")</f>
        <v>Knowledge of the curriculum</v>
      </c>
      <c r="D173" s="508"/>
      <c r="E173" s="508"/>
      <c r="F173" s="508"/>
      <c r="G173" s="291"/>
      <c r="H173" s="650"/>
      <c r="I173" s="649"/>
      <c r="J173" s="464"/>
      <c r="K173" s="464"/>
      <c r="L173" s="464"/>
      <c r="Q173" s="19" t="s">
        <v>673</v>
      </c>
    </row>
    <row r="174" spans="2:17" ht="53.25" customHeight="1">
      <c r="B174" s="308" t="str">
        <f>IF(G165="No", "", "III.B.7.b.3)")</f>
        <v>III.B.7.b.3)</v>
      </c>
      <c r="C174" s="508" t="str">
        <f>IF(G165="No", "", "Knowledge about the program’s evaluation of 
student learning and performance")</f>
        <v>Knowledge about the program’s evaluation of 
student learning and performance</v>
      </c>
      <c r="D174" s="508"/>
      <c r="E174" s="508"/>
      <c r="F174" s="508"/>
      <c r="G174" s="291"/>
      <c r="H174" s="650"/>
      <c r="I174" s="649"/>
      <c r="J174" s="464"/>
      <c r="K174" s="464"/>
      <c r="L174" s="464"/>
      <c r="Q174" s="19" t="s">
        <v>674</v>
      </c>
    </row>
    <row r="175" spans="2:17" ht="20.25" customHeight="1">
      <c r="B175" s="580" t="s">
        <v>65</v>
      </c>
      <c r="C175" s="566"/>
      <c r="D175" s="566"/>
      <c r="E175" s="566"/>
      <c r="F175" s="566"/>
      <c r="G175" s="566"/>
      <c r="H175" s="566"/>
      <c r="I175" s="566"/>
      <c r="J175" s="566"/>
      <c r="K175" s="566"/>
      <c r="L175" s="581"/>
      <c r="M175" s="41"/>
    </row>
    <row r="176" spans="2:17" ht="144.75" customHeight="1">
      <c r="B176" s="505" t="s">
        <v>66</v>
      </c>
      <c r="C176" s="414" t="s">
        <v>210</v>
      </c>
      <c r="D176" s="414"/>
      <c r="E176" s="414"/>
      <c r="F176" s="415"/>
      <c r="G176" s="470"/>
      <c r="H176" s="201"/>
      <c r="I176" s="182" t="s">
        <v>577</v>
      </c>
      <c r="J176" s="431"/>
      <c r="K176" s="432"/>
      <c r="L176" s="433"/>
      <c r="Q176" s="19" t="s">
        <v>726</v>
      </c>
    </row>
    <row r="177" spans="2:17" ht="83.25" customHeight="1">
      <c r="B177" s="506"/>
      <c r="C177" s="508"/>
      <c r="D177" s="508"/>
      <c r="E177" s="508"/>
      <c r="F177" s="517"/>
      <c r="G177" s="471"/>
      <c r="H177" s="201"/>
      <c r="I177" s="184" t="s">
        <v>778</v>
      </c>
      <c r="J177" s="434"/>
      <c r="K177" s="435"/>
      <c r="L177" s="436"/>
      <c r="Q177" s="19"/>
    </row>
    <row r="178" spans="2:17" ht="55.5" customHeight="1">
      <c r="B178" s="506"/>
      <c r="C178" s="508"/>
      <c r="D178" s="508"/>
      <c r="E178" s="508"/>
      <c r="F178" s="517"/>
      <c r="G178" s="225" t="str">
        <f>IF(AND(H178="      Same State Satellite Location(s)",J178&lt;&gt;""), "Not Met",IF(AND(H178="      Same State Satellite Location(s)",J178=""),"Met","N/A"))</f>
        <v>N/A</v>
      </c>
      <c r="H178" s="458" t="str">
        <f>IF('Satellite(s)'!$H$6&lt;&gt;"N/A","      Same state satellite location(s)","      No same state satellite location(s)")</f>
        <v xml:space="preserve">      No same state satellite location(s)</v>
      </c>
      <c r="I178" s="459"/>
      <c r="J178" s="437" t="str" cm="1">
        <f t="array" ref="J178">_xlfn.TEXTJOIN("
",TRUE,IF('Satellite(s)'!F39:AB39="Not Met",'Satellite(s)'!F40:AB40,""))</f>
        <v/>
      </c>
      <c r="K178" s="438"/>
      <c r="L178" s="439"/>
      <c r="Q178" s="69" t="s">
        <v>747</v>
      </c>
    </row>
    <row r="179" spans="2:17" ht="55.5" customHeight="1">
      <c r="B179" s="506"/>
      <c r="C179" s="508"/>
      <c r="D179" s="508"/>
      <c r="E179" s="508"/>
      <c r="F179" s="517"/>
      <c r="G179" s="225" t="str">
        <f>IF(AND(H179="      Out-of-state satellite location(s)",J179&lt;&gt;""), "Not Met",IF(AND(H179="      Out-of-state satellite location(s)",J179=""),"Met","N/A"))</f>
        <v>N/A</v>
      </c>
      <c r="H179" s="458" t="str">
        <f>IF('Satellite(s)'!$H$7&lt;&gt;"N/A","      Out-of-state satellite location(s)","      No out-of-state satellite location(s)")</f>
        <v xml:space="preserve">      No out-of-state satellite location(s)</v>
      </c>
      <c r="I179" s="459"/>
      <c r="J179" s="437" t="str" cm="1">
        <f t="array" ref="J179">_xlfn.TEXTJOIN("
",TRUE,IF('Satellite(s)'!F86:L86="Not Met",'Satellite(s)'!F87:L87,""))</f>
        <v/>
      </c>
      <c r="K179" s="438"/>
      <c r="L179" s="439"/>
      <c r="Q179" s="69" t="s">
        <v>748</v>
      </c>
    </row>
    <row r="180" spans="2:17" ht="55.5" customHeight="1">
      <c r="B180" s="507"/>
      <c r="C180" s="509"/>
      <c r="D180" s="509"/>
      <c r="E180" s="509"/>
      <c r="F180" s="519"/>
      <c r="G180" s="225" t="str">
        <f>IF(AND(H180="      Not Approved Satellite Location(s)",J180&lt;&gt;""), "Not Met",IF(AND(H180="      Not Approved Satellite Location(s)",J180=""),"Met","N/A"))</f>
        <v>N/A</v>
      </c>
      <c r="H180" s="458" t="str">
        <f>IF('Satellite(s)'!$H$8&lt;&gt;"","      Not approved satellite location(s)","      No unapproved satellite location(s)")</f>
        <v xml:space="preserve">      No unapproved satellite location(s)</v>
      </c>
      <c r="I180" s="459"/>
      <c r="J180" s="437" t="str" cm="1">
        <f t="array" ref="J180">_xlfn.TEXTJOIN("
",TRUE,IF('Satellite(s)'!F133:L133="Not Met",'Satellite(s)'!F134:L134,""))</f>
        <v/>
      </c>
      <c r="K180" s="438"/>
      <c r="L180" s="439"/>
      <c r="Q180" s="69" t="s">
        <v>749</v>
      </c>
    </row>
    <row r="181" spans="2:17" ht="37.5" customHeight="1">
      <c r="B181" s="505" t="s">
        <v>67</v>
      </c>
      <c r="C181" s="413" t="s">
        <v>290</v>
      </c>
      <c r="D181" s="414"/>
      <c r="E181" s="414"/>
      <c r="F181" s="415"/>
      <c r="G181" s="467"/>
      <c r="H181" s="179"/>
      <c r="I181" s="180" t="s">
        <v>478</v>
      </c>
      <c r="J181" s="421"/>
      <c r="K181" s="422"/>
      <c r="L181" s="423"/>
      <c r="Q181" s="19" t="s">
        <v>727</v>
      </c>
    </row>
    <row r="182" spans="2:17" ht="39" customHeight="1">
      <c r="B182" s="506"/>
      <c r="C182" s="516"/>
      <c r="D182" s="508"/>
      <c r="E182" s="508"/>
      <c r="F182" s="517"/>
      <c r="G182" s="467"/>
      <c r="H182" s="309"/>
      <c r="I182" s="184" t="s">
        <v>728</v>
      </c>
      <c r="J182" s="428"/>
      <c r="K182" s="429"/>
      <c r="L182" s="430"/>
      <c r="Q182" s="19"/>
    </row>
    <row r="183" spans="2:17" ht="55.5" customHeight="1">
      <c r="B183" s="506"/>
      <c r="C183" s="516"/>
      <c r="D183" s="508"/>
      <c r="E183" s="508"/>
      <c r="F183" s="517"/>
      <c r="G183" s="225" t="str">
        <f>IF(AND(H183="      Same State Satellite Location(s)",J183&lt;&gt;""), "Not Met",IF(AND(H183="      Same State Satellite Location(s)",J183=""),"Met","N/A"))</f>
        <v>N/A</v>
      </c>
      <c r="H183" s="647" t="str">
        <f>IF('Satellite(s)'!$H$6&lt;&gt;"N/A","      Same state satellite location(s)","      No same state satellite location(s)")</f>
        <v xml:space="preserve">      No same state satellite location(s)</v>
      </c>
      <c r="I183" s="648"/>
      <c r="J183" s="437" t="str" cm="1">
        <f t="array" ref="J183">_xlfn.TEXTJOIN("
",TRUE,IF('Satellite(s)'!$F$43:$AB$43="Not Met",'Satellite(s)'!$F$44:$AB$44,""))</f>
        <v/>
      </c>
      <c r="K183" s="438"/>
      <c r="L183" s="439"/>
      <c r="Q183" s="69" t="s">
        <v>750</v>
      </c>
    </row>
    <row r="184" spans="2:17" ht="55.5" customHeight="1">
      <c r="B184" s="506"/>
      <c r="C184" s="516"/>
      <c r="D184" s="508"/>
      <c r="E184" s="508"/>
      <c r="F184" s="517"/>
      <c r="G184" s="225" t="str">
        <f>IF(AND(H184="      Out-of-state satellite location(s)",J184&lt;&gt;""), "Not Met",IF(AND(H184="      Out-of-state satellite location(s)",J184=""),"Met","N/A"))</f>
        <v>N/A</v>
      </c>
      <c r="H184" s="647" t="str">
        <f>IF('Satellite(s)'!$H$7&lt;&gt;"N/A","      Out-of-state satellite location(s)","      No out-of-state satellite location(s)")</f>
        <v xml:space="preserve">      No out-of-state satellite location(s)</v>
      </c>
      <c r="I184" s="648"/>
      <c r="J184" s="437" t="str" cm="1">
        <f t="array" ref="J184">_xlfn.TEXTJOIN("
",TRUE,IF('Satellite(s)'!$F$90:$L$90="Not Met",'Satellite(s)'!$F$91:$L$91,""))</f>
        <v/>
      </c>
      <c r="K184" s="438"/>
      <c r="L184" s="439"/>
      <c r="Q184" s="69" t="s">
        <v>751</v>
      </c>
    </row>
    <row r="185" spans="2:17" ht="55.5" customHeight="1">
      <c r="B185" s="507"/>
      <c r="C185" s="518"/>
      <c r="D185" s="509"/>
      <c r="E185" s="509"/>
      <c r="F185" s="519"/>
      <c r="G185" s="225" t="str">
        <f>IF(AND(H185="      Not Approved Satellite Location(s)",J185&lt;&gt;""), "Not Met",IF(AND(H185="      Not Approved Satellite Location(s)",J185=""),"Met","N/A"))</f>
        <v>N/A</v>
      </c>
      <c r="H185" s="647" t="str">
        <f>IF('Satellite(s)'!$H$8&lt;&gt;"","      Not approved satellite location(s)","      No unapproved satellite location(s)")</f>
        <v xml:space="preserve">      No unapproved satellite location(s)</v>
      </c>
      <c r="I185" s="648"/>
      <c r="J185" s="437" t="str" cm="1">
        <f t="array" ref="J185">_xlfn.TEXTJOIN("
",TRUE,IF('Satellite(s)'!$F$137:$L$137="Not Met",'Satellite(s)'!$F$138:$L$138,""))</f>
        <v/>
      </c>
      <c r="K185" s="438"/>
      <c r="L185" s="439"/>
      <c r="Q185" s="69" t="s">
        <v>752</v>
      </c>
    </row>
    <row r="186" spans="2:17" ht="33" customHeight="1">
      <c r="B186" s="505" t="s">
        <v>68</v>
      </c>
      <c r="C186" s="413" t="s">
        <v>779</v>
      </c>
      <c r="D186" s="414"/>
      <c r="E186" s="414"/>
      <c r="F186" s="415"/>
      <c r="G186" s="470"/>
      <c r="H186" s="201"/>
      <c r="I186" s="182" t="s">
        <v>107</v>
      </c>
      <c r="J186" s="421"/>
      <c r="K186" s="422"/>
      <c r="L186" s="423"/>
      <c r="Q186" s="19" t="s">
        <v>725</v>
      </c>
    </row>
    <row r="187" spans="2:17" ht="65.25" customHeight="1">
      <c r="B187" s="506"/>
      <c r="C187" s="516"/>
      <c r="D187" s="508"/>
      <c r="E187" s="508"/>
      <c r="F187" s="517"/>
      <c r="G187" s="471"/>
      <c r="H187" s="201"/>
      <c r="I187" s="182" t="s">
        <v>555</v>
      </c>
      <c r="J187" s="463"/>
      <c r="K187" s="464"/>
      <c r="L187" s="465"/>
    </row>
    <row r="188" spans="2:17" ht="33" customHeight="1">
      <c r="B188" s="506"/>
      <c r="C188" s="516"/>
      <c r="D188" s="508"/>
      <c r="E188" s="508"/>
      <c r="F188" s="517"/>
      <c r="G188" s="471"/>
      <c r="H188" s="201"/>
      <c r="I188" s="182" t="s">
        <v>723</v>
      </c>
      <c r="J188" s="463"/>
      <c r="K188" s="464"/>
      <c r="L188" s="465"/>
    </row>
    <row r="189" spans="2:17" ht="55.5" customHeight="1">
      <c r="B189" s="506"/>
      <c r="C189" s="516"/>
      <c r="D189" s="508"/>
      <c r="E189" s="508"/>
      <c r="F189" s="517"/>
      <c r="G189" s="225" t="str">
        <f>IF(AND(H189="      Same State Satellite Location(s)",J189&lt;&gt;""), "Not Met",IF(AND(H189="      Same State Satellite Location(s)",J189=""),"Met","N/A"))</f>
        <v>N/A</v>
      </c>
      <c r="H189" s="647" t="str">
        <f>IF('Satellite(s)'!$H$6&lt;&gt;"N/A","      Same state satellite location(s)","      No same state satellite location(s)")</f>
        <v xml:space="preserve">      No same state satellite location(s)</v>
      </c>
      <c r="I189" s="648"/>
      <c r="J189" s="437" t="str" cm="1">
        <f t="array" ref="J189">_xlfn.TEXTJOIN("
",TRUE,IF('Satellite(s)'!F37:AB37="Not Met",'Satellite(s)'!F38:AB38,""))</f>
        <v/>
      </c>
      <c r="K189" s="438"/>
      <c r="L189" s="439"/>
      <c r="Q189" s="69" t="s">
        <v>753</v>
      </c>
    </row>
    <row r="190" spans="2:17" ht="55.5" customHeight="1">
      <c r="B190" s="506"/>
      <c r="C190" s="516"/>
      <c r="D190" s="508"/>
      <c r="E190" s="508"/>
      <c r="F190" s="517"/>
      <c r="G190" s="225" t="str">
        <f>IF(AND(H190="      Out-of-state satellite location(s)",J190&lt;&gt;""), "Not Met",IF(AND(H190="      Out-of-state satellite location(s)",J190=""),"Met","N/A"))</f>
        <v>N/A</v>
      </c>
      <c r="H190" s="647" t="str">
        <f>IF('Satellite(s)'!$H$7&lt;&gt;"N/A","      Out-of-state satellite location(s)","      No out-of-state satellite location(s)")</f>
        <v xml:space="preserve">      No out-of-state satellite location(s)</v>
      </c>
      <c r="I190" s="648"/>
      <c r="J190" s="437" t="str" cm="1">
        <f t="array" ref="J190">_xlfn.TEXTJOIN("
",TRUE,IF('Satellite(s)'!F84:L84="Not Met",'Satellite(s)'!F85:L85,""))</f>
        <v/>
      </c>
      <c r="K190" s="438"/>
      <c r="L190" s="439"/>
      <c r="Q190" s="69" t="s">
        <v>754</v>
      </c>
    </row>
    <row r="191" spans="2:17" ht="55.5" customHeight="1">
      <c r="B191" s="507"/>
      <c r="C191" s="518"/>
      <c r="D191" s="509"/>
      <c r="E191" s="509"/>
      <c r="F191" s="519"/>
      <c r="G191" s="225" t="str">
        <f>IF(AND(H191="      Not Approved Satellite Location(s)",J191&lt;&gt;""), "Not Met",IF(AND(H191="      Not Approved Satellite Location(s)",J191=""),"Met","N/A"))</f>
        <v>N/A</v>
      </c>
      <c r="H191" s="647" t="str">
        <f>IF('Satellite(s)'!$H$8&lt;&gt;"","      Not approved satellite location(s)","      No unapproved satellite location(s)")</f>
        <v xml:space="preserve">      No unapproved satellite location(s)</v>
      </c>
      <c r="I191" s="648"/>
      <c r="J191" s="437" t="str" cm="1">
        <f t="array" ref="J191">_xlfn.TEXTJOIN("
",TRUE,IF('Satellite(s)'!F131:L131="Not Met",'Satellite(s)'!F132:L132,""))</f>
        <v/>
      </c>
      <c r="K191" s="438"/>
      <c r="L191" s="439"/>
      <c r="Q191" s="69" t="s">
        <v>755</v>
      </c>
    </row>
    <row r="192" spans="2:17" ht="43.5" customHeight="1">
      <c r="B192" s="505" t="s">
        <v>638</v>
      </c>
      <c r="C192" s="413" t="s">
        <v>481</v>
      </c>
      <c r="D192" s="414"/>
      <c r="E192" s="414"/>
      <c r="F192" s="415"/>
      <c r="G192" s="470"/>
      <c r="H192" s="497"/>
      <c r="I192" s="622" t="s">
        <v>556</v>
      </c>
      <c r="J192" s="421"/>
      <c r="K192" s="422"/>
      <c r="L192" s="423"/>
      <c r="Q192" s="19" t="s">
        <v>724</v>
      </c>
    </row>
    <row r="193" spans="2:105" ht="26.25" customHeight="1">
      <c r="B193" s="506"/>
      <c r="C193" s="516"/>
      <c r="D193" s="508"/>
      <c r="E193" s="508"/>
      <c r="F193" s="517"/>
      <c r="G193" s="471"/>
      <c r="H193" s="498"/>
      <c r="I193" s="664"/>
      <c r="J193" s="463"/>
      <c r="K193" s="464"/>
      <c r="L193" s="465"/>
    </row>
    <row r="194" spans="2:105" ht="55.5" customHeight="1">
      <c r="B194" s="506"/>
      <c r="C194" s="516"/>
      <c r="D194" s="508"/>
      <c r="E194" s="508"/>
      <c r="F194" s="517"/>
      <c r="G194" s="225" t="str">
        <f>IF(AND(H194="      Same State Satellite Location(s)",J194&lt;&gt;""), "Not Met",IF(AND(H194="      Same State Satellite Location(s)",J194=""),"Met","N/A"))</f>
        <v>N/A</v>
      </c>
      <c r="H194" s="458" t="str">
        <f>IF('Satellite(s)'!$H$6&lt;&gt;"N/A","      Same state satellite location(s)","      No same state satellite location(s)")</f>
        <v xml:space="preserve">      No same state satellite location(s)</v>
      </c>
      <c r="I194" s="459"/>
      <c r="J194" s="437" t="str" cm="1">
        <f t="array" ref="J194">_xlfn.TEXTJOIN("
",TRUE,IF('Satellite(s)'!F47:AB47="Not Met",'Satellite(s)'!F48:AB48,""))</f>
        <v/>
      </c>
      <c r="K194" s="438"/>
      <c r="L194" s="439"/>
      <c r="Q194" s="69" t="s">
        <v>756</v>
      </c>
    </row>
    <row r="195" spans="2:105" ht="55.5" customHeight="1">
      <c r="B195" s="506"/>
      <c r="C195" s="516"/>
      <c r="D195" s="508"/>
      <c r="E195" s="508"/>
      <c r="F195" s="517"/>
      <c r="G195" s="225" t="str">
        <f>IF(AND(H195="      Out-of-state satellite location(s)",J195&lt;&gt;""), "Not Met",IF(AND(H195="      Out-of-state satellite location(s)",J195=""),"Met","N/A"))</f>
        <v>N/A</v>
      </c>
      <c r="H195" s="458" t="str">
        <f>IF('Satellite(s)'!$H$7&lt;&gt;"N/A","      Out-of-state satellite location(s)","      No out-of-state satellite location(s)")</f>
        <v xml:space="preserve">      No out-of-state satellite location(s)</v>
      </c>
      <c r="I195" s="459"/>
      <c r="J195" s="437" t="str" cm="1">
        <f t="array" ref="J195">_xlfn.TEXTJOIN("
",TRUE,IF('Satellite(s)'!F94:L94="Not Met",'Satellite(s)'!F95:L95,""))</f>
        <v/>
      </c>
      <c r="K195" s="438"/>
      <c r="L195" s="439"/>
      <c r="Q195" s="69" t="s">
        <v>757</v>
      </c>
    </row>
    <row r="196" spans="2:105" ht="55.5" customHeight="1">
      <c r="B196" s="507"/>
      <c r="C196" s="518"/>
      <c r="D196" s="509"/>
      <c r="E196" s="509"/>
      <c r="F196" s="519"/>
      <c r="G196" s="225" t="str">
        <f>IF(AND(H196="      Not Approved Satellite Location(s)",J196&lt;&gt;""), "Not Met",IF(AND(H196="      Not Approved Satellite Location(s)",J196=""),"Met","N/A"))</f>
        <v>N/A</v>
      </c>
      <c r="H196" s="458" t="str">
        <f>IF('Satellite(s)'!$H$8&lt;&gt;"","      Not approved satellite location(s)","      No unapproved satellite location(s)")</f>
        <v xml:space="preserve">      No unapproved satellite location(s)</v>
      </c>
      <c r="I196" s="459"/>
      <c r="J196" s="437" t="str" cm="1">
        <f t="array" ref="J196">_xlfn.TEXTJOIN("
",TRUE,IF('Satellite(s)'!F141:L141="Not Met",'Satellite(s)'!F142:L142,""))</f>
        <v/>
      </c>
      <c r="K196" s="438"/>
      <c r="L196" s="439"/>
      <c r="Q196" s="69" t="s">
        <v>758</v>
      </c>
    </row>
    <row r="197" spans="2:105" ht="49.5" customHeight="1">
      <c r="B197" s="493" t="s">
        <v>637</v>
      </c>
      <c r="C197" s="413" t="s">
        <v>479</v>
      </c>
      <c r="D197" s="414"/>
      <c r="E197" s="414"/>
      <c r="F197" s="415"/>
      <c r="G197" s="676"/>
      <c r="H197" s="179"/>
      <c r="I197" s="181" t="s">
        <v>557</v>
      </c>
      <c r="J197" s="421"/>
      <c r="K197" s="422"/>
      <c r="L197" s="423"/>
      <c r="Q197" s="19" t="s">
        <v>722</v>
      </c>
    </row>
    <row r="198" spans="2:105" ht="55.5" customHeight="1">
      <c r="B198" s="538"/>
      <c r="C198" s="516"/>
      <c r="D198" s="508"/>
      <c r="E198" s="508"/>
      <c r="F198" s="517"/>
      <c r="G198" s="685"/>
      <c r="H198" s="179"/>
      <c r="I198" s="182" t="s">
        <v>558</v>
      </c>
      <c r="J198" s="463"/>
      <c r="K198" s="464"/>
      <c r="L198" s="465"/>
    </row>
    <row r="199" spans="2:105" ht="20.25" customHeight="1">
      <c r="B199" s="410" t="s">
        <v>578</v>
      </c>
      <c r="C199" s="411"/>
      <c r="D199" s="411"/>
      <c r="E199" s="411"/>
      <c r="F199" s="411"/>
      <c r="G199" s="411"/>
      <c r="H199" s="411"/>
      <c r="I199" s="411"/>
      <c r="J199" s="411"/>
      <c r="K199" s="411"/>
      <c r="L199" s="412"/>
    </row>
    <row r="200" spans="2:105" s="11" customFormat="1" ht="59.25" customHeight="1">
      <c r="B200" s="505" t="s">
        <v>69</v>
      </c>
      <c r="C200" s="413" t="s">
        <v>70</v>
      </c>
      <c r="D200" s="414"/>
      <c r="E200" s="414"/>
      <c r="F200" s="415"/>
      <c r="G200" s="470"/>
      <c r="H200" s="179"/>
      <c r="I200" s="185" t="str">
        <f>IF($B$2="PRELIMINARY SITE VISIT REPORT FINDINGS", "Plan to complete the Resourse Assessment Matrix [RAM] annually", "Completed Resource Assessment Matrix [RAM] for the last three (3) years")</f>
        <v>Completed Resource Assessment Matrix [RAM] for the last three (3) years</v>
      </c>
      <c r="J200" s="431"/>
      <c r="K200" s="432"/>
      <c r="L200" s="433"/>
      <c r="M200" s="19"/>
      <c r="N200" s="19"/>
      <c r="O200" s="19"/>
      <c r="P200" s="19"/>
      <c r="Q200" s="19" t="s">
        <v>251</v>
      </c>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c r="BH200" s="19"/>
      <c r="BI200" s="19"/>
      <c r="BJ200" s="19"/>
      <c r="BK200" s="19"/>
      <c r="BL200" s="19"/>
      <c r="BM200" s="19"/>
      <c r="BN200" s="19"/>
      <c r="BO200" s="19"/>
      <c r="BP200" s="19"/>
      <c r="BQ200" s="19"/>
      <c r="BR200" s="19"/>
      <c r="BS200" s="19"/>
      <c r="BT200" s="19"/>
      <c r="BU200" s="19"/>
      <c r="BV200" s="19"/>
      <c r="BW200" s="19"/>
      <c r="BX200" s="19"/>
      <c r="BY200" s="19"/>
      <c r="BZ200" s="19"/>
      <c r="CA200" s="19"/>
      <c r="CB200" s="19"/>
      <c r="CC200" s="19"/>
      <c r="CD200" s="19"/>
      <c r="CE200" s="19"/>
      <c r="CF200" s="19"/>
      <c r="CG200" s="19"/>
      <c r="CH200" s="19"/>
      <c r="CI200" s="19"/>
      <c r="CJ200" s="19"/>
      <c r="CK200" s="19"/>
      <c r="CL200" s="19"/>
      <c r="CM200" s="19"/>
      <c r="CN200" s="19"/>
      <c r="CO200" s="19"/>
      <c r="CP200" s="19"/>
      <c r="CQ200" s="19"/>
      <c r="CR200" s="19"/>
      <c r="CS200" s="19"/>
      <c r="CT200" s="19"/>
      <c r="CU200" s="19"/>
      <c r="CV200" s="19"/>
      <c r="CW200" s="19"/>
      <c r="CX200" s="19"/>
      <c r="CY200" s="19"/>
      <c r="CZ200" s="19"/>
      <c r="DA200" s="19"/>
    </row>
    <row r="201" spans="2:105" ht="56.25" customHeight="1">
      <c r="B201" s="506"/>
      <c r="C201" s="516"/>
      <c r="D201" s="508"/>
      <c r="E201" s="508"/>
      <c r="F201" s="517"/>
      <c r="G201" s="471"/>
      <c r="H201" s="179"/>
      <c r="I201" s="182" t="s">
        <v>559</v>
      </c>
      <c r="J201" s="434"/>
      <c r="K201" s="435"/>
      <c r="L201" s="436"/>
    </row>
    <row r="202" spans="2:105" ht="56.25" customHeight="1">
      <c r="B202" s="506"/>
      <c r="C202" s="516"/>
      <c r="D202" s="508"/>
      <c r="E202" s="508"/>
      <c r="F202" s="517"/>
      <c r="G202" s="471"/>
      <c r="H202" s="179"/>
      <c r="I202" s="183" t="s">
        <v>780</v>
      </c>
      <c r="J202" s="434"/>
      <c r="K202" s="435"/>
      <c r="L202" s="436"/>
    </row>
    <row r="203" spans="2:105" ht="75" customHeight="1">
      <c r="B203" s="506"/>
      <c r="C203" s="516"/>
      <c r="D203" s="508"/>
      <c r="E203" s="508"/>
      <c r="F203" s="517"/>
      <c r="G203" s="225" t="str">
        <f>IF(AND(H203="      Same state satellite location(s)",J203&lt;&gt;""), "Not Met",IF(AND(H203="      Same state satellite location(s)",J203=""),"Met","N/A"))</f>
        <v>N/A</v>
      </c>
      <c r="H203" s="458" t="str">
        <f>IF('Satellite(s)'!$H$6&lt;&gt;"N/A","      Same state satellite location(s)","      No same state satellite location(s)")</f>
        <v xml:space="preserve">      No same state satellite location(s)</v>
      </c>
      <c r="I203" s="459"/>
      <c r="J203" s="541" t="str" cm="1">
        <f t="array" ref="J203">_xlfn.TEXTJOIN("
",TRUE,IF('Satellite(s)'!F22:AB22="Not Met","The RAM was not completed in conjuction with the main campus at the following location(s):" &amp; 'Satellite(s)'!F13:AB13,""))</f>
        <v/>
      </c>
      <c r="K203" s="542"/>
      <c r="L203" s="543"/>
      <c r="Q203" s="69" t="s">
        <v>759</v>
      </c>
    </row>
    <row r="204" spans="2:105" ht="67.5" customHeight="1">
      <c r="B204" s="506"/>
      <c r="C204" s="516"/>
      <c r="D204" s="508"/>
      <c r="E204" s="508"/>
      <c r="F204" s="517"/>
      <c r="G204" s="225" t="str">
        <f>IF(AND(H204="      Out-of-state satellite location(s)",J204&lt;&gt;""), "Not Met",IF(AND(H204="      Out-of-state satellite location(s)",J204=""),"Met","N/A"))</f>
        <v>N/A</v>
      </c>
      <c r="H204" s="458" t="str">
        <f>IF('Satellite(s)'!$H$7&lt;&gt;"N/A","      Out-of-state satellite location(s)","      No out-of-state satellite location(s)")</f>
        <v xml:space="preserve">      No out-of-state satellite location(s)</v>
      </c>
      <c r="I204" s="459"/>
      <c r="J204" s="541" t="str" cm="1">
        <f t="array" ref="J204">_xlfn.TEXTJOIN("
",TRUE,IF('Satellite(s)'!F69:L69="Not Met","The RAM was not completed in conjuction with the main campus at the following location(s):" &amp; 'Satellite(s)'!F60:L60,""))</f>
        <v/>
      </c>
      <c r="K204" s="542"/>
      <c r="L204" s="543"/>
      <c r="Q204" s="69" t="s">
        <v>760</v>
      </c>
    </row>
    <row r="205" spans="2:105" ht="77.099999999999994" customHeight="1">
      <c r="B205" s="507"/>
      <c r="C205" s="518"/>
      <c r="D205" s="509"/>
      <c r="E205" s="509"/>
      <c r="F205" s="519"/>
      <c r="G205" s="225" t="str">
        <f>IF(AND(H205="      Not Approved Satellite Location(s)",J205&lt;&gt;""), "Not Met",IF(AND(H205="      Not Approved Satellite Location(s)",J205=""),"Met","N/A"))</f>
        <v>N/A</v>
      </c>
      <c r="H205" s="458" t="str">
        <f>IF('Satellite(s)'!$H$8&lt;&gt;"","      Not approved satellite location(s)","      No unapproved satellite location(s)")</f>
        <v xml:space="preserve">      No unapproved satellite location(s)</v>
      </c>
      <c r="I205" s="459"/>
      <c r="J205" s="541" t="str" cm="1">
        <f t="array" ref="J205">_xlfn.TEXTJOIN("
",TRUE,IF('Satellite(s)'!F116:L116="Not Met","The RAM was not completed in conjuction with the main campus at the following location(s):" &amp; 'Satellite(s)'!F107:L107,""))</f>
        <v/>
      </c>
      <c r="K205" s="542"/>
      <c r="L205" s="543"/>
      <c r="Q205" s="69" t="s">
        <v>761</v>
      </c>
    </row>
    <row r="206" spans="2:105" ht="65.25" customHeight="1">
      <c r="B206" s="230" t="s">
        <v>69</v>
      </c>
      <c r="C206" s="407" t="s">
        <v>211</v>
      </c>
      <c r="D206" s="408"/>
      <c r="E206" s="408"/>
      <c r="F206" s="409"/>
      <c r="G206" s="224"/>
      <c r="H206" s="179"/>
      <c r="I206" s="182" t="s">
        <v>184</v>
      </c>
      <c r="J206" s="418"/>
      <c r="K206" s="419"/>
      <c r="L206" s="420"/>
      <c r="Q206" s="19" t="s">
        <v>251</v>
      </c>
    </row>
    <row r="207" spans="2:105" ht="39" customHeight="1">
      <c r="B207" s="230" t="s">
        <v>69</v>
      </c>
      <c r="C207" s="407" t="s">
        <v>71</v>
      </c>
      <c r="D207" s="408"/>
      <c r="E207" s="408"/>
      <c r="F207" s="409"/>
      <c r="G207" s="224"/>
      <c r="H207" s="179"/>
      <c r="I207" s="182" t="s">
        <v>560</v>
      </c>
      <c r="J207" s="418"/>
      <c r="K207" s="419"/>
      <c r="L207" s="420"/>
      <c r="Q207" s="19" t="s">
        <v>251</v>
      </c>
    </row>
    <row r="208" spans="2:105" ht="39" customHeight="1">
      <c r="B208" s="230" t="s">
        <v>69</v>
      </c>
      <c r="C208" s="407" t="s">
        <v>72</v>
      </c>
      <c r="D208" s="408"/>
      <c r="E208" s="408"/>
      <c r="F208" s="409"/>
      <c r="G208" s="224"/>
      <c r="H208" s="179"/>
      <c r="I208" s="181" t="s">
        <v>561</v>
      </c>
      <c r="J208" s="421"/>
      <c r="K208" s="422"/>
      <c r="L208" s="423"/>
      <c r="Q208" s="19" t="s">
        <v>251</v>
      </c>
    </row>
    <row r="209" spans="2:17" s="146" customFormat="1" ht="27" customHeight="1">
      <c r="B209" s="499" t="str">
        <f>IF('Cover Page'!$D$8&lt;&gt;"Please Select",'Cover Page'!$D$8, "Select Program Level on the Cover Page tab")</f>
        <v>Select Program Level on the Cover Page tab</v>
      </c>
      <c r="C209" s="500"/>
      <c r="D209" s="500"/>
      <c r="E209" s="500"/>
      <c r="F209" s="500"/>
      <c r="G209" s="500"/>
      <c r="H209" s="500"/>
      <c r="I209" s="500"/>
      <c r="J209" s="500"/>
      <c r="K209" s="500"/>
      <c r="L209" s="501"/>
      <c r="Q209" s="283"/>
    </row>
    <row r="210" spans="2:17" ht="20.25" customHeight="1">
      <c r="B210" s="561" t="s">
        <v>73</v>
      </c>
      <c r="C210" s="562"/>
      <c r="D210" s="562"/>
      <c r="E210" s="562"/>
      <c r="F210" s="562"/>
      <c r="G210" s="562"/>
      <c r="H210" s="562"/>
      <c r="I210" s="562"/>
      <c r="J210" s="562"/>
      <c r="K210" s="562"/>
      <c r="L210" s="563"/>
    </row>
    <row r="211" spans="2:17" ht="20.25" customHeight="1">
      <c r="B211" s="410" t="s">
        <v>74</v>
      </c>
      <c r="C211" s="411"/>
      <c r="D211" s="411"/>
      <c r="E211" s="411"/>
      <c r="F211" s="411"/>
      <c r="G211" s="411"/>
      <c r="H211" s="411"/>
      <c r="I211" s="411"/>
      <c r="J211" s="411"/>
      <c r="K211" s="411"/>
      <c r="L211" s="412"/>
    </row>
    <row r="212" spans="2:17" ht="20.25" customHeight="1">
      <c r="B212" s="410" t="s">
        <v>75</v>
      </c>
      <c r="C212" s="411"/>
      <c r="D212" s="411"/>
      <c r="E212" s="411"/>
      <c r="F212" s="411"/>
      <c r="G212" s="411"/>
      <c r="H212" s="411"/>
      <c r="I212" s="411"/>
      <c r="J212" s="411"/>
      <c r="K212" s="411"/>
      <c r="L212" s="412"/>
    </row>
    <row r="213" spans="2:17" ht="52.5" customHeight="1">
      <c r="B213" s="505" t="s">
        <v>76</v>
      </c>
      <c r="C213" s="413" t="s">
        <v>77</v>
      </c>
      <c r="D213" s="414"/>
      <c r="E213" s="414"/>
      <c r="F213" s="415"/>
      <c r="G213" s="467"/>
      <c r="H213" s="179"/>
      <c r="I213" s="182" t="str">
        <f>IF($B$2="PRELIMINARY SITE VISIT REPORT FINDINGS","Plan to assess the validity and reliability of program exams","Validity and reliability assessments of  
program exams completed")</f>
        <v>Validity and reliability assessments of  
program exams completed</v>
      </c>
      <c r="J213" s="421"/>
      <c r="K213" s="422"/>
      <c r="L213" s="423"/>
      <c r="Q213" s="19" t="s">
        <v>252</v>
      </c>
    </row>
    <row r="214" spans="2:17" ht="73.5" customHeight="1">
      <c r="B214" s="506"/>
      <c r="C214" s="516"/>
      <c r="D214" s="508"/>
      <c r="E214" s="508"/>
      <c r="F214" s="517"/>
      <c r="G214" s="467"/>
      <c r="H214" s="179"/>
      <c r="I214" s="182"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14" s="463"/>
      <c r="K214" s="464"/>
      <c r="L214" s="465"/>
    </row>
    <row r="215" spans="2:17" ht="51.75" customHeight="1">
      <c r="B215" s="506"/>
      <c r="C215" s="516"/>
      <c r="D215" s="508"/>
      <c r="E215" s="508"/>
      <c r="F215" s="517"/>
      <c r="G215" s="467"/>
      <c r="H215" s="179"/>
      <c r="I215" s="182"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15" s="463"/>
      <c r="K215" s="464"/>
      <c r="L215" s="465"/>
    </row>
    <row r="216" spans="2:17" ht="55.5" customHeight="1">
      <c r="B216" s="506"/>
      <c r="C216" s="516"/>
      <c r="D216" s="508"/>
      <c r="E216" s="508"/>
      <c r="F216" s="517"/>
      <c r="G216" s="225" t="str">
        <f>IF(AND(H216="      Same State Satellite Location(s)",J216&lt;&gt;""), "Not Met",IF(AND(H216="      Same State Satellite Location(s)",J216=""),"Met","N/A"))</f>
        <v>N/A</v>
      </c>
      <c r="H216" s="405" t="str">
        <f>IF('Satellite(s)'!$H$6&lt;&gt;"N/A","      Same state satellite location(s)","      No same state satellite location(s)")</f>
        <v xml:space="preserve">      No same state satellite location(s)</v>
      </c>
      <c r="I216" s="405"/>
      <c r="J216" s="437" t="str" cm="1">
        <f t="array" ref="J216">_xlfn.TEXTJOIN("
",TRUE,IF('Satellite(s)'!F45:AB45="Not Met",'Satellite(s)'!F46:AB46,""))</f>
        <v/>
      </c>
      <c r="K216" s="438"/>
      <c r="L216" s="439"/>
      <c r="Q216" s="69" t="s">
        <v>762</v>
      </c>
    </row>
    <row r="217" spans="2:17" ht="55.5" customHeight="1">
      <c r="B217" s="506"/>
      <c r="C217" s="516"/>
      <c r="D217" s="508"/>
      <c r="E217" s="508"/>
      <c r="F217" s="517"/>
      <c r="G217" s="225" t="str">
        <f>IF(AND(H217="      Out-of-state satellite location(s)",J217&lt;&gt;""), "Not Met",IF(AND(H217="      Out-of-state satellite location(s)",J217=""),"Met","N/A"))</f>
        <v>N/A</v>
      </c>
      <c r="H217" s="405" t="str">
        <f>IF('Satellite(s)'!$H$7&lt;&gt;"N/A","      Out-of-state satellite location(s)","      No out-of-state satellite location(s)")</f>
        <v xml:space="preserve">      No out-of-state satellite location(s)</v>
      </c>
      <c r="I217" s="405"/>
      <c r="J217" s="437" t="str" cm="1">
        <f t="array" ref="J217">_xlfn.TEXTJOIN("
",TRUE,IF('Satellite(s)'!F92:L92="Not Met",'Satellite(s)'!F93:L93,""))</f>
        <v/>
      </c>
      <c r="K217" s="438"/>
      <c r="L217" s="439"/>
      <c r="Q217" s="69" t="s">
        <v>763</v>
      </c>
    </row>
    <row r="218" spans="2:17" ht="55.5" customHeight="1">
      <c r="B218" s="507"/>
      <c r="C218" s="518"/>
      <c r="D218" s="509"/>
      <c r="E218" s="509"/>
      <c r="F218" s="519"/>
      <c r="G218" s="225" t="str">
        <f>IF(AND(H218="      Not Approved Satellite Location(s)",J218&lt;&gt;""), "Not Met",IF(AND(H218="      Not Approved Satellite Location(s)",J218=""),"Met","N/A"))</f>
        <v>N/A</v>
      </c>
      <c r="H218" s="405" t="str">
        <f>IF('Satellite(s)'!$H$8&lt;&gt;"","      Not approved satellite location(s)","      No unapproved satellite location(s)")</f>
        <v xml:space="preserve">      No unapproved satellite location(s)</v>
      </c>
      <c r="I218" s="405"/>
      <c r="J218" s="437" t="str" cm="1">
        <f t="array" ref="J218">_xlfn.TEXTJOIN("
",TRUE,IF('Satellite(s)'!F139:L139="Not Met",'Satellite(s)'!F140:L140,""))</f>
        <v/>
      </c>
      <c r="K218" s="438"/>
      <c r="L218" s="439"/>
      <c r="Q218" s="69" t="s">
        <v>764</v>
      </c>
    </row>
    <row r="219" spans="2:17" ht="86.25" customHeight="1">
      <c r="B219" s="505" t="s">
        <v>76</v>
      </c>
      <c r="C219" s="413" t="s">
        <v>212</v>
      </c>
      <c r="D219" s="414"/>
      <c r="E219" s="414"/>
      <c r="F219" s="415"/>
      <c r="G219" s="467"/>
      <c r="H219" s="179"/>
      <c r="I219" s="182" t="s">
        <v>562</v>
      </c>
      <c r="J219" s="421"/>
      <c r="K219" s="422"/>
      <c r="L219" s="423"/>
      <c r="Q219" s="19" t="s">
        <v>252</v>
      </c>
    </row>
    <row r="220" spans="2:17" ht="66.75" customHeight="1">
      <c r="B220" s="506"/>
      <c r="C220" s="516"/>
      <c r="D220" s="508"/>
      <c r="E220" s="508"/>
      <c r="F220" s="517"/>
      <c r="G220" s="467"/>
      <c r="H220" s="179"/>
      <c r="I220" s="182"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20" s="463"/>
      <c r="K220" s="464"/>
      <c r="L220" s="465"/>
    </row>
    <row r="221" spans="2:17" ht="45" customHeight="1">
      <c r="B221" s="506"/>
      <c r="C221" s="518"/>
      <c r="D221" s="509"/>
      <c r="E221" s="509"/>
      <c r="F221" s="519"/>
      <c r="G221" s="467"/>
      <c r="H221" s="179"/>
      <c r="I221" s="182" t="s">
        <v>563</v>
      </c>
      <c r="J221" s="428"/>
      <c r="K221" s="429"/>
      <c r="L221" s="430"/>
    </row>
    <row r="222" spans="2:17" ht="20.25" customHeight="1">
      <c r="B222" s="410" t="s">
        <v>78</v>
      </c>
      <c r="C222" s="411"/>
      <c r="D222" s="411"/>
      <c r="E222" s="411"/>
      <c r="F222" s="411"/>
      <c r="G222" s="411"/>
      <c r="H222" s="411"/>
      <c r="I222" s="411"/>
      <c r="J222" s="411"/>
      <c r="K222" s="411"/>
      <c r="L222" s="412"/>
    </row>
    <row r="223" spans="2:17" ht="96" customHeight="1">
      <c r="B223" s="310" t="s">
        <v>214</v>
      </c>
      <c r="C223" s="680" t="s">
        <v>213</v>
      </c>
      <c r="D223" s="680"/>
      <c r="E223" s="680"/>
      <c r="F223" s="681"/>
      <c r="G223" s="176"/>
      <c r="H223" s="192"/>
      <c r="I223" s="193" t="str">
        <f>IF($B$2="PRELIMINARY SITE VISIT REPORT FINDINGS","Conversation regarding documents for student records","Reviewed student records")</f>
        <v>Reviewed student records</v>
      </c>
      <c r="J223" s="682"/>
      <c r="K223" s="683"/>
      <c r="L223" s="684"/>
      <c r="Q223" s="19" t="s">
        <v>340</v>
      </c>
    </row>
    <row r="224" spans="2:17" ht="77.25" customHeight="1">
      <c r="B224" s="311" t="s">
        <v>215</v>
      </c>
      <c r="C224" s="679" t="s">
        <v>216</v>
      </c>
      <c r="D224" s="679"/>
      <c r="E224" s="679"/>
      <c r="F224" s="679"/>
      <c r="G224" s="177"/>
      <c r="H224" s="192"/>
      <c r="I224" s="194" t="s">
        <v>721</v>
      </c>
      <c r="J224" s="665"/>
      <c r="K224" s="666"/>
      <c r="L224" s="667"/>
      <c r="Q224" s="19" t="s">
        <v>341</v>
      </c>
    </row>
    <row r="225" spans="2:17" ht="20.25" customHeight="1">
      <c r="B225" s="410" t="s">
        <v>80</v>
      </c>
      <c r="C225" s="411"/>
      <c r="D225" s="411"/>
      <c r="E225" s="411"/>
      <c r="F225" s="411"/>
      <c r="G225" s="411"/>
      <c r="H225" s="411"/>
      <c r="I225" s="411"/>
      <c r="J225" s="411"/>
      <c r="K225" s="411"/>
      <c r="L225" s="412"/>
    </row>
    <row r="226" spans="2:17" ht="20.25" customHeight="1">
      <c r="B226" s="410" t="s">
        <v>639</v>
      </c>
      <c r="C226" s="411"/>
      <c r="D226" s="411"/>
      <c r="E226" s="411"/>
      <c r="F226" s="411"/>
      <c r="G226" s="411"/>
      <c r="H226" s="411"/>
      <c r="I226" s="411"/>
      <c r="J226" s="411"/>
      <c r="K226" s="411"/>
      <c r="L226" s="412"/>
    </row>
    <row r="227" spans="2:17" ht="46.5" customHeight="1">
      <c r="B227" s="468" t="s">
        <v>79</v>
      </c>
      <c r="C227" s="668" t="s">
        <v>185</v>
      </c>
      <c r="D227" s="669"/>
      <c r="E227" s="669"/>
      <c r="F227" s="670"/>
      <c r="G227" s="662"/>
      <c r="H227" s="651" t="str">
        <f>IF($B$2="PRELIMINARY SITE VISIT REPORT FINDINGS","", "NA should only be selected for programs seeking Initial Accreditation")</f>
        <v>NA should only be selected for programs seeking Initial Accreditation</v>
      </c>
      <c r="I227" s="652"/>
      <c r="J227" s="653"/>
      <c r="K227" s="654"/>
      <c r="L227" s="655"/>
      <c r="Q227" s="19" t="s">
        <v>253</v>
      </c>
    </row>
    <row r="228" spans="2:17" ht="46.5" customHeight="1">
      <c r="B228" s="469"/>
      <c r="C228" s="671"/>
      <c r="D228" s="672"/>
      <c r="E228" s="672"/>
      <c r="F228" s="673"/>
      <c r="G228" s="663"/>
      <c r="H228" s="179"/>
      <c r="I228" s="187" t="str">
        <f>IF($B$2="PRELIMINARY SITE VISIT REPORT FINDINGS","Plan to obtain the data for retention, credentialing, placement", "Reviewed most recent annual report")</f>
        <v>Reviewed most recent annual report</v>
      </c>
      <c r="J228" s="656"/>
      <c r="K228" s="657"/>
      <c r="L228" s="658"/>
    </row>
    <row r="229" spans="2:17" ht="44.25" customHeight="1">
      <c r="B229" s="312" t="s">
        <v>79</v>
      </c>
      <c r="C229" s="659" t="s">
        <v>287</v>
      </c>
      <c r="D229" s="660"/>
      <c r="E229" s="660"/>
      <c r="F229" s="661"/>
      <c r="G229" s="178"/>
      <c r="H229" s="179"/>
      <c r="I229" s="187" t="str">
        <f>IF(AND($B$2="PRELIMINARY SITE VISIT REPORT FINDINGS",H229="N/A"),"N/A - Seeking the Letter of Review", "Reviewed program's analysis and action plans in the annual report")</f>
        <v>Reviewed program's analysis and action plans in the annual report</v>
      </c>
      <c r="J229" s="653"/>
      <c r="K229" s="654"/>
      <c r="L229" s="655"/>
      <c r="Q229" s="19" t="s">
        <v>253</v>
      </c>
    </row>
    <row r="230" spans="2:17" ht="70.5" customHeight="1">
      <c r="B230" s="468" t="s">
        <v>79</v>
      </c>
      <c r="C230" s="704" t="s">
        <v>720</v>
      </c>
      <c r="D230" s="705"/>
      <c r="E230" s="705"/>
      <c r="F230" s="706"/>
      <c r="G230" s="662"/>
      <c r="H230" s="497"/>
      <c r="I230" s="502" t="str">
        <f>IF($B$2="PRELIMINARY SITE VISIT REPORT FINDINGS","N/A - Seeking the Letter of Review", "Reviewed implemented changes based on analysis and action plans from the annual reports")</f>
        <v>Reviewed implemented changes based on analysis and action plans from the annual reports</v>
      </c>
      <c r="J230" s="653"/>
      <c r="K230" s="654"/>
      <c r="L230" s="655"/>
      <c r="Q230" s="19" t="s">
        <v>253</v>
      </c>
    </row>
    <row r="231" spans="2:17" ht="27.75" customHeight="1">
      <c r="B231" s="469"/>
      <c r="C231" s="707"/>
      <c r="D231" s="708"/>
      <c r="E231" s="708"/>
      <c r="F231" s="709"/>
      <c r="G231" s="663"/>
      <c r="H231" s="498"/>
      <c r="I231" s="504"/>
      <c r="J231" s="656"/>
      <c r="K231" s="657"/>
      <c r="L231" s="658"/>
    </row>
    <row r="232" spans="2:17" ht="20.25" customHeight="1">
      <c r="B232" s="410" t="s">
        <v>640</v>
      </c>
      <c r="C232" s="411"/>
      <c r="D232" s="411"/>
      <c r="E232" s="411"/>
      <c r="F232" s="411"/>
      <c r="G232" s="411"/>
      <c r="H232" s="411"/>
      <c r="I232" s="411"/>
      <c r="J232" s="411"/>
      <c r="K232" s="411"/>
      <c r="L232" s="412"/>
    </row>
    <row r="233" spans="2:17" ht="57.95" customHeight="1">
      <c r="B233" s="468" t="s">
        <v>81</v>
      </c>
      <c r="C233" s="668" t="s">
        <v>217</v>
      </c>
      <c r="D233" s="669"/>
      <c r="E233" s="669"/>
      <c r="F233" s="670"/>
      <c r="G233" s="662"/>
      <c r="H233" s="651" t="str">
        <f>IF($B$2="PRELIMINARY SITE VISIT REPORT FINDINGS","", "NA should only be selected for programs seeking Initial Accreditation")</f>
        <v>NA should only be selected for programs seeking Initial Accreditation</v>
      </c>
      <c r="I233" s="652"/>
      <c r="J233" s="653"/>
      <c r="K233" s="654"/>
      <c r="L233" s="655"/>
      <c r="M233" s="63"/>
      <c r="N233" s="63"/>
      <c r="O233" s="63"/>
      <c r="P233" s="63"/>
      <c r="Q233" s="19" t="s">
        <v>483</v>
      </c>
    </row>
    <row r="234" spans="2:17" ht="87" customHeight="1">
      <c r="B234" s="469"/>
      <c r="C234" s="671"/>
      <c r="D234" s="672"/>
      <c r="E234" s="672"/>
      <c r="F234" s="673"/>
      <c r="G234" s="663"/>
      <c r="H234" s="195"/>
      <c r="I234" s="19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34" s="656"/>
      <c r="K234" s="657"/>
      <c r="L234" s="658"/>
      <c r="M234" s="63"/>
      <c r="N234" s="63"/>
      <c r="O234" s="63"/>
      <c r="P234" s="63"/>
    </row>
    <row r="235" spans="2:17" s="146" customFormat="1" ht="27" customHeight="1">
      <c r="B235" s="499" t="str">
        <f>IF('Cover Page'!$D$8&lt;&gt;"Please Select",'Cover Page'!$D$8, "Select Program Level on the Cover Page tab")</f>
        <v>Select Program Level on the Cover Page tab</v>
      </c>
      <c r="C235" s="500"/>
      <c r="D235" s="500"/>
      <c r="E235" s="500"/>
      <c r="F235" s="500"/>
      <c r="G235" s="500"/>
      <c r="H235" s="500"/>
      <c r="I235" s="500"/>
      <c r="J235" s="500"/>
      <c r="K235" s="500"/>
      <c r="L235" s="501"/>
      <c r="Q235" s="283"/>
    </row>
    <row r="236" spans="2:17" ht="20.25" customHeight="1">
      <c r="B236" s="561" t="s">
        <v>82</v>
      </c>
      <c r="C236" s="562"/>
      <c r="D236" s="562"/>
      <c r="E236" s="562"/>
      <c r="F236" s="562"/>
      <c r="G236" s="562"/>
      <c r="H236" s="562"/>
      <c r="I236" s="562"/>
      <c r="J236" s="562"/>
      <c r="K236" s="562"/>
      <c r="L236" s="563"/>
    </row>
    <row r="237" spans="2:17" ht="20.25" customHeight="1">
      <c r="B237" s="410" t="s">
        <v>83</v>
      </c>
      <c r="C237" s="411"/>
      <c r="D237" s="411"/>
      <c r="E237" s="411"/>
      <c r="F237" s="411"/>
      <c r="G237" s="411"/>
      <c r="H237" s="411"/>
      <c r="I237" s="411"/>
      <c r="J237" s="411"/>
      <c r="K237" s="411"/>
      <c r="L237" s="412"/>
    </row>
    <row r="238" spans="2:17" ht="53.25" customHeight="1">
      <c r="B238" s="226" t="s">
        <v>84</v>
      </c>
      <c r="C238" s="495" t="s">
        <v>641</v>
      </c>
      <c r="D238" s="495"/>
      <c r="E238" s="495"/>
      <c r="F238" s="495"/>
      <c r="G238" s="228"/>
      <c r="H238" s="651" t="s">
        <v>564</v>
      </c>
      <c r="I238" s="652"/>
      <c r="J238" s="428"/>
      <c r="K238" s="429"/>
      <c r="L238" s="430"/>
      <c r="Q238" s="19" t="s">
        <v>342</v>
      </c>
    </row>
    <row r="239" spans="2:17" ht="63.75" customHeight="1">
      <c r="B239" s="230" t="s">
        <v>85</v>
      </c>
      <c r="C239" s="495" t="s">
        <v>642</v>
      </c>
      <c r="D239" s="495"/>
      <c r="E239" s="495"/>
      <c r="F239" s="495"/>
      <c r="G239" s="227"/>
      <c r="H239" s="199"/>
      <c r="I239" s="502"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39" s="418"/>
      <c r="K239" s="419"/>
      <c r="L239" s="420"/>
      <c r="Q239" s="19" t="s">
        <v>343</v>
      </c>
    </row>
    <row r="240" spans="2:17" ht="39" customHeight="1">
      <c r="B240" s="230" t="s">
        <v>85</v>
      </c>
      <c r="C240" s="495" t="s">
        <v>643</v>
      </c>
      <c r="D240" s="495"/>
      <c r="E240" s="495"/>
      <c r="F240" s="495"/>
      <c r="G240" s="227"/>
      <c r="H240" s="199"/>
      <c r="I240" s="503"/>
      <c r="J240" s="418"/>
      <c r="K240" s="419"/>
      <c r="L240" s="420"/>
      <c r="Q240" s="19" t="s">
        <v>343</v>
      </c>
    </row>
    <row r="241" spans="2:17" ht="39" customHeight="1">
      <c r="B241" s="230" t="s">
        <v>85</v>
      </c>
      <c r="C241" s="495" t="s">
        <v>98</v>
      </c>
      <c r="D241" s="495"/>
      <c r="E241" s="495"/>
      <c r="F241" s="495"/>
      <c r="G241" s="227"/>
      <c r="H241" s="199"/>
      <c r="I241" s="503"/>
      <c r="J241" s="418"/>
      <c r="K241" s="419"/>
      <c r="L241" s="420"/>
      <c r="Q241" s="19" t="s">
        <v>343</v>
      </c>
    </row>
    <row r="242" spans="2:17" ht="39" customHeight="1">
      <c r="B242" s="230" t="s">
        <v>85</v>
      </c>
      <c r="C242" s="495" t="s">
        <v>288</v>
      </c>
      <c r="D242" s="495"/>
      <c r="E242" s="495"/>
      <c r="F242" s="495"/>
      <c r="G242" s="227"/>
      <c r="H242" s="199"/>
      <c r="I242" s="503"/>
      <c r="J242" s="418"/>
      <c r="K242" s="419"/>
      <c r="L242" s="420"/>
      <c r="Q242" s="19" t="s">
        <v>343</v>
      </c>
    </row>
    <row r="243" spans="2:17" ht="39" customHeight="1">
      <c r="B243" s="230" t="s">
        <v>85</v>
      </c>
      <c r="C243" s="495" t="s">
        <v>644</v>
      </c>
      <c r="D243" s="495"/>
      <c r="E243" s="495"/>
      <c r="F243" s="495"/>
      <c r="G243" s="227"/>
      <c r="H243" s="199"/>
      <c r="I243" s="503"/>
      <c r="J243" s="418"/>
      <c r="K243" s="419"/>
      <c r="L243" s="420"/>
      <c r="Q243" s="19" t="s">
        <v>343</v>
      </c>
    </row>
    <row r="244" spans="2:17" ht="39" customHeight="1">
      <c r="B244" s="230" t="s">
        <v>85</v>
      </c>
      <c r="C244" s="495" t="s">
        <v>716</v>
      </c>
      <c r="D244" s="495"/>
      <c r="E244" s="495"/>
      <c r="F244" s="495"/>
      <c r="G244" s="227"/>
      <c r="H244" s="199"/>
      <c r="I244" s="503"/>
      <c r="J244" s="418"/>
      <c r="K244" s="419"/>
      <c r="L244" s="420"/>
      <c r="Q244" s="19" t="s">
        <v>343</v>
      </c>
    </row>
    <row r="245" spans="2:17" ht="39" customHeight="1">
      <c r="B245" s="230" t="s">
        <v>85</v>
      </c>
      <c r="C245" s="495" t="s">
        <v>717</v>
      </c>
      <c r="D245" s="495"/>
      <c r="E245" s="495"/>
      <c r="F245" s="495"/>
      <c r="G245" s="227"/>
      <c r="H245" s="199"/>
      <c r="I245" s="503"/>
      <c r="J245" s="418"/>
      <c r="K245" s="419"/>
      <c r="L245" s="420"/>
      <c r="Q245" s="19" t="s">
        <v>343</v>
      </c>
    </row>
    <row r="246" spans="2:17" ht="39" customHeight="1">
      <c r="B246" s="230" t="s">
        <v>85</v>
      </c>
      <c r="C246" s="495" t="s">
        <v>781</v>
      </c>
      <c r="D246" s="495"/>
      <c r="E246" s="495"/>
      <c r="F246" s="495"/>
      <c r="G246" s="227"/>
      <c r="H246" s="199"/>
      <c r="I246" s="503"/>
      <c r="J246" s="418"/>
      <c r="K246" s="419"/>
      <c r="L246" s="420"/>
      <c r="Q246" s="19" t="s">
        <v>343</v>
      </c>
    </row>
    <row r="247" spans="2:17" ht="39" customHeight="1">
      <c r="B247" s="230" t="s">
        <v>85</v>
      </c>
      <c r="C247" s="495" t="s">
        <v>782</v>
      </c>
      <c r="D247" s="495"/>
      <c r="E247" s="495"/>
      <c r="F247" s="495"/>
      <c r="G247" s="227"/>
      <c r="H247" s="199"/>
      <c r="I247" s="503"/>
      <c r="J247" s="418"/>
      <c r="K247" s="419"/>
      <c r="L247" s="420"/>
      <c r="Q247" s="19" t="s">
        <v>343</v>
      </c>
    </row>
    <row r="248" spans="2:17" ht="53.1" customHeight="1">
      <c r="B248" s="230" t="s">
        <v>85</v>
      </c>
      <c r="C248" s="495" t="s">
        <v>645</v>
      </c>
      <c r="D248" s="495"/>
      <c r="E248" s="495"/>
      <c r="F248" s="495"/>
      <c r="G248" s="227"/>
      <c r="H248" s="199"/>
      <c r="I248" s="503"/>
      <c r="J248" s="418"/>
      <c r="K248" s="419"/>
      <c r="L248" s="420"/>
      <c r="Q248" s="19" t="s">
        <v>343</v>
      </c>
    </row>
    <row r="249" spans="2:17" ht="53.1" customHeight="1">
      <c r="B249" s="230" t="s">
        <v>85</v>
      </c>
      <c r="C249" s="495" t="s">
        <v>783</v>
      </c>
      <c r="D249" s="495"/>
      <c r="E249" s="495"/>
      <c r="F249" s="495"/>
      <c r="G249" s="227"/>
      <c r="H249" s="200"/>
      <c r="I249" s="503"/>
      <c r="J249" s="418"/>
      <c r="K249" s="419"/>
      <c r="L249" s="420"/>
      <c r="Q249" s="19" t="s">
        <v>343</v>
      </c>
    </row>
    <row r="250" spans="2:17" ht="53.1" customHeight="1">
      <c r="B250" s="230" t="s">
        <v>85</v>
      </c>
      <c r="C250" s="495" t="s">
        <v>646</v>
      </c>
      <c r="D250" s="495"/>
      <c r="E250" s="495"/>
      <c r="F250" s="495"/>
      <c r="G250" s="227"/>
      <c r="H250" s="281"/>
      <c r="I250" s="504"/>
      <c r="J250" s="418"/>
      <c r="K250" s="419"/>
      <c r="L250" s="420"/>
      <c r="Q250" s="19" t="s">
        <v>343</v>
      </c>
    </row>
    <row r="251" spans="2:17" ht="53.1" customHeight="1">
      <c r="B251" s="219" t="s">
        <v>86</v>
      </c>
      <c r="C251" s="495" t="s">
        <v>583</v>
      </c>
      <c r="D251" s="495"/>
      <c r="E251" s="495"/>
      <c r="F251" s="495"/>
      <c r="G251" s="227"/>
      <c r="H251" s="199"/>
      <c r="I251" s="502"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51" s="418"/>
      <c r="K251" s="419"/>
      <c r="L251" s="420"/>
      <c r="Q251" s="19" t="s">
        <v>344</v>
      </c>
    </row>
    <row r="252" spans="2:17" ht="53.1" customHeight="1">
      <c r="B252" s="219" t="s">
        <v>86</v>
      </c>
      <c r="C252" s="495" t="s">
        <v>97</v>
      </c>
      <c r="D252" s="495"/>
      <c r="E252" s="495"/>
      <c r="F252" s="495"/>
      <c r="G252" s="227"/>
      <c r="H252" s="199"/>
      <c r="I252" s="503"/>
      <c r="J252" s="418"/>
      <c r="K252" s="419"/>
      <c r="L252" s="420"/>
      <c r="Q252" s="19" t="s">
        <v>344</v>
      </c>
    </row>
    <row r="253" spans="2:17" ht="53.1" customHeight="1">
      <c r="B253" s="219" t="s">
        <v>86</v>
      </c>
      <c r="C253" s="495" t="s">
        <v>648</v>
      </c>
      <c r="D253" s="495"/>
      <c r="E253" s="495"/>
      <c r="F253" s="495"/>
      <c r="G253" s="227"/>
      <c r="H253" s="199"/>
      <c r="I253" s="503"/>
      <c r="J253" s="418"/>
      <c r="K253" s="419"/>
      <c r="L253" s="420"/>
      <c r="Q253" s="19" t="s">
        <v>344</v>
      </c>
    </row>
    <row r="254" spans="2:17" ht="53.1" customHeight="1">
      <c r="B254" s="493" t="s">
        <v>86</v>
      </c>
      <c r="C254" s="495" t="s">
        <v>283</v>
      </c>
      <c r="D254" s="495"/>
      <c r="E254" s="495"/>
      <c r="F254" s="495"/>
      <c r="G254" s="470"/>
      <c r="H254" s="700"/>
      <c r="I254" s="503"/>
      <c r="J254" s="421"/>
      <c r="K254" s="422"/>
      <c r="L254" s="423"/>
      <c r="Q254" s="19" t="s">
        <v>344</v>
      </c>
    </row>
    <row r="255" spans="2:17" ht="53.1" customHeight="1">
      <c r="B255" s="494"/>
      <c r="C255" s="495"/>
      <c r="D255" s="495"/>
      <c r="E255" s="495"/>
      <c r="F255" s="495"/>
      <c r="G255" s="477"/>
      <c r="H255" s="701"/>
      <c r="I255" s="503"/>
      <c r="J255" s="428"/>
      <c r="K255" s="429"/>
      <c r="L255" s="430"/>
      <c r="Q255" s="19" t="s">
        <v>344</v>
      </c>
    </row>
    <row r="256" spans="2:17" ht="53.1" customHeight="1">
      <c r="B256" s="505" t="s">
        <v>86</v>
      </c>
      <c r="C256" s="413" t="s">
        <v>647</v>
      </c>
      <c r="D256" s="414"/>
      <c r="E256" s="414"/>
      <c r="F256" s="415"/>
      <c r="G256" s="227"/>
      <c r="H256" s="200"/>
      <c r="I256" s="504"/>
      <c r="J256" s="418"/>
      <c r="K256" s="419"/>
      <c r="L256" s="420"/>
      <c r="Q256" s="19" t="s">
        <v>344</v>
      </c>
    </row>
    <row r="257" spans="2:17" ht="55.5" customHeight="1">
      <c r="B257" s="506"/>
      <c r="C257" s="516"/>
      <c r="D257" s="508"/>
      <c r="E257" s="508"/>
      <c r="F257" s="517"/>
      <c r="G257" s="225" t="str">
        <f>IF(AND(H257="      Same State Satellite Location(s)",J257&lt;&gt;""), "Not Met",IF(AND(H257="      Same State Satellite Location(s)",J257=""),"Met","N/A"))</f>
        <v>N/A</v>
      </c>
      <c r="H257" s="458" t="str">
        <f>IF('Satellite(s)'!$H$6&lt;&gt;"N/A","      Same state satellite location(s)","      No same state satellite location(s)")</f>
        <v xml:space="preserve">      No same state satellite location(s)</v>
      </c>
      <c r="I257" s="459"/>
      <c r="J257" s="437" t="str" cm="1">
        <f t="array" ref="J257">_xlfn.TEXTJOIN("
",TRUE,IF('Satellite(s)'!F26:L26="Not Met",'Satellite(s)'!F27:L27,""))</f>
        <v/>
      </c>
      <c r="K257" s="438"/>
      <c r="L257" s="439"/>
      <c r="Q257" s="69" t="s">
        <v>765</v>
      </c>
    </row>
    <row r="258" spans="2:17" ht="55.5" customHeight="1">
      <c r="B258" s="506"/>
      <c r="C258" s="516"/>
      <c r="D258" s="508"/>
      <c r="E258" s="508"/>
      <c r="F258" s="517"/>
      <c r="G258" s="225" t="str">
        <f>IF(AND(H258="      Out-of-state satellite location(s)",J258&lt;&gt;""), "Not Met",IF(AND(H258="      Out-of-state satellite location(s)",J258=""),"Met","N/A"))</f>
        <v>N/A</v>
      </c>
      <c r="H258" s="458" t="str">
        <f>IF('Satellite(s)'!$H$7&lt;&gt;"N/A","      Out-of-state satellite location(s)","      No out-of-state satellite location(s)")</f>
        <v xml:space="preserve">      No out-of-state satellite location(s)</v>
      </c>
      <c r="I258" s="459"/>
      <c r="J258" s="437" t="str" cm="1">
        <f t="array" ref="J258">_xlfn.TEXTJOIN("
",TRUE,IF('Satellite(s)'!F73:L73="Not Met",'Satellite(s)'!F74:L74,""))</f>
        <v/>
      </c>
      <c r="K258" s="438"/>
      <c r="L258" s="439"/>
      <c r="Q258" s="69" t="s">
        <v>766</v>
      </c>
    </row>
    <row r="259" spans="2:17" ht="55.5" customHeight="1">
      <c r="B259" s="507"/>
      <c r="C259" s="518"/>
      <c r="D259" s="509"/>
      <c r="E259" s="509"/>
      <c r="F259" s="519"/>
      <c r="G259" s="225" t="str">
        <f>IF(AND(H259="      Not Approved Satellite Location(s)",J259&lt;&gt;""), "Not Met",IF(AND(H259="      Not Approved Satellite Location(s)",J259=""),"Met","N/A"))</f>
        <v>N/A</v>
      </c>
      <c r="H259" s="458" t="str">
        <f>IF('Satellite(s)'!$H$8&lt;&gt;"","      Not approved satellite location(s)","      No unapproved satellite location(s)")</f>
        <v xml:space="preserve">      No unapproved satellite location(s)</v>
      </c>
      <c r="I259" s="459"/>
      <c r="J259" s="437" t="str" cm="1">
        <f t="array" ref="J259">_xlfn.TEXTJOIN("
",TRUE,IF('Satellite(s)'!F120:L120="Not Met",'Satellite(s)'!F121:L121,""))</f>
        <v/>
      </c>
      <c r="K259" s="438"/>
      <c r="L259" s="439"/>
      <c r="Q259" s="69" t="s">
        <v>767</v>
      </c>
    </row>
    <row r="260" spans="2:17" ht="79.5" customHeight="1">
      <c r="B260" s="219" t="s">
        <v>218</v>
      </c>
      <c r="C260" s="495" t="s">
        <v>219</v>
      </c>
      <c r="D260" s="495"/>
      <c r="E260" s="495"/>
      <c r="F260" s="495"/>
      <c r="G260" s="227"/>
      <c r="H260" s="179"/>
      <c r="I260" s="187"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60" s="418"/>
      <c r="K260" s="419"/>
      <c r="L260" s="420"/>
      <c r="Q260" s="19" t="s">
        <v>345</v>
      </c>
    </row>
    <row r="261" spans="2:17" ht="20.25" customHeight="1">
      <c r="B261" s="410" t="s">
        <v>220</v>
      </c>
      <c r="C261" s="411"/>
      <c r="D261" s="411"/>
      <c r="E261" s="411"/>
      <c r="F261" s="411"/>
      <c r="G261" s="411"/>
      <c r="H261" s="411"/>
      <c r="I261" s="411"/>
      <c r="J261" s="411"/>
      <c r="K261" s="411"/>
      <c r="L261" s="412"/>
    </row>
    <row r="262" spans="2:17" ht="26.25" customHeight="1">
      <c r="B262" s="493" t="s">
        <v>87</v>
      </c>
      <c r="C262" s="495" t="s">
        <v>715</v>
      </c>
      <c r="D262" s="495"/>
      <c r="E262" s="495"/>
      <c r="F262" s="495"/>
      <c r="G262" s="678"/>
      <c r="H262" s="198"/>
      <c r="I262" s="187" t="s">
        <v>565</v>
      </c>
      <c r="J262" s="421"/>
      <c r="K262" s="422"/>
      <c r="L262" s="423"/>
      <c r="Q262" s="19" t="s">
        <v>254</v>
      </c>
    </row>
    <row r="263" spans="2:17" ht="29.25" customHeight="1">
      <c r="B263" s="538"/>
      <c r="C263" s="495"/>
      <c r="D263" s="495"/>
      <c r="E263" s="495"/>
      <c r="F263" s="495"/>
      <c r="G263" s="443"/>
      <c r="H263" s="199"/>
      <c r="I263" s="187" t="s">
        <v>566</v>
      </c>
      <c r="J263" s="463"/>
      <c r="K263" s="464"/>
      <c r="L263" s="465"/>
      <c r="Q263" s="19"/>
    </row>
    <row r="264" spans="2:17" ht="25.5" customHeight="1">
      <c r="B264" s="494"/>
      <c r="C264" s="495"/>
      <c r="D264" s="495"/>
      <c r="E264" s="495"/>
      <c r="F264" s="495"/>
      <c r="G264" s="443"/>
      <c r="H264" s="200"/>
      <c r="I264" s="196" t="s">
        <v>567</v>
      </c>
      <c r="J264" s="428"/>
      <c r="K264" s="429"/>
      <c r="L264" s="430"/>
      <c r="Q264" s="19"/>
    </row>
    <row r="265" spans="2:17" ht="29.25" customHeight="1">
      <c r="B265" s="493" t="s">
        <v>87</v>
      </c>
      <c r="C265" s="495" t="s">
        <v>88</v>
      </c>
      <c r="D265" s="495"/>
      <c r="E265" s="495"/>
      <c r="F265" s="495"/>
      <c r="G265" s="470"/>
      <c r="H265" s="198"/>
      <c r="I265" s="197" t="s">
        <v>568</v>
      </c>
      <c r="J265" s="421"/>
      <c r="K265" s="422"/>
      <c r="L265" s="423"/>
      <c r="Q265" s="19" t="s">
        <v>254</v>
      </c>
    </row>
    <row r="266" spans="2:17" ht="30" customHeight="1">
      <c r="B266" s="494"/>
      <c r="C266" s="495"/>
      <c r="D266" s="495"/>
      <c r="E266" s="495"/>
      <c r="F266" s="495"/>
      <c r="G266" s="477"/>
      <c r="H266" s="199"/>
      <c r="I266" s="187" t="s">
        <v>569</v>
      </c>
      <c r="J266" s="428"/>
      <c r="K266" s="429"/>
      <c r="L266" s="430"/>
      <c r="Q266" s="19"/>
    </row>
    <row r="267" spans="2:17" ht="18.75" customHeight="1">
      <c r="B267" s="493" t="s">
        <v>87</v>
      </c>
      <c r="C267" s="495" t="s">
        <v>221</v>
      </c>
      <c r="D267" s="495"/>
      <c r="E267" s="495"/>
      <c r="F267" s="495"/>
      <c r="G267" s="470"/>
      <c r="H267" s="497"/>
      <c r="I267" s="622" t="s">
        <v>480</v>
      </c>
      <c r="J267" s="421"/>
      <c r="K267" s="422"/>
      <c r="L267" s="423"/>
      <c r="Q267" s="19" t="s">
        <v>254</v>
      </c>
    </row>
    <row r="268" spans="2:17" ht="28.5" customHeight="1">
      <c r="B268" s="494"/>
      <c r="C268" s="495"/>
      <c r="D268" s="495"/>
      <c r="E268" s="495"/>
      <c r="F268" s="495"/>
      <c r="G268" s="477"/>
      <c r="H268" s="498"/>
      <c r="I268" s="664"/>
      <c r="J268" s="428"/>
      <c r="K268" s="429"/>
      <c r="L268" s="430"/>
    </row>
    <row r="269" spans="2:17" ht="18">
      <c r="B269" s="410" t="s">
        <v>89</v>
      </c>
      <c r="C269" s="411"/>
      <c r="D269" s="411"/>
      <c r="E269" s="411"/>
      <c r="F269" s="411"/>
      <c r="G269" s="411"/>
      <c r="H269" s="411"/>
      <c r="I269" s="411"/>
      <c r="J269" s="411"/>
      <c r="K269" s="411"/>
      <c r="L269" s="412"/>
    </row>
    <row r="270" spans="2:17" ht="104.25" customHeight="1">
      <c r="B270" s="493" t="s">
        <v>90</v>
      </c>
      <c r="C270" s="495" t="s">
        <v>713</v>
      </c>
      <c r="D270" s="495"/>
      <c r="E270" s="495"/>
      <c r="F270" s="495"/>
      <c r="G270" s="676"/>
      <c r="H270" s="179"/>
      <c r="I270" s="182" t="s">
        <v>714</v>
      </c>
      <c r="J270" s="421"/>
      <c r="K270" s="422"/>
      <c r="L270" s="423"/>
      <c r="Q270" s="19" t="s">
        <v>255</v>
      </c>
    </row>
    <row r="271" spans="2:17" ht="47.1" customHeight="1">
      <c r="B271" s="538"/>
      <c r="C271" s="495"/>
      <c r="D271" s="495"/>
      <c r="E271" s="495"/>
      <c r="F271" s="495"/>
      <c r="G271" s="677"/>
      <c r="H271" s="179"/>
      <c r="I271" s="183" t="s">
        <v>712</v>
      </c>
      <c r="J271" s="428"/>
      <c r="K271" s="429"/>
      <c r="L271" s="430"/>
      <c r="Q271" s="19"/>
    </row>
    <row r="272" spans="2:17" ht="114" customHeight="1">
      <c r="B272" s="230" t="s">
        <v>90</v>
      </c>
      <c r="C272" s="495" t="s">
        <v>91</v>
      </c>
      <c r="D272" s="495"/>
      <c r="E272" s="495"/>
      <c r="F272" s="495"/>
      <c r="G272" s="224"/>
      <c r="H272" s="179"/>
      <c r="I272" s="181" t="s">
        <v>711</v>
      </c>
      <c r="J272" s="418"/>
      <c r="K272" s="419"/>
      <c r="L272" s="420"/>
      <c r="Q272" s="19" t="s">
        <v>255</v>
      </c>
    </row>
    <row r="273" spans="2:17" ht="18">
      <c r="B273" s="410" t="s">
        <v>92</v>
      </c>
      <c r="C273" s="411"/>
      <c r="D273" s="411"/>
      <c r="E273" s="411"/>
      <c r="F273" s="411"/>
      <c r="G273" s="411"/>
      <c r="H273" s="411"/>
      <c r="I273" s="411"/>
      <c r="J273" s="411"/>
      <c r="K273" s="411"/>
      <c r="L273" s="412"/>
    </row>
    <row r="274" spans="2:17" ht="33.950000000000003" customHeight="1">
      <c r="B274" s="230" t="s">
        <v>93</v>
      </c>
      <c r="C274" s="407" t="s">
        <v>584</v>
      </c>
      <c r="D274" s="408"/>
      <c r="E274" s="408"/>
      <c r="F274" s="409"/>
      <c r="G274" s="228"/>
      <c r="H274" s="199"/>
      <c r="I274" s="502" t="s">
        <v>710</v>
      </c>
      <c r="J274" s="428"/>
      <c r="K274" s="429"/>
      <c r="L274" s="430"/>
      <c r="Q274" s="19" t="s">
        <v>256</v>
      </c>
    </row>
    <row r="275" spans="2:17" ht="33.950000000000003" customHeight="1">
      <c r="B275" s="230" t="s">
        <v>93</v>
      </c>
      <c r="C275" s="407" t="s">
        <v>94</v>
      </c>
      <c r="D275" s="408"/>
      <c r="E275" s="408"/>
      <c r="F275" s="409"/>
      <c r="G275" s="227"/>
      <c r="H275" s="202"/>
      <c r="I275" s="503"/>
      <c r="J275" s="418"/>
      <c r="K275" s="419"/>
      <c r="L275" s="420"/>
      <c r="Q275" s="19" t="s">
        <v>256</v>
      </c>
    </row>
    <row r="276" spans="2:17" ht="33.950000000000003" customHeight="1">
      <c r="B276" s="230" t="s">
        <v>93</v>
      </c>
      <c r="C276" s="407" t="s">
        <v>95</v>
      </c>
      <c r="D276" s="408"/>
      <c r="E276" s="408"/>
      <c r="F276" s="409"/>
      <c r="G276" s="227"/>
      <c r="H276" s="199"/>
      <c r="I276" s="503"/>
      <c r="J276" s="418"/>
      <c r="K276" s="419"/>
      <c r="L276" s="420"/>
      <c r="Q276" s="19" t="s">
        <v>256</v>
      </c>
    </row>
    <row r="277" spans="2:17" ht="33.950000000000003" customHeight="1">
      <c r="B277" s="230" t="s">
        <v>93</v>
      </c>
      <c r="C277" s="407" t="s">
        <v>96</v>
      </c>
      <c r="D277" s="408"/>
      <c r="E277" s="408"/>
      <c r="F277" s="409"/>
      <c r="G277" s="227"/>
      <c r="H277" s="202"/>
      <c r="I277" s="504"/>
      <c r="J277" s="418"/>
      <c r="K277" s="419"/>
      <c r="L277" s="420"/>
      <c r="Q277" s="19" t="s">
        <v>256</v>
      </c>
    </row>
    <row r="278" spans="2:17" ht="33.950000000000003" customHeight="1">
      <c r="B278" s="505" t="s">
        <v>93</v>
      </c>
      <c r="C278" s="414" t="s">
        <v>709</v>
      </c>
      <c r="D278" s="414"/>
      <c r="E278" s="414"/>
      <c r="F278" s="414"/>
      <c r="G278" s="470"/>
      <c r="H278" s="179"/>
      <c r="I278" s="182" t="s">
        <v>570</v>
      </c>
      <c r="J278" s="421"/>
      <c r="K278" s="422"/>
      <c r="L278" s="423"/>
      <c r="Q278" s="19" t="s">
        <v>256</v>
      </c>
    </row>
    <row r="279" spans="2:17" ht="33.950000000000003" customHeight="1">
      <c r="B279" s="506"/>
      <c r="C279" s="508"/>
      <c r="D279" s="508"/>
      <c r="E279" s="508"/>
      <c r="F279" s="508"/>
      <c r="G279" s="477"/>
      <c r="H279" s="179"/>
      <c r="I279" s="183" t="s">
        <v>784</v>
      </c>
      <c r="J279" s="428"/>
      <c r="K279" s="429"/>
      <c r="L279" s="430"/>
      <c r="Q279" s="19"/>
    </row>
    <row r="280" spans="2:17" ht="55.5" customHeight="1">
      <c r="B280" s="506"/>
      <c r="C280" s="508"/>
      <c r="D280" s="508"/>
      <c r="E280" s="508"/>
      <c r="F280" s="508"/>
      <c r="G280" s="225" t="str">
        <f>IF(AND(H280="      Same State Satellite Location(s)",J280&lt;&gt;""), "Not Met",IF(AND(H280="      Same State Satellite Location(s)",J280=""),"Met","N/A"))</f>
        <v>N/A</v>
      </c>
      <c r="H280" s="458" t="str">
        <f>IF('Satellite(s)'!$H$6&lt;&gt;"N/A","      Same state satellite location(s)","      No same state satellite location(s)")</f>
        <v xml:space="preserve">      No same state satellite location(s)</v>
      </c>
      <c r="I280" s="459"/>
      <c r="J280" s="437" t="str" cm="1">
        <f t="array" ref="J280">_xlfn.TEXTJOIN("
",TRUE,IF('Satellite(s)'!F34:AB34="Not Met",'Satellite(s)'!F35:AB35,""))</f>
        <v/>
      </c>
      <c r="K280" s="438"/>
      <c r="L280" s="439"/>
      <c r="Q280" s="69" t="s">
        <v>768</v>
      </c>
    </row>
    <row r="281" spans="2:17" ht="55.5" customHeight="1">
      <c r="B281" s="506"/>
      <c r="C281" s="508"/>
      <c r="D281" s="508"/>
      <c r="E281" s="508"/>
      <c r="F281" s="508"/>
      <c r="G281" s="225" t="str">
        <f>IF(AND(H281="      Out-of-state satellite location(s)",J281&lt;&gt;""), "Not Met",IF(AND(H281="      Out-of-state satellite location(s)",J281=""),"Met","N/A"))</f>
        <v>N/A</v>
      </c>
      <c r="H281" s="458" t="str">
        <f>IF('Satellite(s)'!$H$7&lt;&gt;"N/A","      Out-of-state satellite location(s)","      No out-of-state satellite location(s)")</f>
        <v xml:space="preserve">      No out-of-state satellite location(s)</v>
      </c>
      <c r="I281" s="459"/>
      <c r="J281" s="437" t="str" cm="1">
        <f t="array" ref="J281">_xlfn.TEXTJOIN("
",TRUE,IF('Satellite(s)'!F81:L81="Not Met",'Satellite(s)'!F82:L82,""))</f>
        <v/>
      </c>
      <c r="K281" s="438"/>
      <c r="L281" s="439"/>
      <c r="Q281" s="69" t="s">
        <v>769</v>
      </c>
    </row>
    <row r="282" spans="2:17" ht="55.5" customHeight="1">
      <c r="B282" s="507"/>
      <c r="C282" s="509"/>
      <c r="D282" s="509"/>
      <c r="E282" s="509"/>
      <c r="F282" s="509"/>
      <c r="G282" s="225" t="str">
        <f>IF(AND(H282="      Not Approved Satellite Location(s)",J282&lt;&gt;""), "Not Met",IF(AND(H282="      Not Approved Satellite Location(s)",J282=""),"Met","N/A"))</f>
        <v>N/A</v>
      </c>
      <c r="H282" s="458" t="str">
        <f>IF('Satellite(s)'!$H$8&lt;&gt;"","      Not approved satellite location(s)","      No unapproved satellite location(s)")</f>
        <v xml:space="preserve">      No unapproved satellite location(s)</v>
      </c>
      <c r="I282" s="459"/>
      <c r="J282" s="437" t="str" cm="1">
        <f t="array" ref="J282">_xlfn.TEXTJOIN("
",TRUE,IF('Satellite(s)'!F128:L128="Not Met",'Satellite(s)'!F129:L129,""))</f>
        <v/>
      </c>
      <c r="K282" s="438"/>
      <c r="L282" s="439"/>
      <c r="Q282" s="69" t="s">
        <v>770</v>
      </c>
    </row>
    <row r="283" spans="2:17" ht="18">
      <c r="B283" s="410" t="s">
        <v>99</v>
      </c>
      <c r="C283" s="411"/>
      <c r="D283" s="411"/>
      <c r="E283" s="411"/>
      <c r="F283" s="411"/>
      <c r="G283" s="411"/>
      <c r="H283" s="411"/>
      <c r="I283" s="411"/>
      <c r="J283" s="411"/>
      <c r="K283" s="411"/>
      <c r="L283" s="412"/>
    </row>
    <row r="284" spans="2:17" ht="39" customHeight="1">
      <c r="B284" s="496" t="s">
        <v>100</v>
      </c>
      <c r="C284" s="413" t="s">
        <v>222</v>
      </c>
      <c r="D284" s="414"/>
      <c r="E284" s="414"/>
      <c r="F284" s="415"/>
      <c r="G284" s="470"/>
      <c r="H284" s="203"/>
      <c r="I284" s="182" t="s">
        <v>513</v>
      </c>
      <c r="J284" s="421"/>
      <c r="K284" s="422"/>
      <c r="L284" s="423"/>
      <c r="Q284" s="19" t="s">
        <v>257</v>
      </c>
    </row>
    <row r="285" spans="2:17" ht="39" customHeight="1">
      <c r="B285" s="496"/>
      <c r="C285" s="516"/>
      <c r="D285" s="508"/>
      <c r="E285" s="508"/>
      <c r="F285" s="517"/>
      <c r="G285" s="471"/>
      <c r="H285" s="203"/>
      <c r="I285" s="182" t="s">
        <v>572</v>
      </c>
      <c r="J285" s="463"/>
      <c r="K285" s="464"/>
      <c r="L285" s="465"/>
    </row>
    <row r="286" spans="2:17" ht="39" customHeight="1">
      <c r="B286" s="496"/>
      <c r="C286" s="516"/>
      <c r="D286" s="508"/>
      <c r="E286" s="508"/>
      <c r="F286" s="517"/>
      <c r="G286" s="471"/>
      <c r="H286" s="203"/>
      <c r="I286" s="182" t="s">
        <v>571</v>
      </c>
      <c r="J286" s="463"/>
      <c r="K286" s="464"/>
      <c r="L286" s="465"/>
    </row>
    <row r="287" spans="2:17" ht="39" customHeight="1">
      <c r="B287" s="496"/>
      <c r="C287" s="518"/>
      <c r="D287" s="509"/>
      <c r="E287" s="509"/>
      <c r="F287" s="519"/>
      <c r="G287" s="477"/>
      <c r="H287" s="203"/>
      <c r="I287" s="182" t="s">
        <v>512</v>
      </c>
      <c r="J287" s="428"/>
      <c r="K287" s="429"/>
      <c r="L287" s="430"/>
    </row>
    <row r="288" spans="2:17" ht="20.25" customHeight="1">
      <c r="B288" s="410" t="s">
        <v>101</v>
      </c>
      <c r="C288" s="411"/>
      <c r="D288" s="411"/>
      <c r="E288" s="411"/>
      <c r="F288" s="411"/>
      <c r="G288" s="411"/>
      <c r="H288" s="411"/>
      <c r="I288" s="411"/>
      <c r="J288" s="411"/>
      <c r="K288" s="411"/>
      <c r="L288" s="412"/>
    </row>
    <row r="289" spans="2:105" ht="83.25" customHeight="1">
      <c r="B289" s="219" t="s">
        <v>102</v>
      </c>
      <c r="C289" s="407" t="s">
        <v>223</v>
      </c>
      <c r="D289" s="408"/>
      <c r="E289" s="408"/>
      <c r="F289" s="409"/>
      <c r="G289" s="228"/>
      <c r="H289" s="195"/>
      <c r="I289" s="204" t="s">
        <v>573</v>
      </c>
      <c r="J289" s="428"/>
      <c r="K289" s="429"/>
      <c r="L289" s="430"/>
      <c r="Q289" s="19" t="s">
        <v>258</v>
      </c>
    </row>
    <row r="290" spans="2:105" s="146" customFormat="1" ht="27" customHeight="1">
      <c r="B290" s="499" t="str">
        <f>IF('Cover Page'!$D$8&lt;&gt;"Please Select",'Cover Page'!$D$8, "Select Program Level on the Cover Page tab")</f>
        <v>Select Program Level on the Cover Page tab</v>
      </c>
      <c r="C290" s="500"/>
      <c r="D290" s="500"/>
      <c r="E290" s="500"/>
      <c r="F290" s="500"/>
      <c r="G290" s="500"/>
      <c r="H290" s="500"/>
      <c r="I290" s="500"/>
      <c r="J290" s="500"/>
      <c r="K290" s="500"/>
      <c r="L290" s="501"/>
      <c r="Q290" s="283"/>
    </row>
    <row r="291" spans="2:105" ht="20.25" customHeight="1">
      <c r="B291" s="488" t="s">
        <v>484</v>
      </c>
      <c r="C291" s="489"/>
      <c r="D291" s="489"/>
      <c r="E291" s="489"/>
      <c r="F291" s="489"/>
      <c r="G291" s="489"/>
      <c r="H291" s="489"/>
      <c r="I291" s="489"/>
      <c r="J291" s="489"/>
      <c r="K291" s="489"/>
      <c r="L291" s="490"/>
    </row>
    <row r="292" spans="2:105" ht="38.85" customHeight="1">
      <c r="B292" s="478" t="s">
        <v>575</v>
      </c>
      <c r="C292" s="491"/>
      <c r="D292" s="491"/>
      <c r="E292" s="491"/>
      <c r="F292" s="492"/>
      <c r="G292" s="236" t="s">
        <v>119</v>
      </c>
      <c r="H292" s="73"/>
      <c r="I292" s="112" t="s">
        <v>119</v>
      </c>
      <c r="J292" s="112">
        <v>1</v>
      </c>
      <c r="K292" s="112">
        <v>2</v>
      </c>
      <c r="L292" s="112">
        <v>3</v>
      </c>
      <c r="M292" s="113">
        <v>4</v>
      </c>
      <c r="N292" s="113">
        <v>5</v>
      </c>
      <c r="O292" s="113">
        <v>6</v>
      </c>
      <c r="P292" s="113">
        <v>7</v>
      </c>
      <c r="Q292" s="287"/>
      <c r="R292" s="110">
        <v>9</v>
      </c>
      <c r="S292" s="110">
        <v>10</v>
      </c>
      <c r="T292" s="110">
        <v>11</v>
      </c>
      <c r="U292" s="110">
        <v>12</v>
      </c>
    </row>
    <row r="293" spans="2:105" ht="36" customHeight="1">
      <c r="B293" s="478" t="s">
        <v>661</v>
      </c>
      <c r="C293" s="479"/>
      <c r="D293" s="479"/>
      <c r="E293" s="479"/>
      <c r="F293" s="480"/>
      <c r="G293" s="236" t="s">
        <v>119</v>
      </c>
      <c r="H293" s="73"/>
      <c r="I293" s="112" t="s">
        <v>119</v>
      </c>
      <c r="J293" s="112">
        <v>1</v>
      </c>
      <c r="K293" s="112">
        <v>2</v>
      </c>
      <c r="L293" s="112">
        <v>3</v>
      </c>
      <c r="M293" s="113">
        <v>4</v>
      </c>
      <c r="N293" s="113">
        <v>5</v>
      </c>
      <c r="O293" s="113">
        <v>6</v>
      </c>
      <c r="P293" s="113">
        <v>7</v>
      </c>
      <c r="Q293" s="287"/>
      <c r="R293" s="110">
        <v>9</v>
      </c>
      <c r="S293" s="110">
        <v>10</v>
      </c>
      <c r="T293" s="110">
        <v>11</v>
      </c>
      <c r="U293" s="110">
        <v>12</v>
      </c>
    </row>
    <row r="294" spans="2:105" ht="53.25" customHeight="1">
      <c r="B294" s="452" t="s">
        <v>574</v>
      </c>
      <c r="C294" s="453"/>
      <c r="D294" s="453"/>
      <c r="E294" s="453"/>
      <c r="F294" s="454"/>
      <c r="G294" s="236" t="s">
        <v>119</v>
      </c>
      <c r="H294" s="116"/>
      <c r="I294" s="117"/>
      <c r="J294" s="115"/>
      <c r="K294" s="116"/>
      <c r="L294" s="116"/>
    </row>
    <row r="295" spans="2:105" s="213" customFormat="1" ht="34.700000000000003" customHeight="1">
      <c r="B295" s="486" t="str">
        <f>IF(G294&lt;&gt;"N/A", "Number of satellite locations not approved:","")</f>
        <v/>
      </c>
      <c r="C295" s="486"/>
      <c r="D295" s="486"/>
      <c r="E295" s="486"/>
      <c r="F295" s="486"/>
      <c r="G295" s="276"/>
      <c r="H295" s="237"/>
      <c r="I295" s="238"/>
      <c r="J295" s="239"/>
      <c r="K295" s="237"/>
      <c r="L295" s="237"/>
      <c r="Q295" s="284"/>
    </row>
    <row r="296" spans="2:105" s="213" customFormat="1">
      <c r="Q296" s="284"/>
    </row>
    <row r="297" spans="2:105" ht="20.25" customHeight="1">
      <c r="B297" s="476" t="str">
        <f>IF(AND('Satellite(s)'!M4&gt;0, B300&lt;&gt;""),"Complete the Consortium Addendum (row 300 below) as well as the Satellite(s) tab",IF(AND('Satellite(s)'!M4&gt;0,B300=""),"Select the Satellite(s) tab to complete the Satellite Addendum",IF(AND('Satellite(s)'!M4=0,B300&lt;&gt;""),"Complete the Consortium Addendum (row 300 below)", "The Site Visit Report is Completed")))</f>
        <v>The Site Visit Report is Completed</v>
      </c>
      <c r="C297" s="476"/>
      <c r="D297" s="476"/>
      <c r="E297" s="476"/>
      <c r="F297" s="476"/>
      <c r="G297" s="476"/>
      <c r="H297" s="476"/>
      <c r="I297" s="476"/>
      <c r="J297" s="476"/>
      <c r="K297" s="476"/>
      <c r="L297" s="476"/>
    </row>
    <row r="300" spans="2:105" ht="26.25">
      <c r="B300" s="675" t="str">
        <f>IF(LEFT(C11,5)="I.A.5", "Consortium Addendum (site visit checklist)","")</f>
        <v/>
      </c>
      <c r="C300" s="675"/>
      <c r="D300" s="675"/>
      <c r="E300" s="675"/>
      <c r="F300" s="675"/>
      <c r="G300" s="675"/>
      <c r="H300" s="675"/>
      <c r="I300" s="675"/>
      <c r="J300" s="675"/>
      <c r="K300" s="675"/>
      <c r="L300" s="675"/>
    </row>
    <row r="301" spans="2:105">
      <c r="B301" s="146"/>
      <c r="C301" s="146"/>
      <c r="D301" s="146"/>
      <c r="E301" s="146"/>
      <c r="F301" s="146"/>
      <c r="G301" s="146"/>
      <c r="H301" s="146"/>
      <c r="I301" s="146"/>
      <c r="J301" s="146"/>
      <c r="K301" s="146"/>
      <c r="L301" s="146"/>
    </row>
    <row r="302" spans="2:105" s="7" customFormat="1" ht="42.75" customHeight="1">
      <c r="B302" s="450" t="str">
        <f>IF(B300&lt;&gt;"", "Does the consortium name match the name on file with the CoAEMSP?","")</f>
        <v/>
      </c>
      <c r="C302" s="450"/>
      <c r="D302" s="450"/>
      <c r="E302" s="450"/>
      <c r="F302" s="450"/>
      <c r="G302" s="150"/>
      <c r="H302" s="151"/>
      <c r="I302" s="151"/>
      <c r="J302" s="151"/>
      <c r="K302" s="151"/>
      <c r="L302" s="151"/>
      <c r="M302" s="52"/>
      <c r="N302" s="52"/>
      <c r="O302" s="52"/>
      <c r="P302" s="52"/>
      <c r="Q302" s="271"/>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52"/>
      <c r="CD302" s="52"/>
      <c r="CE302" s="52"/>
      <c r="CF302" s="52"/>
      <c r="CG302" s="52"/>
      <c r="CH302" s="52"/>
      <c r="CI302" s="52"/>
      <c r="CJ302" s="52"/>
      <c r="CK302" s="52"/>
      <c r="CL302" s="52"/>
      <c r="CM302" s="52"/>
      <c r="CN302" s="52"/>
      <c r="CO302" s="52"/>
      <c r="CP302" s="52"/>
      <c r="CQ302" s="52"/>
      <c r="CR302" s="52"/>
      <c r="CS302" s="52"/>
      <c r="CT302" s="52"/>
      <c r="CU302" s="52"/>
      <c r="CV302" s="52"/>
      <c r="CW302" s="52"/>
      <c r="CX302" s="52"/>
      <c r="CY302" s="52"/>
      <c r="CZ302" s="52"/>
      <c r="DA302" s="52"/>
    </row>
    <row r="303" spans="2:105" ht="21.75" customHeight="1">
      <c r="B303" s="448" t="str">
        <f>IF(B300&lt;&gt;"", "Consortium Name on file with the CoAEMSP:","")</f>
        <v/>
      </c>
      <c r="C303" s="448"/>
      <c r="D303" s="448"/>
      <c r="E303" s="448"/>
      <c r="F303" s="482" t="str">
        <f>IF(B300&lt;&gt;"",'Cover Page'!D12, "")</f>
        <v/>
      </c>
      <c r="G303" s="482"/>
      <c r="H303" s="482"/>
      <c r="I303" s="482"/>
      <c r="J303" s="482"/>
      <c r="K303" s="482"/>
      <c r="L303" s="146"/>
    </row>
    <row r="304" spans="2:105">
      <c r="B304" s="146"/>
      <c r="C304" s="146"/>
      <c r="D304" s="146"/>
      <c r="E304" s="146"/>
      <c r="F304" s="146"/>
      <c r="G304" s="146"/>
      <c r="H304" s="146"/>
      <c r="I304" s="146"/>
      <c r="J304" s="146"/>
      <c r="K304" s="146"/>
      <c r="L304" s="146"/>
    </row>
    <row r="305" spans="2:16" ht="21.75" customHeight="1">
      <c r="B305" s="448" t="str">
        <f>IF(G302="No", "Consortium Name Program Uses:","")</f>
        <v/>
      </c>
      <c r="C305" s="448"/>
      <c r="D305" s="448"/>
      <c r="E305" s="448"/>
      <c r="F305" s="449"/>
      <c r="G305" s="449"/>
      <c r="H305" s="449"/>
      <c r="I305" s="449"/>
      <c r="J305" s="449"/>
      <c r="K305" s="449"/>
      <c r="L305" s="146"/>
      <c r="P305" s="51"/>
    </row>
    <row r="306" spans="2:16">
      <c r="B306" s="146"/>
      <c r="C306" s="146"/>
      <c r="D306" s="146"/>
      <c r="E306" s="146"/>
      <c r="F306" s="146"/>
      <c r="G306" s="146"/>
      <c r="H306" s="146"/>
      <c r="I306" s="146"/>
      <c r="J306" s="146"/>
      <c r="K306" s="146"/>
      <c r="L306" s="146"/>
    </row>
    <row r="307" spans="2:16">
      <c r="B307" s="146"/>
      <c r="C307" s="146"/>
      <c r="D307" s="146"/>
      <c r="E307" s="146"/>
      <c r="F307" s="146"/>
      <c r="G307" s="146"/>
      <c r="H307" s="146"/>
      <c r="I307" s="146"/>
      <c r="J307" s="146"/>
      <c r="K307" s="146"/>
      <c r="L307" s="146"/>
    </row>
    <row r="308" spans="2:16" ht="30.75" customHeight="1">
      <c r="B308" s="484" t="str">
        <f>IF(B300&lt;&gt;"", "List the member organizations of the consortium.  Indicate whether or not each member organization meets Standard I.A. (either paragraph 1,2,3,4,).","")</f>
        <v/>
      </c>
      <c r="C308" s="484"/>
      <c r="D308" s="484"/>
      <c r="E308" s="484"/>
      <c r="F308" s="484"/>
      <c r="G308" s="484"/>
      <c r="H308" s="484"/>
      <c r="I308" s="484"/>
      <c r="J308" s="484"/>
      <c r="K308" s="484"/>
      <c r="L308" s="484"/>
    </row>
    <row r="309" spans="2:16" ht="19.5" customHeight="1">
      <c r="B309" s="146"/>
      <c r="C309" s="485" t="str">
        <f>IF(B300&lt;&gt;"", "          Member Organization","")</f>
        <v/>
      </c>
      <c r="D309" s="485"/>
      <c r="E309" s="485"/>
      <c r="F309" s="485"/>
      <c r="G309" s="485"/>
      <c r="H309" s="485"/>
      <c r="I309" s="485"/>
      <c r="J309" s="152"/>
      <c r="K309" s="153" t="str">
        <f>IF(B300&lt;&gt;"", "Meets Standard I.A","")</f>
        <v/>
      </c>
      <c r="L309" s="146"/>
    </row>
    <row r="310" spans="2:16" ht="20.25" customHeight="1">
      <c r="B310" s="154" t="str">
        <f>IF(B300&lt;&gt;"", "1)  ","")</f>
        <v/>
      </c>
      <c r="C310" s="449"/>
      <c r="D310" s="449"/>
      <c r="E310" s="449"/>
      <c r="F310" s="449"/>
      <c r="G310" s="449"/>
      <c r="H310" s="449"/>
      <c r="I310" s="449"/>
      <c r="J310" s="146"/>
      <c r="K310" s="150"/>
      <c r="L310" s="146"/>
    </row>
    <row r="311" spans="2:16" ht="20.25" customHeight="1">
      <c r="B311" s="154" t="str">
        <f>IF(B300&lt;&gt;"", "2)  ","")</f>
        <v/>
      </c>
      <c r="C311" s="449"/>
      <c r="D311" s="449"/>
      <c r="E311" s="449"/>
      <c r="F311" s="449"/>
      <c r="G311" s="449"/>
      <c r="H311" s="449"/>
      <c r="I311" s="449"/>
      <c r="J311" s="146"/>
      <c r="K311" s="150"/>
      <c r="L311" s="146"/>
    </row>
    <row r="312" spans="2:16" ht="20.25" customHeight="1">
      <c r="B312" s="154" t="str">
        <f>IF(B300&lt;&gt;"", "3)  ","")</f>
        <v/>
      </c>
      <c r="C312" s="449"/>
      <c r="D312" s="449"/>
      <c r="E312" s="449"/>
      <c r="F312" s="449"/>
      <c r="G312" s="449"/>
      <c r="H312" s="449"/>
      <c r="I312" s="449"/>
      <c r="J312" s="146"/>
      <c r="K312" s="150"/>
      <c r="L312" s="146"/>
    </row>
    <row r="313" spans="2:16">
      <c r="B313" s="154"/>
      <c r="C313" s="146"/>
      <c r="D313" s="146"/>
      <c r="E313" s="146"/>
      <c r="F313" s="146"/>
      <c r="G313" s="146"/>
      <c r="H313" s="146"/>
      <c r="I313" s="146"/>
      <c r="J313" s="146"/>
      <c r="K313" s="146"/>
      <c r="L313" s="146"/>
    </row>
    <row r="314" spans="2:16">
      <c r="B314" s="146"/>
      <c r="C314" s="146"/>
      <c r="D314" s="146"/>
      <c r="E314" s="146"/>
      <c r="F314" s="146"/>
      <c r="G314" s="146"/>
      <c r="H314" s="146"/>
      <c r="I314" s="146"/>
      <c r="J314" s="146"/>
      <c r="K314" s="146"/>
      <c r="L314" s="146"/>
    </row>
    <row r="315" spans="2:16">
      <c r="B315" s="146"/>
      <c r="C315" s="146"/>
      <c r="D315" s="146"/>
      <c r="E315" s="146"/>
      <c r="F315" s="146"/>
      <c r="G315" s="146"/>
      <c r="H315" s="146"/>
      <c r="I315" s="146"/>
      <c r="J315" s="146"/>
      <c r="K315" s="146"/>
      <c r="L315" s="146"/>
    </row>
    <row r="316" spans="2:16" ht="25.5" customHeight="1">
      <c r="B316" s="481" t="str">
        <f>IF(B300&lt;&gt;"", "Decision Making Board / Governing Committee","")</f>
        <v/>
      </c>
      <c r="C316" s="481"/>
      <c r="D316" s="481"/>
      <c r="E316" s="481"/>
      <c r="F316" s="481"/>
      <c r="G316" s="481"/>
      <c r="H316" s="481"/>
      <c r="I316" s="481"/>
      <c r="J316" s="481"/>
      <c r="K316" s="481"/>
      <c r="L316" s="481"/>
    </row>
    <row r="317" spans="2:16" ht="25.5" customHeight="1">
      <c r="B317" s="155"/>
      <c r="C317" s="483" t="str">
        <f>IF(B300&lt;&gt;"", "Name / Title","")</f>
        <v/>
      </c>
      <c r="D317" s="483"/>
      <c r="E317" s="483"/>
      <c r="F317" s="483"/>
      <c r="G317" s="483"/>
      <c r="H317" s="483"/>
      <c r="I317" s="483" t="str">
        <f>IF(B300&lt;&gt;"", "Member Organization Represented","")</f>
        <v/>
      </c>
      <c r="J317" s="483"/>
      <c r="K317" s="483"/>
      <c r="L317" s="483"/>
    </row>
    <row r="318" spans="2:16" ht="18.75" customHeight="1">
      <c r="B318" s="156" t="str">
        <f>IF(B300&lt;&gt;"", "CEO/Chair:","")</f>
        <v/>
      </c>
      <c r="C318" s="445"/>
      <c r="D318" s="445"/>
      <c r="E318" s="445"/>
      <c r="F318" s="445"/>
      <c r="G318" s="445"/>
      <c r="H318" s="445"/>
      <c r="I318" s="449"/>
      <c r="J318" s="449"/>
      <c r="K318" s="449"/>
      <c r="L318" s="449"/>
    </row>
    <row r="319" spans="2:16" ht="18" customHeight="1">
      <c r="B319" s="156" t="str">
        <f>IF(B300&lt;&gt;"", "Members:","")</f>
        <v/>
      </c>
      <c r="C319" s="445"/>
      <c r="D319" s="445"/>
      <c r="E319" s="445"/>
      <c r="F319" s="445"/>
      <c r="G319" s="445"/>
      <c r="H319" s="445"/>
      <c r="I319" s="449"/>
      <c r="J319" s="449"/>
      <c r="K319" s="449"/>
      <c r="L319" s="449"/>
    </row>
    <row r="320" spans="2:16" ht="18" customHeight="1">
      <c r="B320" s="146"/>
      <c r="C320" s="445"/>
      <c r="D320" s="445"/>
      <c r="E320" s="445"/>
      <c r="F320" s="445"/>
      <c r="G320" s="445"/>
      <c r="H320" s="445"/>
      <c r="I320" s="449"/>
      <c r="J320" s="449"/>
      <c r="K320" s="449"/>
      <c r="L320" s="449"/>
    </row>
    <row r="321" spans="2:105" ht="18" customHeight="1">
      <c r="B321" s="146"/>
      <c r="C321" s="445"/>
      <c r="D321" s="445"/>
      <c r="E321" s="445"/>
      <c r="F321" s="445"/>
      <c r="G321" s="445"/>
      <c r="H321" s="445"/>
      <c r="I321" s="449"/>
      <c r="J321" s="449"/>
      <c r="K321" s="449"/>
      <c r="L321" s="449"/>
    </row>
    <row r="322" spans="2:105" ht="18" customHeight="1">
      <c r="B322" s="146"/>
      <c r="C322" s="445"/>
      <c r="D322" s="445"/>
      <c r="E322" s="445"/>
      <c r="F322" s="445"/>
      <c r="G322" s="445"/>
      <c r="H322" s="445"/>
      <c r="I322" s="449"/>
      <c r="J322" s="449"/>
      <c r="K322" s="449"/>
      <c r="L322" s="449"/>
    </row>
    <row r="323" spans="2:105" ht="18" customHeight="1">
      <c r="B323" s="146"/>
      <c r="C323" s="445"/>
      <c r="D323" s="445"/>
      <c r="E323" s="445"/>
      <c r="F323" s="445"/>
      <c r="G323" s="445"/>
      <c r="H323" s="445"/>
      <c r="I323" s="449"/>
      <c r="J323" s="449"/>
      <c r="K323" s="449"/>
      <c r="L323" s="449"/>
    </row>
    <row r="324" spans="2:105" ht="18" customHeight="1">
      <c r="B324" s="146"/>
      <c r="C324" s="445"/>
      <c r="D324" s="445"/>
      <c r="E324" s="445"/>
      <c r="F324" s="445"/>
      <c r="G324" s="445"/>
      <c r="H324" s="445"/>
      <c r="I324" s="449"/>
      <c r="J324" s="449"/>
      <c r="K324" s="449"/>
      <c r="L324" s="449"/>
    </row>
    <row r="325" spans="2:105" ht="18" customHeight="1">
      <c r="B325" s="146"/>
      <c r="C325" s="445"/>
      <c r="D325" s="445"/>
      <c r="E325" s="445"/>
      <c r="F325" s="445"/>
      <c r="G325" s="445"/>
      <c r="H325" s="445"/>
      <c r="I325" s="449"/>
      <c r="J325" s="449"/>
      <c r="K325" s="449"/>
      <c r="L325" s="449"/>
    </row>
    <row r="326" spans="2:105" ht="18" customHeight="1">
      <c r="B326" s="146"/>
      <c r="C326" s="445"/>
      <c r="D326" s="445"/>
      <c r="E326" s="445"/>
      <c r="F326" s="445"/>
      <c r="G326" s="445"/>
      <c r="H326" s="445"/>
      <c r="I326" s="449"/>
      <c r="J326" s="449"/>
      <c r="K326" s="449"/>
      <c r="L326" s="449"/>
    </row>
    <row r="327" spans="2:105" ht="18" customHeight="1">
      <c r="B327" s="146"/>
      <c r="C327" s="445"/>
      <c r="D327" s="445"/>
      <c r="E327" s="445"/>
      <c r="F327" s="445"/>
      <c r="G327" s="445"/>
      <c r="H327" s="445"/>
      <c r="I327" s="449"/>
      <c r="J327" s="449"/>
      <c r="K327" s="449"/>
      <c r="L327" s="449"/>
    </row>
    <row r="328" spans="2:105" ht="18" customHeight="1">
      <c r="B328" s="146"/>
      <c r="C328" s="445"/>
      <c r="D328" s="445"/>
      <c r="E328" s="445"/>
      <c r="F328" s="445"/>
      <c r="G328" s="445"/>
      <c r="H328" s="445"/>
      <c r="I328" s="449"/>
      <c r="J328" s="449"/>
      <c r="K328" s="449"/>
      <c r="L328" s="449"/>
    </row>
    <row r="329" spans="2:105" ht="18" customHeight="1">
      <c r="B329" s="146"/>
      <c r="C329" s="445"/>
      <c r="D329" s="445"/>
      <c r="E329" s="445"/>
      <c r="F329" s="445"/>
      <c r="G329" s="445"/>
      <c r="H329" s="445"/>
      <c r="I329" s="449"/>
      <c r="J329" s="449"/>
      <c r="K329" s="449"/>
      <c r="L329" s="449"/>
    </row>
    <row r="330" spans="2:105">
      <c r="B330" s="146"/>
      <c r="C330" s="146"/>
      <c r="D330" s="146"/>
      <c r="E330" s="146"/>
      <c r="F330" s="146"/>
      <c r="G330" s="146"/>
      <c r="H330" s="146"/>
      <c r="I330" s="146"/>
      <c r="J330" s="146"/>
      <c r="K330" s="146"/>
      <c r="L330" s="146"/>
    </row>
    <row r="331" spans="2:105">
      <c r="B331" s="146"/>
      <c r="C331" s="146"/>
      <c r="D331" s="146"/>
      <c r="E331" s="146"/>
      <c r="F331" s="146"/>
      <c r="G331" s="146"/>
      <c r="H331" s="146"/>
      <c r="I331" s="146"/>
      <c r="J331" s="146"/>
      <c r="K331" s="146"/>
      <c r="L331" s="146"/>
    </row>
    <row r="332" spans="2:105" s="7" customFormat="1" ht="30" customHeight="1">
      <c r="B332" s="450" t="str">
        <f>IF(B300&lt;&gt;"", "Does the above composition match the provision in the consortium agreement?","")</f>
        <v/>
      </c>
      <c r="C332" s="450"/>
      <c r="D332" s="450"/>
      <c r="E332" s="450"/>
      <c r="F332" s="450"/>
      <c r="G332" s="450"/>
      <c r="H332" s="450"/>
      <c r="I332" s="450"/>
      <c r="J332" s="150"/>
      <c r="K332" s="151"/>
      <c r="L332" s="151"/>
      <c r="M332" s="52"/>
      <c r="N332" s="52"/>
      <c r="O332" s="52"/>
      <c r="P332" s="52"/>
      <c r="Q332" s="271"/>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c r="CH332" s="52"/>
      <c r="CI332" s="52"/>
      <c r="CJ332" s="52"/>
      <c r="CK332" s="52"/>
      <c r="CL332" s="52"/>
      <c r="CM332" s="52"/>
      <c r="CN332" s="52"/>
      <c r="CO332" s="52"/>
      <c r="CP332" s="52"/>
      <c r="CQ332" s="52"/>
      <c r="CR332" s="52"/>
      <c r="CS332" s="52"/>
      <c r="CT332" s="52"/>
      <c r="CU332" s="52"/>
      <c r="CV332" s="52"/>
      <c r="CW332" s="52"/>
      <c r="CX332" s="52"/>
      <c r="CY332" s="52"/>
      <c r="CZ332" s="52"/>
      <c r="DA332" s="52"/>
    </row>
    <row r="333" spans="2:105">
      <c r="B333" s="146" t="str">
        <f>IF(J332="No", "Explain:","")</f>
        <v/>
      </c>
      <c r="C333" s="146"/>
      <c r="D333" s="146"/>
      <c r="E333" s="146"/>
      <c r="F333" s="146"/>
      <c r="G333" s="146"/>
      <c r="H333" s="146"/>
      <c r="I333" s="146"/>
      <c r="J333" s="146"/>
      <c r="K333" s="146"/>
      <c r="L333" s="146"/>
    </row>
    <row r="334" spans="2:105" ht="70.5" customHeight="1">
      <c r="B334" s="446"/>
      <c r="C334" s="446"/>
      <c r="D334" s="446"/>
      <c r="E334" s="446"/>
      <c r="F334" s="446"/>
      <c r="G334" s="446"/>
      <c r="H334" s="446"/>
      <c r="I334" s="446"/>
      <c r="J334" s="446"/>
      <c r="K334" s="446"/>
      <c r="L334" s="446"/>
    </row>
    <row r="335" spans="2:105" ht="7.5" customHeight="1">
      <c r="B335" s="146"/>
      <c r="C335" s="146"/>
      <c r="D335" s="146"/>
      <c r="E335" s="146"/>
      <c r="F335" s="146"/>
      <c r="G335" s="146"/>
      <c r="H335" s="146"/>
      <c r="I335" s="146"/>
      <c r="J335" s="146"/>
      <c r="K335" s="146"/>
      <c r="L335" s="146"/>
    </row>
    <row r="336" spans="2:105" s="7" customFormat="1" ht="30" customHeight="1">
      <c r="B336" s="450" t="str">
        <f>IF(B300&lt;&gt;"", "Is there a separate Advisory Committee for the program?","")</f>
        <v/>
      </c>
      <c r="C336" s="450"/>
      <c r="D336" s="450"/>
      <c r="E336" s="450"/>
      <c r="F336" s="450"/>
      <c r="G336" s="450"/>
      <c r="H336" s="450"/>
      <c r="I336" s="450"/>
      <c r="J336" s="150"/>
      <c r="K336" s="151"/>
      <c r="L336" s="151"/>
      <c r="M336" s="52"/>
      <c r="N336" s="52"/>
      <c r="O336" s="52"/>
      <c r="P336" s="52"/>
      <c r="Q336" s="271"/>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52"/>
      <c r="CD336" s="52"/>
      <c r="CE336" s="52"/>
      <c r="CF336" s="52"/>
      <c r="CG336" s="52"/>
      <c r="CH336" s="52"/>
      <c r="CI336" s="52"/>
      <c r="CJ336" s="52"/>
      <c r="CK336" s="52"/>
      <c r="CL336" s="52"/>
      <c r="CM336" s="52"/>
      <c r="CN336" s="52"/>
      <c r="CO336" s="52"/>
      <c r="CP336" s="52"/>
      <c r="CQ336" s="52"/>
      <c r="CR336" s="52"/>
      <c r="CS336" s="52"/>
      <c r="CT336" s="52"/>
      <c r="CU336" s="52"/>
      <c r="CV336" s="52"/>
      <c r="CW336" s="52"/>
      <c r="CX336" s="52"/>
      <c r="CY336" s="52"/>
      <c r="CZ336" s="52"/>
      <c r="DA336" s="52"/>
    </row>
    <row r="337" spans="2:105" ht="7.5" customHeight="1">
      <c r="B337" s="146"/>
      <c r="C337" s="146"/>
      <c r="D337" s="146"/>
      <c r="E337" s="146"/>
      <c r="F337" s="146"/>
      <c r="G337" s="146"/>
      <c r="H337" s="146"/>
      <c r="I337" s="146"/>
      <c r="J337" s="146"/>
      <c r="K337" s="146"/>
      <c r="L337" s="146"/>
    </row>
    <row r="338" spans="2:105" s="7" customFormat="1" ht="30" customHeight="1">
      <c r="B338" s="450" t="str">
        <f>IF(B300&lt;&gt;"", "Does the organizational chart on-site match the one presented in the self-study report?","")</f>
        <v/>
      </c>
      <c r="C338" s="450"/>
      <c r="D338" s="450"/>
      <c r="E338" s="450"/>
      <c r="F338" s="450"/>
      <c r="G338" s="450"/>
      <c r="H338" s="450"/>
      <c r="I338" s="450"/>
      <c r="J338" s="150"/>
      <c r="K338" s="151"/>
      <c r="L338" s="151"/>
      <c r="M338" s="52"/>
      <c r="N338" s="52"/>
      <c r="O338" s="52"/>
      <c r="P338" s="52"/>
      <c r="Q338" s="271"/>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c r="CH338" s="52"/>
      <c r="CI338" s="52"/>
      <c r="CJ338" s="52"/>
      <c r="CK338" s="52"/>
      <c r="CL338" s="52"/>
      <c r="CM338" s="52"/>
      <c r="CN338" s="52"/>
      <c r="CO338" s="52"/>
      <c r="CP338" s="52"/>
      <c r="CQ338" s="52"/>
      <c r="CR338" s="52"/>
      <c r="CS338" s="52"/>
      <c r="CT338" s="52"/>
      <c r="CU338" s="52"/>
      <c r="CV338" s="52"/>
      <c r="CW338" s="52"/>
      <c r="CX338" s="52"/>
      <c r="CY338" s="52"/>
      <c r="CZ338" s="52"/>
      <c r="DA338" s="52"/>
    </row>
    <row r="339" spans="2:105">
      <c r="B339" s="146" t="str">
        <f>IF(J338="No", "Explain:","")</f>
        <v/>
      </c>
      <c r="C339" s="146"/>
      <c r="D339" s="146"/>
      <c r="E339" s="146"/>
      <c r="F339" s="146"/>
      <c r="G339" s="146"/>
      <c r="H339" s="146"/>
      <c r="I339" s="146"/>
      <c r="J339" s="146"/>
      <c r="K339" s="146"/>
      <c r="L339" s="146"/>
    </row>
    <row r="340" spans="2:105" ht="70.5" customHeight="1">
      <c r="B340" s="446"/>
      <c r="C340" s="446"/>
      <c r="D340" s="446"/>
      <c r="E340" s="446"/>
      <c r="F340" s="446"/>
      <c r="G340" s="446"/>
      <c r="H340" s="446"/>
      <c r="I340" s="446"/>
      <c r="J340" s="446"/>
      <c r="K340" s="446"/>
      <c r="L340" s="446"/>
    </row>
    <row r="341" spans="2:105" ht="7.5" customHeight="1">
      <c r="B341" s="146"/>
      <c r="C341" s="146"/>
      <c r="D341" s="146"/>
      <c r="E341" s="146"/>
      <c r="F341" s="146"/>
      <c r="G341" s="146"/>
      <c r="H341" s="146"/>
      <c r="I341" s="146"/>
      <c r="J341" s="146"/>
      <c r="K341" s="146"/>
      <c r="L341" s="146"/>
    </row>
    <row r="342" spans="2:105" s="7" customFormat="1" ht="30" customHeight="1">
      <c r="B342" s="450" t="str">
        <f>IF(B300&lt;&gt;"", "Does the actual operation of the program match the lines of authority stated in the consortium agreement and organizational chart?","")</f>
        <v/>
      </c>
      <c r="C342" s="450"/>
      <c r="D342" s="450"/>
      <c r="E342" s="450"/>
      <c r="F342" s="450"/>
      <c r="G342" s="450"/>
      <c r="H342" s="450"/>
      <c r="I342" s="450"/>
      <c r="J342" s="150"/>
      <c r="K342" s="151"/>
      <c r="L342" s="151"/>
      <c r="M342" s="52"/>
      <c r="N342" s="52"/>
      <c r="O342" s="52"/>
      <c r="P342" s="52"/>
      <c r="Q342" s="271"/>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52"/>
      <c r="CD342" s="52"/>
      <c r="CE342" s="52"/>
      <c r="CF342" s="52"/>
      <c r="CG342" s="52"/>
      <c r="CH342" s="52"/>
      <c r="CI342" s="52"/>
      <c r="CJ342" s="52"/>
      <c r="CK342" s="52"/>
      <c r="CL342" s="52"/>
      <c r="CM342" s="52"/>
      <c r="CN342" s="52"/>
      <c r="CO342" s="52"/>
      <c r="CP342" s="52"/>
      <c r="CQ342" s="52"/>
      <c r="CR342" s="52"/>
      <c r="CS342" s="52"/>
      <c r="CT342" s="52"/>
      <c r="CU342" s="52"/>
      <c r="CV342" s="52"/>
      <c r="CW342" s="52"/>
      <c r="CX342" s="52"/>
      <c r="CY342" s="52"/>
      <c r="CZ342" s="52"/>
      <c r="DA342" s="52"/>
    </row>
    <row r="343" spans="2:105">
      <c r="B343" s="146" t="str">
        <f>IF(J342="No", "Explain:","")</f>
        <v/>
      </c>
      <c r="C343" s="146"/>
      <c r="D343" s="146"/>
      <c r="E343" s="146"/>
      <c r="F343" s="146"/>
      <c r="G343" s="146"/>
      <c r="H343" s="146"/>
      <c r="I343" s="146"/>
      <c r="J343" s="146"/>
      <c r="K343" s="146"/>
      <c r="L343" s="146"/>
    </row>
    <row r="344" spans="2:105" ht="70.5" customHeight="1">
      <c r="B344" s="446"/>
      <c r="C344" s="446"/>
      <c r="D344" s="446"/>
      <c r="E344" s="446"/>
      <c r="F344" s="446"/>
      <c r="G344" s="446"/>
      <c r="H344" s="446"/>
      <c r="I344" s="446"/>
      <c r="J344" s="446"/>
      <c r="K344" s="446"/>
      <c r="L344" s="446"/>
    </row>
    <row r="345" spans="2:105" ht="7.5" customHeight="1">
      <c r="B345" s="146"/>
      <c r="C345" s="146"/>
      <c r="D345" s="146"/>
      <c r="E345" s="146"/>
      <c r="F345" s="146"/>
      <c r="G345" s="146"/>
      <c r="H345" s="146"/>
      <c r="I345" s="146"/>
      <c r="J345" s="146"/>
      <c r="K345" s="146"/>
      <c r="L345" s="146"/>
    </row>
    <row r="346" spans="2:105" ht="21.75" customHeight="1">
      <c r="B346" s="487" t="str">
        <f>IF(B300&lt;&gt;"", "To whom does the program director report on a day-to-day basis?","")</f>
        <v/>
      </c>
      <c r="C346" s="487"/>
      <c r="D346" s="487"/>
      <c r="E346" s="487"/>
      <c r="F346" s="487"/>
      <c r="G346" s="487"/>
      <c r="H346" s="446"/>
      <c r="I346" s="446"/>
      <c r="J346" s="446"/>
      <c r="K346" s="446"/>
      <c r="L346" s="146"/>
    </row>
    <row r="347" spans="2:105" ht="7.5" customHeight="1">
      <c r="B347" s="146"/>
      <c r="C347" s="146"/>
      <c r="D347" s="146"/>
      <c r="E347" s="146"/>
      <c r="F347" s="146"/>
      <c r="G347" s="146"/>
      <c r="H347" s="146"/>
      <c r="I347" s="146"/>
      <c r="J347" s="146"/>
      <c r="K347" s="146"/>
      <c r="L347" s="146"/>
    </row>
    <row r="348" spans="2:105" s="7" customFormat="1" ht="30" customHeight="1">
      <c r="B348" s="450" t="str">
        <f>IF(B300&lt;&gt;"", "Are there written policies and procedures that the program follows?","")</f>
        <v/>
      </c>
      <c r="C348" s="450"/>
      <c r="D348" s="450"/>
      <c r="E348" s="450"/>
      <c r="F348" s="450"/>
      <c r="G348" s="450"/>
      <c r="H348" s="450"/>
      <c r="I348" s="450"/>
      <c r="J348" s="150"/>
      <c r="K348" s="151"/>
      <c r="L348" s="151"/>
      <c r="M348" s="52"/>
      <c r="N348" s="52"/>
      <c r="O348" s="52"/>
      <c r="P348" s="52"/>
      <c r="Q348" s="271"/>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52"/>
      <c r="CD348" s="52"/>
      <c r="CE348" s="52"/>
      <c r="CF348" s="52"/>
      <c r="CG348" s="52"/>
      <c r="CH348" s="52"/>
      <c r="CI348" s="52"/>
      <c r="CJ348" s="52"/>
      <c r="CK348" s="52"/>
      <c r="CL348" s="52"/>
      <c r="CM348" s="52"/>
      <c r="CN348" s="52"/>
      <c r="CO348" s="52"/>
      <c r="CP348" s="52"/>
      <c r="CQ348" s="52"/>
      <c r="CR348" s="52"/>
      <c r="CS348" s="52"/>
      <c r="CT348" s="52"/>
      <c r="CU348" s="52"/>
      <c r="CV348" s="52"/>
      <c r="CW348" s="52"/>
      <c r="CX348" s="52"/>
      <c r="CY348" s="52"/>
      <c r="CZ348" s="52"/>
      <c r="DA348" s="52"/>
    </row>
    <row r="349" spans="2:105">
      <c r="B349" s="146" t="str">
        <f>IF(J348="No", "Explain:","")</f>
        <v/>
      </c>
      <c r="C349" s="146"/>
      <c r="D349" s="146"/>
      <c r="E349" s="146"/>
      <c r="F349" s="146"/>
      <c r="G349" s="146"/>
      <c r="H349" s="146"/>
      <c r="I349" s="146"/>
      <c r="J349" s="146"/>
      <c r="K349" s="146"/>
      <c r="L349" s="146"/>
    </row>
    <row r="350" spans="2:105" ht="70.5" customHeight="1">
      <c r="B350" s="446"/>
      <c r="C350" s="446"/>
      <c r="D350" s="446"/>
      <c r="E350" s="446"/>
      <c r="F350" s="446"/>
      <c r="G350" s="446"/>
      <c r="H350" s="446"/>
      <c r="I350" s="446"/>
      <c r="J350" s="446"/>
      <c r="K350" s="446"/>
      <c r="L350" s="446"/>
    </row>
    <row r="351" spans="2:105" ht="7.5" customHeight="1">
      <c r="B351" s="146"/>
      <c r="C351" s="146"/>
      <c r="D351" s="146"/>
      <c r="E351" s="146"/>
      <c r="F351" s="146"/>
      <c r="G351" s="146"/>
      <c r="H351" s="146"/>
      <c r="I351" s="146"/>
      <c r="J351" s="146"/>
      <c r="K351" s="146"/>
      <c r="L351" s="146"/>
    </row>
    <row r="352" spans="2:105" s="7" customFormat="1" ht="30" customHeight="1">
      <c r="B352" s="450" t="str">
        <f>IF(B300&lt;&gt;"", "Has the governing body met at least annually?","")</f>
        <v/>
      </c>
      <c r="C352" s="450"/>
      <c r="D352" s="450"/>
      <c r="E352" s="450"/>
      <c r="F352" s="450"/>
      <c r="G352" s="450"/>
      <c r="H352" s="450"/>
      <c r="I352" s="450"/>
      <c r="J352" s="150"/>
      <c r="K352" s="151"/>
      <c r="L352" s="151"/>
      <c r="M352" s="52"/>
      <c r="N352" s="52"/>
      <c r="O352" s="52"/>
      <c r="P352" s="52"/>
      <c r="Q352" s="271"/>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52"/>
      <c r="CD352" s="52"/>
      <c r="CE352" s="52"/>
      <c r="CF352" s="52"/>
      <c r="CG352" s="52"/>
      <c r="CH352" s="52"/>
      <c r="CI352" s="52"/>
      <c r="CJ352" s="52"/>
      <c r="CK352" s="52"/>
      <c r="CL352" s="52"/>
      <c r="CM352" s="52"/>
      <c r="CN352" s="52"/>
      <c r="CO352" s="52"/>
      <c r="CP352" s="52"/>
      <c r="CQ352" s="52"/>
      <c r="CR352" s="52"/>
      <c r="CS352" s="52"/>
      <c r="CT352" s="52"/>
      <c r="CU352" s="52"/>
      <c r="CV352" s="52"/>
      <c r="CW352" s="52"/>
      <c r="CX352" s="52"/>
      <c r="CY352" s="52"/>
      <c r="CZ352" s="52"/>
      <c r="DA352" s="52"/>
    </row>
    <row r="353" spans="2:105" ht="7.5" customHeight="1">
      <c r="B353" s="146"/>
      <c r="C353" s="146"/>
      <c r="D353" s="146"/>
      <c r="E353" s="146"/>
      <c r="F353" s="146"/>
      <c r="G353" s="146"/>
      <c r="H353" s="146"/>
      <c r="I353" s="146"/>
      <c r="J353" s="146"/>
      <c r="K353" s="146"/>
      <c r="L353" s="146"/>
    </row>
    <row r="354" spans="2:105" ht="21.75" customHeight="1">
      <c r="B354" s="451" t="str">
        <f>IF(B300&lt;&gt;"", "Dates (last 3-yrs):     ","")</f>
        <v/>
      </c>
      <c r="C354" s="451"/>
      <c r="D354" s="451"/>
      <c r="E354" s="451"/>
      <c r="F354" s="451"/>
      <c r="G354" s="451"/>
      <c r="H354" s="446"/>
      <c r="I354" s="446"/>
      <c r="J354" s="446"/>
      <c r="K354" s="446"/>
      <c r="L354" s="146"/>
    </row>
    <row r="355" spans="2:105" ht="7.5" customHeight="1">
      <c r="B355" s="146"/>
      <c r="C355" s="146"/>
      <c r="D355" s="146"/>
      <c r="E355" s="146"/>
      <c r="F355" s="146"/>
      <c r="G355" s="146"/>
      <c r="H355" s="146"/>
      <c r="I355" s="146"/>
      <c r="J355" s="146"/>
      <c r="K355" s="146"/>
      <c r="L355" s="146"/>
    </row>
    <row r="356" spans="2:105" s="7" customFormat="1" ht="30" customHeight="1">
      <c r="B356" s="450" t="str">
        <f>IF(B300&lt;&gt;"", "Did you review governing body meeting minutes?","")</f>
        <v/>
      </c>
      <c r="C356" s="450"/>
      <c r="D356" s="450"/>
      <c r="E356" s="450"/>
      <c r="F356" s="450"/>
      <c r="G356" s="450"/>
      <c r="H356" s="450"/>
      <c r="I356" s="450"/>
      <c r="J356" s="150"/>
      <c r="K356" s="151"/>
      <c r="L356" s="151"/>
      <c r="M356" s="52"/>
      <c r="N356" s="52"/>
      <c r="O356" s="52"/>
      <c r="P356" s="52"/>
      <c r="Q356" s="271"/>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52"/>
      <c r="CD356" s="52"/>
      <c r="CE356" s="52"/>
      <c r="CF356" s="52"/>
      <c r="CG356" s="52"/>
      <c r="CH356" s="52"/>
      <c r="CI356" s="52"/>
      <c r="CJ356" s="52"/>
      <c r="CK356" s="52"/>
      <c r="CL356" s="52"/>
      <c r="CM356" s="52"/>
      <c r="CN356" s="52"/>
      <c r="CO356" s="52"/>
      <c r="CP356" s="52"/>
      <c r="CQ356" s="52"/>
      <c r="CR356" s="52"/>
      <c r="CS356" s="52"/>
      <c r="CT356" s="52"/>
      <c r="CU356" s="52"/>
      <c r="CV356" s="52"/>
      <c r="CW356" s="52"/>
      <c r="CX356" s="52"/>
      <c r="CY356" s="52"/>
      <c r="CZ356" s="52"/>
      <c r="DA356" s="52"/>
    </row>
    <row r="357" spans="2:105" ht="7.5" customHeight="1">
      <c r="B357" s="146"/>
      <c r="C357" s="146"/>
      <c r="D357" s="146"/>
      <c r="E357" s="146"/>
      <c r="F357" s="146"/>
      <c r="G357" s="146"/>
      <c r="H357" s="146"/>
      <c r="I357" s="146"/>
      <c r="J357" s="146"/>
      <c r="K357" s="146"/>
      <c r="L357" s="146"/>
    </row>
    <row r="358" spans="2:105" ht="21.75" customHeight="1">
      <c r="B358" s="451" t="str">
        <f>IF(B300&lt;&gt;"", "Which meetings?   ","")</f>
        <v/>
      </c>
      <c r="C358" s="451"/>
      <c r="D358" s="451"/>
      <c r="E358" s="451"/>
      <c r="F358" s="451"/>
      <c r="G358" s="451"/>
      <c r="H358" s="446"/>
      <c r="I358" s="446"/>
      <c r="J358" s="446"/>
      <c r="K358" s="446"/>
      <c r="L358" s="146"/>
    </row>
    <row r="359" spans="2:105" ht="7.5" customHeight="1">
      <c r="B359" s="146"/>
      <c r="C359" s="146"/>
      <c r="D359" s="146"/>
      <c r="E359" s="146"/>
      <c r="F359" s="146"/>
      <c r="G359" s="146"/>
      <c r="H359" s="146"/>
      <c r="I359" s="146"/>
      <c r="J359" s="146"/>
      <c r="K359" s="146"/>
      <c r="L359" s="146"/>
    </row>
    <row r="360" spans="2:105" s="7" customFormat="1" ht="24" customHeight="1">
      <c r="B360" s="447" t="str">
        <f>IF(B300&lt;&gt;"", "Do the minutes of the governing body substantiate that the consortium (i.e. sponsor) is:","")</f>
        <v/>
      </c>
      <c r="C360" s="447"/>
      <c r="D360" s="447"/>
      <c r="E360" s="447"/>
      <c r="F360" s="447"/>
      <c r="G360" s="447"/>
      <c r="H360" s="447"/>
      <c r="I360" s="447"/>
      <c r="J360" s="151"/>
      <c r="K360" s="151"/>
      <c r="L360" s="151"/>
      <c r="M360" s="52"/>
      <c r="N360" s="52"/>
      <c r="O360" s="52"/>
      <c r="P360" s="52"/>
      <c r="Q360" s="271"/>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52"/>
      <c r="CD360" s="52"/>
      <c r="CE360" s="52"/>
      <c r="CF360" s="52"/>
      <c r="CG360" s="52"/>
      <c r="CH360" s="52"/>
      <c r="CI360" s="52"/>
      <c r="CJ360" s="52"/>
      <c r="CK360" s="52"/>
      <c r="CL360" s="52"/>
      <c r="CM360" s="52"/>
      <c r="CN360" s="52"/>
      <c r="CO360" s="52"/>
      <c r="CP360" s="52"/>
      <c r="CQ360" s="52"/>
      <c r="CR360" s="52"/>
      <c r="CS360" s="52"/>
      <c r="CT360" s="52"/>
      <c r="CU360" s="52"/>
      <c r="CV360" s="52"/>
      <c r="CW360" s="52"/>
      <c r="CX360" s="52"/>
      <c r="CY360" s="52"/>
      <c r="CZ360" s="52"/>
      <c r="DA360" s="52"/>
    </row>
    <row r="361" spans="2:105" ht="21.75" customHeight="1">
      <c r="B361" s="448" t="str">
        <f>IF(B300&lt;&gt;"", "(1) meeting the accreditation requirements of the Standards?       ","")</f>
        <v/>
      </c>
      <c r="C361" s="448"/>
      <c r="D361" s="448"/>
      <c r="E361" s="448"/>
      <c r="F361" s="448"/>
      <c r="G361" s="448"/>
      <c r="H361" s="448"/>
      <c r="I361" s="448"/>
      <c r="J361" s="150"/>
      <c r="K361" s="157"/>
      <c r="L361" s="146"/>
    </row>
    <row r="362" spans="2:105" ht="21.75" customHeight="1">
      <c r="B362" s="448" t="str">
        <f>IF(B300&lt;&gt;"", "(2) meeting the provisions of the specific consortium agreement?","")</f>
        <v/>
      </c>
      <c r="C362" s="448"/>
      <c r="D362" s="448"/>
      <c r="E362" s="448"/>
      <c r="F362" s="448"/>
      <c r="G362" s="448"/>
      <c r="H362" s="448"/>
      <c r="I362" s="448"/>
      <c r="J362" s="150"/>
      <c r="K362" s="157"/>
      <c r="L362" s="146"/>
    </row>
    <row r="363" spans="2:105">
      <c r="B363" s="146"/>
      <c r="C363" s="146"/>
      <c r="D363" s="146"/>
      <c r="E363" s="146"/>
      <c r="F363" s="146"/>
      <c r="G363" s="146"/>
      <c r="H363" s="146"/>
      <c r="I363" s="146"/>
      <c r="J363" s="146"/>
      <c r="K363" s="146"/>
      <c r="L363" s="146"/>
    </row>
    <row r="364" spans="2:105">
      <c r="B364" s="475" t="str">
        <f>IF(B300&lt;&gt;"", "If no, please describe:","")</f>
        <v/>
      </c>
      <c r="C364" s="475"/>
      <c r="D364" s="475"/>
      <c r="E364" s="475"/>
      <c r="F364" s="475"/>
      <c r="G364" s="475"/>
      <c r="H364" s="146"/>
      <c r="I364" s="146"/>
      <c r="J364" s="146"/>
      <c r="K364" s="146"/>
      <c r="L364" s="146"/>
    </row>
    <row r="365" spans="2:105">
      <c r="B365" s="446"/>
      <c r="C365" s="446"/>
      <c r="D365" s="446"/>
      <c r="E365" s="446"/>
      <c r="F365" s="446"/>
      <c r="G365" s="446"/>
      <c r="H365" s="446"/>
      <c r="I365" s="446"/>
      <c r="J365" s="446"/>
      <c r="K365" s="446"/>
      <c r="L365" s="446"/>
    </row>
    <row r="366" spans="2:105">
      <c r="B366" s="446"/>
      <c r="C366" s="446"/>
      <c r="D366" s="446"/>
      <c r="E366" s="446"/>
      <c r="F366" s="446"/>
      <c r="G366" s="446"/>
      <c r="H366" s="446"/>
      <c r="I366" s="446"/>
      <c r="J366" s="446"/>
      <c r="K366" s="446"/>
      <c r="L366" s="446"/>
    </row>
    <row r="367" spans="2:105">
      <c r="B367" s="446"/>
      <c r="C367" s="446"/>
      <c r="D367" s="446"/>
      <c r="E367" s="446"/>
      <c r="F367" s="446"/>
      <c r="G367" s="446"/>
      <c r="H367" s="446"/>
      <c r="I367" s="446"/>
      <c r="J367" s="446"/>
      <c r="K367" s="446"/>
      <c r="L367" s="446"/>
    </row>
    <row r="368" spans="2:105">
      <c r="B368" s="446"/>
      <c r="C368" s="446"/>
      <c r="D368" s="446"/>
      <c r="E368" s="446"/>
      <c r="F368" s="446"/>
      <c r="G368" s="446"/>
      <c r="H368" s="446"/>
      <c r="I368" s="446"/>
      <c r="J368" s="446"/>
      <c r="K368" s="446"/>
      <c r="L368" s="446"/>
    </row>
    <row r="369" spans="2:12">
      <c r="B369" s="446"/>
      <c r="C369" s="446"/>
      <c r="D369" s="446"/>
      <c r="E369" s="446"/>
      <c r="F369" s="446"/>
      <c r="G369" s="446"/>
      <c r="H369" s="446"/>
      <c r="I369" s="446"/>
      <c r="J369" s="446"/>
      <c r="K369" s="446"/>
      <c r="L369" s="446"/>
    </row>
    <row r="370" spans="2:12">
      <c r="B370" s="446"/>
      <c r="C370" s="446"/>
      <c r="D370" s="446"/>
      <c r="E370" s="446"/>
      <c r="F370" s="446"/>
      <c r="G370" s="446"/>
      <c r="H370" s="446"/>
      <c r="I370" s="446"/>
      <c r="J370" s="446"/>
      <c r="K370" s="446"/>
      <c r="L370" s="446"/>
    </row>
    <row r="371" spans="2:12">
      <c r="B371" s="446"/>
      <c r="C371" s="446"/>
      <c r="D371" s="446"/>
      <c r="E371" s="446"/>
      <c r="F371" s="446"/>
      <c r="G371" s="446"/>
      <c r="H371" s="446"/>
      <c r="I371" s="446"/>
      <c r="J371" s="446"/>
      <c r="K371" s="446"/>
      <c r="L371" s="446"/>
    </row>
    <row r="372" spans="2:12">
      <c r="B372" s="446"/>
      <c r="C372" s="446"/>
      <c r="D372" s="446"/>
      <c r="E372" s="446"/>
      <c r="F372" s="446"/>
      <c r="G372" s="446"/>
      <c r="H372" s="446"/>
      <c r="I372" s="446"/>
      <c r="J372" s="446"/>
      <c r="K372" s="446"/>
      <c r="L372" s="446"/>
    </row>
    <row r="373" spans="2:12">
      <c r="B373" s="446"/>
      <c r="C373" s="446"/>
      <c r="D373" s="446"/>
      <c r="E373" s="446"/>
      <c r="F373" s="446"/>
      <c r="G373" s="446"/>
      <c r="H373" s="446"/>
      <c r="I373" s="446"/>
      <c r="J373" s="446"/>
      <c r="K373" s="446"/>
      <c r="L373" s="446"/>
    </row>
    <row r="374" spans="2:12">
      <c r="B374" s="446"/>
      <c r="C374" s="446"/>
      <c r="D374" s="446"/>
      <c r="E374" s="446"/>
      <c r="F374" s="446"/>
      <c r="G374" s="446"/>
      <c r="H374" s="446"/>
      <c r="I374" s="446"/>
      <c r="J374" s="446"/>
      <c r="K374" s="446"/>
      <c r="L374" s="446"/>
    </row>
    <row r="375" spans="2:12">
      <c r="B375" s="446"/>
      <c r="C375" s="446"/>
      <c r="D375" s="446"/>
      <c r="E375" s="446"/>
      <c r="F375" s="446"/>
      <c r="G375" s="446"/>
      <c r="H375" s="446"/>
      <c r="I375" s="446"/>
      <c r="J375" s="446"/>
      <c r="K375" s="446"/>
      <c r="L375" s="446"/>
    </row>
    <row r="376" spans="2:12">
      <c r="B376" s="446"/>
      <c r="C376" s="446"/>
      <c r="D376" s="446"/>
      <c r="E376" s="446"/>
      <c r="F376" s="446"/>
      <c r="G376" s="446"/>
      <c r="H376" s="446"/>
      <c r="I376" s="446"/>
      <c r="J376" s="446"/>
      <c r="K376" s="446"/>
      <c r="L376" s="446"/>
    </row>
    <row r="377" spans="2:12">
      <c r="B377" s="446"/>
      <c r="C377" s="446"/>
      <c r="D377" s="446"/>
      <c r="E377" s="446"/>
      <c r="F377" s="446"/>
      <c r="G377" s="446"/>
      <c r="H377" s="446"/>
      <c r="I377" s="446"/>
      <c r="J377" s="446"/>
      <c r="K377" s="446"/>
      <c r="L377" s="446"/>
    </row>
    <row r="378" spans="2:12">
      <c r="B378" s="146"/>
      <c r="C378" s="146"/>
      <c r="D378" s="146"/>
      <c r="E378" s="146"/>
      <c r="F378" s="146"/>
      <c r="G378" s="146"/>
      <c r="H378" s="146"/>
      <c r="I378" s="146"/>
      <c r="J378" s="146"/>
      <c r="K378" s="146"/>
      <c r="L378" s="146"/>
    </row>
    <row r="379" spans="2:12" ht="48.6" customHeight="1">
      <c r="B379" s="146"/>
      <c r="C379" s="674" t="str">
        <f>IF(AND(B300&lt;&gt;"",'Satellite(s)'!M4=0), "This completes the Consortium Addendum",IF(AND(B300&lt;&gt;"",'Satellite(s)'!M4&gt;0),"This completes the Consortium Addendum. Continue to the Satellite(s) tab to complete the Satellite Addendum.",IF(AND(B300="",'Satellite(s)'!M4&gt;0),"Select the Satellite(s) tab to complete the Satellite Addendum.","")))</f>
        <v/>
      </c>
      <c r="D379" s="674"/>
      <c r="E379" s="674"/>
      <c r="F379" s="674"/>
      <c r="G379" s="674"/>
      <c r="H379" s="674"/>
      <c r="I379" s="674"/>
      <c r="J379" s="158"/>
      <c r="K379" s="146"/>
      <c r="L379" s="146"/>
    </row>
  </sheetData>
  <sheetProtection algorithmName="SHA-512" hashValue="Pth5I7kST8DTK4BCrGqv8dgbFv3WR9JkfSo1/mmFE8Ao79L9CGr+QdXI0C/0XISJETAwEVSgmbc6FeiC6BkFWw==" saltValue="pOTsramldasrLoeaxphtjg==" spinCount="100000" sheet="1" formatRows="0" selectLockedCells="1"/>
  <customSheetViews>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586">
    <mergeCell ref="B164:L164"/>
    <mergeCell ref="B235:L235"/>
    <mergeCell ref="B192:B196"/>
    <mergeCell ref="C192:F196"/>
    <mergeCell ref="B200:B205"/>
    <mergeCell ref="C200:F205"/>
    <mergeCell ref="B256:B259"/>
    <mergeCell ref="C256:F259"/>
    <mergeCell ref="H254:H255"/>
    <mergeCell ref="B213:B218"/>
    <mergeCell ref="C213:F218"/>
    <mergeCell ref="H165:I165"/>
    <mergeCell ref="C168:F168"/>
    <mergeCell ref="J168:L168"/>
    <mergeCell ref="H218:I218"/>
    <mergeCell ref="J218:L218"/>
    <mergeCell ref="C219:F221"/>
    <mergeCell ref="H230:H231"/>
    <mergeCell ref="I230:I231"/>
    <mergeCell ref="C230:F231"/>
    <mergeCell ref="B219:B221"/>
    <mergeCell ref="C169:F169"/>
    <mergeCell ref="J169:L169"/>
    <mergeCell ref="C170:F170"/>
    <mergeCell ref="C121:F121"/>
    <mergeCell ref="C122:F122"/>
    <mergeCell ref="J122:L122"/>
    <mergeCell ref="J121:L121"/>
    <mergeCell ref="G126:G127"/>
    <mergeCell ref="H124:I124"/>
    <mergeCell ref="B146:B151"/>
    <mergeCell ref="J150:L150"/>
    <mergeCell ref="B165:F165"/>
    <mergeCell ref="H151:I151"/>
    <mergeCell ref="J151:L151"/>
    <mergeCell ref="J157:L157"/>
    <mergeCell ref="B156:L156"/>
    <mergeCell ref="H149:I149"/>
    <mergeCell ref="G146:G148"/>
    <mergeCell ref="J139:L139"/>
    <mergeCell ref="C129:F129"/>
    <mergeCell ref="C130:F130"/>
    <mergeCell ref="C126:F127"/>
    <mergeCell ref="B136:B137"/>
    <mergeCell ref="C136:F137"/>
    <mergeCell ref="G136:G137"/>
    <mergeCell ref="C140:F141"/>
    <mergeCell ref="J126:L127"/>
    <mergeCell ref="J170:L170"/>
    <mergeCell ref="B171:L171"/>
    <mergeCell ref="B131:B132"/>
    <mergeCell ref="C131:F132"/>
    <mergeCell ref="G131:G132"/>
    <mergeCell ref="C159:F159"/>
    <mergeCell ref="B154:L154"/>
    <mergeCell ref="I159:I163"/>
    <mergeCell ref="H159:H163"/>
    <mergeCell ref="C153:F153"/>
    <mergeCell ref="B145:L145"/>
    <mergeCell ref="J163:L163"/>
    <mergeCell ref="H134:I134"/>
    <mergeCell ref="B140:B141"/>
    <mergeCell ref="B133:L133"/>
    <mergeCell ref="B135:L135"/>
    <mergeCell ref="B134:F134"/>
    <mergeCell ref="J136:L137"/>
    <mergeCell ref="J167:L167"/>
    <mergeCell ref="C162:F162"/>
    <mergeCell ref="J162:L162"/>
    <mergeCell ref="C146:F151"/>
    <mergeCell ref="C142:F143"/>
    <mergeCell ref="B142:B143"/>
    <mergeCell ref="C105:F105"/>
    <mergeCell ref="B93:B95"/>
    <mergeCell ref="J104:L104"/>
    <mergeCell ref="C104:F104"/>
    <mergeCell ref="B102:L102"/>
    <mergeCell ref="J103:L103"/>
    <mergeCell ref="B96:B98"/>
    <mergeCell ref="H97:I97"/>
    <mergeCell ref="J97:L97"/>
    <mergeCell ref="H100:I100"/>
    <mergeCell ref="J100:L100"/>
    <mergeCell ref="H105:I106"/>
    <mergeCell ref="H98:I98"/>
    <mergeCell ref="J98:L98"/>
    <mergeCell ref="H101:I101"/>
    <mergeCell ref="J101:L101"/>
    <mergeCell ref="C96:F98"/>
    <mergeCell ref="G89:G91"/>
    <mergeCell ref="J93:L95"/>
    <mergeCell ref="H96:I96"/>
    <mergeCell ref="H99:I99"/>
    <mergeCell ref="J99:L99"/>
    <mergeCell ref="J206:L206"/>
    <mergeCell ref="G186:G188"/>
    <mergeCell ref="J213:L215"/>
    <mergeCell ref="B211:L211"/>
    <mergeCell ref="B199:L199"/>
    <mergeCell ref="C206:F206"/>
    <mergeCell ref="C207:F207"/>
    <mergeCell ref="J207:L207"/>
    <mergeCell ref="G197:G198"/>
    <mergeCell ref="J197:L198"/>
    <mergeCell ref="J195:L195"/>
    <mergeCell ref="H196:I196"/>
    <mergeCell ref="J196:L196"/>
    <mergeCell ref="H191:I191"/>
    <mergeCell ref="J191:L191"/>
    <mergeCell ref="J186:L188"/>
    <mergeCell ref="B197:B198"/>
    <mergeCell ref="G200:G202"/>
    <mergeCell ref="B181:B185"/>
    <mergeCell ref="B212:L212"/>
    <mergeCell ref="H217:I217"/>
    <mergeCell ref="J217:L217"/>
    <mergeCell ref="J216:L216"/>
    <mergeCell ref="J176:L177"/>
    <mergeCell ref="B186:B191"/>
    <mergeCell ref="C186:F191"/>
    <mergeCell ref="H185:I185"/>
    <mergeCell ref="J185:L185"/>
    <mergeCell ref="H204:I204"/>
    <mergeCell ref="J204:L204"/>
    <mergeCell ref="H205:I205"/>
    <mergeCell ref="J205:L205"/>
    <mergeCell ref="J189:L189"/>
    <mergeCell ref="H179:I179"/>
    <mergeCell ref="J179:L179"/>
    <mergeCell ref="H194:I194"/>
    <mergeCell ref="J194:L194"/>
    <mergeCell ref="H203:I203"/>
    <mergeCell ref="J200:L202"/>
    <mergeCell ref="H178:I178"/>
    <mergeCell ref="H190:I190"/>
    <mergeCell ref="J190:L190"/>
    <mergeCell ref="C181:F185"/>
    <mergeCell ref="J230:L231"/>
    <mergeCell ref="B227:B228"/>
    <mergeCell ref="J229:L229"/>
    <mergeCell ref="B222:L222"/>
    <mergeCell ref="B226:L226"/>
    <mergeCell ref="C224:F224"/>
    <mergeCell ref="C223:F223"/>
    <mergeCell ref="J219:L221"/>
    <mergeCell ref="J223:L223"/>
    <mergeCell ref="C227:F228"/>
    <mergeCell ref="C245:F245"/>
    <mergeCell ref="J239:L239"/>
    <mergeCell ref="B237:L237"/>
    <mergeCell ref="C241:F241"/>
    <mergeCell ref="J242:L242"/>
    <mergeCell ref="J244:L244"/>
    <mergeCell ref="J245:L245"/>
    <mergeCell ref="J233:L234"/>
    <mergeCell ref="C243:F243"/>
    <mergeCell ref="J243:L243"/>
    <mergeCell ref="C242:F242"/>
    <mergeCell ref="C244:F244"/>
    <mergeCell ref="J262:L264"/>
    <mergeCell ref="J254:L255"/>
    <mergeCell ref="G254:G255"/>
    <mergeCell ref="C251:F251"/>
    <mergeCell ref="J246:L246"/>
    <mergeCell ref="B261:L261"/>
    <mergeCell ref="C254:F255"/>
    <mergeCell ref="G262:G264"/>
    <mergeCell ref="B254:B255"/>
    <mergeCell ref="C262:F264"/>
    <mergeCell ref="H259:I259"/>
    <mergeCell ref="B262:B264"/>
    <mergeCell ref="C248:F248"/>
    <mergeCell ref="C250:F250"/>
    <mergeCell ref="C246:F246"/>
    <mergeCell ref="C249:F249"/>
    <mergeCell ref="J252:L252"/>
    <mergeCell ref="C252:F252"/>
    <mergeCell ref="J256:L256"/>
    <mergeCell ref="J251:L251"/>
    <mergeCell ref="J258:L258"/>
    <mergeCell ref="J259:L259"/>
    <mergeCell ref="H258:I258"/>
    <mergeCell ref="I239:I250"/>
    <mergeCell ref="C379:I379"/>
    <mergeCell ref="C289:F289"/>
    <mergeCell ref="B288:L288"/>
    <mergeCell ref="J289:L289"/>
    <mergeCell ref="B283:L283"/>
    <mergeCell ref="G278:G279"/>
    <mergeCell ref="J278:L279"/>
    <mergeCell ref="C284:F287"/>
    <mergeCell ref="J257:L257"/>
    <mergeCell ref="H257:I257"/>
    <mergeCell ref="C267:F268"/>
    <mergeCell ref="B300:L300"/>
    <mergeCell ref="B269:L269"/>
    <mergeCell ref="J270:L271"/>
    <mergeCell ref="J272:L272"/>
    <mergeCell ref="B273:L273"/>
    <mergeCell ref="B270:B271"/>
    <mergeCell ref="C270:F271"/>
    <mergeCell ref="G270:G271"/>
    <mergeCell ref="C272:F272"/>
    <mergeCell ref="H282:I282"/>
    <mergeCell ref="J282:L282"/>
    <mergeCell ref="I267:I268"/>
    <mergeCell ref="C260:F260"/>
    <mergeCell ref="G192:G193"/>
    <mergeCell ref="J192:L193"/>
    <mergeCell ref="J249:L249"/>
    <mergeCell ref="J240:L240"/>
    <mergeCell ref="J248:L248"/>
    <mergeCell ref="C239:F239"/>
    <mergeCell ref="J250:L250"/>
    <mergeCell ref="C253:F253"/>
    <mergeCell ref="J183:L183"/>
    <mergeCell ref="H192:H193"/>
    <mergeCell ref="B209:L209"/>
    <mergeCell ref="C238:F238"/>
    <mergeCell ref="J224:L224"/>
    <mergeCell ref="G227:G228"/>
    <mergeCell ref="H227:I227"/>
    <mergeCell ref="J241:L241"/>
    <mergeCell ref="J247:L247"/>
    <mergeCell ref="B232:L232"/>
    <mergeCell ref="B225:L225"/>
    <mergeCell ref="B233:B234"/>
    <mergeCell ref="C233:F234"/>
    <mergeCell ref="G233:G234"/>
    <mergeCell ref="H233:I233"/>
    <mergeCell ref="B236:L236"/>
    <mergeCell ref="J181:L182"/>
    <mergeCell ref="C247:F247"/>
    <mergeCell ref="C240:F240"/>
    <mergeCell ref="J178:L178"/>
    <mergeCell ref="H180:I180"/>
    <mergeCell ref="J180:L180"/>
    <mergeCell ref="J260:L260"/>
    <mergeCell ref="I251:I256"/>
    <mergeCell ref="J253:L253"/>
    <mergeCell ref="J238:L238"/>
    <mergeCell ref="H238:I238"/>
    <mergeCell ref="H189:I189"/>
    <mergeCell ref="B210:L210"/>
    <mergeCell ref="C208:F208"/>
    <mergeCell ref="J208:L208"/>
    <mergeCell ref="H195:I195"/>
    <mergeCell ref="J203:L203"/>
    <mergeCell ref="C197:F198"/>
    <mergeCell ref="J227:L228"/>
    <mergeCell ref="G219:G221"/>
    <mergeCell ref="H216:I216"/>
    <mergeCell ref="C229:F229"/>
    <mergeCell ref="G230:G231"/>
    <mergeCell ref="I192:I193"/>
    <mergeCell ref="C139:F139"/>
    <mergeCell ref="H184:I184"/>
    <mergeCell ref="J184:L184"/>
    <mergeCell ref="I172:I174"/>
    <mergeCell ref="J172:L172"/>
    <mergeCell ref="C173:F173"/>
    <mergeCell ref="H183:I183"/>
    <mergeCell ref="J159:L159"/>
    <mergeCell ref="C160:F160"/>
    <mergeCell ref="J160:L160"/>
    <mergeCell ref="J161:L161"/>
    <mergeCell ref="C163:F163"/>
    <mergeCell ref="G181:G182"/>
    <mergeCell ref="B175:L175"/>
    <mergeCell ref="C176:F180"/>
    <mergeCell ref="B176:B180"/>
    <mergeCell ref="C172:F172"/>
    <mergeCell ref="C174:F174"/>
    <mergeCell ref="J174:L174"/>
    <mergeCell ref="C157:F157"/>
    <mergeCell ref="C167:F167"/>
    <mergeCell ref="J173:L173"/>
    <mergeCell ref="H172:H174"/>
    <mergeCell ref="J142:L143"/>
    <mergeCell ref="H150:I150"/>
    <mergeCell ref="J140:L141"/>
    <mergeCell ref="B166:L166"/>
    <mergeCell ref="F3:K3"/>
    <mergeCell ref="C26:F26"/>
    <mergeCell ref="C34:F34"/>
    <mergeCell ref="J34:L34"/>
    <mergeCell ref="C40:F40"/>
    <mergeCell ref="J23:L23"/>
    <mergeCell ref="C89:F91"/>
    <mergeCell ref="G68:G71"/>
    <mergeCell ref="C6:F6"/>
    <mergeCell ref="H6:I6"/>
    <mergeCell ref="J64:L64"/>
    <mergeCell ref="C65:F66"/>
    <mergeCell ref="B4:L4"/>
    <mergeCell ref="B7:L7"/>
    <mergeCell ref="B22:L22"/>
    <mergeCell ref="B21:L21"/>
    <mergeCell ref="C17:F17"/>
    <mergeCell ref="K5:L5"/>
    <mergeCell ref="B124:F124"/>
    <mergeCell ref="B126:B127"/>
    <mergeCell ref="C5:D5"/>
    <mergeCell ref="E5:F5"/>
    <mergeCell ref="G5:H5"/>
    <mergeCell ref="B8:L8"/>
    <mergeCell ref="B9:L9"/>
    <mergeCell ref="C14:F14"/>
    <mergeCell ref="C10:F10"/>
    <mergeCell ref="J10:L10"/>
    <mergeCell ref="J6:L6"/>
    <mergeCell ref="B13:B14"/>
    <mergeCell ref="C13:F13"/>
    <mergeCell ref="J13:L14"/>
    <mergeCell ref="G13:G14"/>
    <mergeCell ref="B11:B12"/>
    <mergeCell ref="C11:F12"/>
    <mergeCell ref="I11:I12"/>
    <mergeCell ref="H11:H12"/>
    <mergeCell ref="J11:L12"/>
    <mergeCell ref="G11:G12"/>
    <mergeCell ref="J15:L15"/>
    <mergeCell ref="B30:L30"/>
    <mergeCell ref="C19:F19"/>
    <mergeCell ref="C31:F31"/>
    <mergeCell ref="J31:L31"/>
    <mergeCell ref="B24:B29"/>
    <mergeCell ref="J17:L17"/>
    <mergeCell ref="B16:L16"/>
    <mergeCell ref="C27:F27"/>
    <mergeCell ref="C25:F25"/>
    <mergeCell ref="C29:F29"/>
    <mergeCell ref="C28:F28"/>
    <mergeCell ref="B20:L20"/>
    <mergeCell ref="J19:L19"/>
    <mergeCell ref="C18:F18"/>
    <mergeCell ref="J18:L18"/>
    <mergeCell ref="C24:F24"/>
    <mergeCell ref="G24:G29"/>
    <mergeCell ref="J24:L29"/>
    <mergeCell ref="C15:F15"/>
    <mergeCell ref="B35:L35"/>
    <mergeCell ref="B77:B83"/>
    <mergeCell ref="J43:L43"/>
    <mergeCell ref="B37:L37"/>
    <mergeCell ref="C44:F44"/>
    <mergeCell ref="J44:L44"/>
    <mergeCell ref="C64:F64"/>
    <mergeCell ref="C52:F52"/>
    <mergeCell ref="C43:F43"/>
    <mergeCell ref="B36:L36"/>
    <mergeCell ref="B38:L38"/>
    <mergeCell ref="J56:L56"/>
    <mergeCell ref="H63:I63"/>
    <mergeCell ref="C77:F83"/>
    <mergeCell ref="H77:I77"/>
    <mergeCell ref="C39:F39"/>
    <mergeCell ref="G53:G54"/>
    <mergeCell ref="C41:F42"/>
    <mergeCell ref="B72:B75"/>
    <mergeCell ref="J61:L61"/>
    <mergeCell ref="J52:L52"/>
    <mergeCell ref="H55:I55"/>
    <mergeCell ref="H62:I62"/>
    <mergeCell ref="J62:L62"/>
    <mergeCell ref="C32:F33"/>
    <mergeCell ref="G32:G33"/>
    <mergeCell ref="C50:F50"/>
    <mergeCell ref="B32:B33"/>
    <mergeCell ref="J32:L33"/>
    <mergeCell ref="C51:F51"/>
    <mergeCell ref="J50:L50"/>
    <mergeCell ref="J51:L51"/>
    <mergeCell ref="H47:I47"/>
    <mergeCell ref="C45:F45"/>
    <mergeCell ref="B41:B42"/>
    <mergeCell ref="G41:G42"/>
    <mergeCell ref="J41:L42"/>
    <mergeCell ref="J39:L39"/>
    <mergeCell ref="H48:I48"/>
    <mergeCell ref="J48:L48"/>
    <mergeCell ref="H49:I49"/>
    <mergeCell ref="J49:L49"/>
    <mergeCell ref="B46:B49"/>
    <mergeCell ref="C46:F49"/>
    <mergeCell ref="J40:L40"/>
    <mergeCell ref="J47:L47"/>
    <mergeCell ref="J46:L46"/>
    <mergeCell ref="J45:L45"/>
    <mergeCell ref="C58:F58"/>
    <mergeCell ref="J58:L58"/>
    <mergeCell ref="G59:G60"/>
    <mergeCell ref="C99:F101"/>
    <mergeCell ref="B99:B101"/>
    <mergeCell ref="H74:I74"/>
    <mergeCell ref="J114:L114"/>
    <mergeCell ref="C115:F115"/>
    <mergeCell ref="J115:L115"/>
    <mergeCell ref="C110:F110"/>
    <mergeCell ref="B108:L108"/>
    <mergeCell ref="G86:G88"/>
    <mergeCell ref="J92:L92"/>
    <mergeCell ref="C86:F88"/>
    <mergeCell ref="B86:B88"/>
    <mergeCell ref="B89:B91"/>
    <mergeCell ref="B109:L109"/>
    <mergeCell ref="J110:L110"/>
    <mergeCell ref="H103:I104"/>
    <mergeCell ref="C103:F103"/>
    <mergeCell ref="C93:F95"/>
    <mergeCell ref="G93:G95"/>
    <mergeCell ref="C92:F92"/>
    <mergeCell ref="J96:L96"/>
    <mergeCell ref="C59:F63"/>
    <mergeCell ref="B59:B63"/>
    <mergeCell ref="H75:I75"/>
    <mergeCell ref="J65:L66"/>
    <mergeCell ref="H61:I61"/>
    <mergeCell ref="G65:G66"/>
    <mergeCell ref="J72:L72"/>
    <mergeCell ref="G77:G83"/>
    <mergeCell ref="J77:L83"/>
    <mergeCell ref="B67:L67"/>
    <mergeCell ref="B76:L76"/>
    <mergeCell ref="J75:L75"/>
    <mergeCell ref="C72:F75"/>
    <mergeCell ref="C68:F71"/>
    <mergeCell ref="B68:B71"/>
    <mergeCell ref="J63:L63"/>
    <mergeCell ref="J74:L74"/>
    <mergeCell ref="B65:B66"/>
    <mergeCell ref="J59:L60"/>
    <mergeCell ref="J53:L54"/>
    <mergeCell ref="B158:L158"/>
    <mergeCell ref="B85:L85"/>
    <mergeCell ref="J86:L88"/>
    <mergeCell ref="H57:I57"/>
    <mergeCell ref="J57:L57"/>
    <mergeCell ref="B53:B57"/>
    <mergeCell ref="C53:F57"/>
    <mergeCell ref="C106:F106"/>
    <mergeCell ref="C116:F116"/>
    <mergeCell ref="J111:L111"/>
    <mergeCell ref="C107:F107"/>
    <mergeCell ref="C112:F112"/>
    <mergeCell ref="J116:L116"/>
    <mergeCell ref="J112:L112"/>
    <mergeCell ref="J113:L113"/>
    <mergeCell ref="C114:F114"/>
    <mergeCell ref="J55:L55"/>
    <mergeCell ref="H56:I56"/>
    <mergeCell ref="J105:L105"/>
    <mergeCell ref="J106:L106"/>
    <mergeCell ref="H89:H91"/>
    <mergeCell ref="I89:I91"/>
    <mergeCell ref="B117:L117"/>
    <mergeCell ref="B291:L291"/>
    <mergeCell ref="C274:F274"/>
    <mergeCell ref="C275:F275"/>
    <mergeCell ref="B292:F292"/>
    <mergeCell ref="B265:B266"/>
    <mergeCell ref="C265:F266"/>
    <mergeCell ref="B284:B287"/>
    <mergeCell ref="G284:G287"/>
    <mergeCell ref="J284:L287"/>
    <mergeCell ref="B267:B268"/>
    <mergeCell ref="J275:L275"/>
    <mergeCell ref="H281:I281"/>
    <mergeCell ref="J281:L281"/>
    <mergeCell ref="H280:I280"/>
    <mergeCell ref="J280:L280"/>
    <mergeCell ref="G265:G266"/>
    <mergeCell ref="H267:H268"/>
    <mergeCell ref="J267:L268"/>
    <mergeCell ref="B290:L290"/>
    <mergeCell ref="I274:I277"/>
    <mergeCell ref="J274:L274"/>
    <mergeCell ref="B278:B282"/>
    <mergeCell ref="C278:F282"/>
    <mergeCell ref="J265:L266"/>
    <mergeCell ref="B332:I332"/>
    <mergeCell ref="B336:I336"/>
    <mergeCell ref="B338:I338"/>
    <mergeCell ref="B342:I342"/>
    <mergeCell ref="H346:K346"/>
    <mergeCell ref="B346:G346"/>
    <mergeCell ref="B350:L350"/>
    <mergeCell ref="B334:L334"/>
    <mergeCell ref="B344:L344"/>
    <mergeCell ref="B340:L340"/>
    <mergeCell ref="B297:L297"/>
    <mergeCell ref="G267:G268"/>
    <mergeCell ref="J276:L276"/>
    <mergeCell ref="J277:L277"/>
    <mergeCell ref="C276:F276"/>
    <mergeCell ref="C277:F277"/>
    <mergeCell ref="B293:F293"/>
    <mergeCell ref="C326:H326"/>
    <mergeCell ref="B316:L316"/>
    <mergeCell ref="B303:E303"/>
    <mergeCell ref="F303:K303"/>
    <mergeCell ref="B305:E305"/>
    <mergeCell ref="F305:K305"/>
    <mergeCell ref="C317:H317"/>
    <mergeCell ref="I317:L317"/>
    <mergeCell ref="B308:L308"/>
    <mergeCell ref="C310:I310"/>
    <mergeCell ref="C311:I311"/>
    <mergeCell ref="C312:I312"/>
    <mergeCell ref="C309:I309"/>
    <mergeCell ref="C319:H319"/>
    <mergeCell ref="I319:L319"/>
    <mergeCell ref="I320:L320"/>
    <mergeCell ref="B295:F295"/>
    <mergeCell ref="B365:L377"/>
    <mergeCell ref="B356:I356"/>
    <mergeCell ref="B358:G358"/>
    <mergeCell ref="B294:F294"/>
    <mergeCell ref="I318:L318"/>
    <mergeCell ref="B2:L2"/>
    <mergeCell ref="H73:I73"/>
    <mergeCell ref="J73:L73"/>
    <mergeCell ref="J68:L71"/>
    <mergeCell ref="B138:L138"/>
    <mergeCell ref="B84:L84"/>
    <mergeCell ref="J107:L107"/>
    <mergeCell ref="J89:L91"/>
    <mergeCell ref="C111:F111"/>
    <mergeCell ref="J118:L118"/>
    <mergeCell ref="G213:G215"/>
    <mergeCell ref="B230:B231"/>
    <mergeCell ref="G176:G177"/>
    <mergeCell ref="C23:F23"/>
    <mergeCell ref="C318:H318"/>
    <mergeCell ref="B302:F302"/>
    <mergeCell ref="B362:I362"/>
    <mergeCell ref="B364:G364"/>
    <mergeCell ref="C320:H320"/>
    <mergeCell ref="C321:H321"/>
    <mergeCell ref="C322:H322"/>
    <mergeCell ref="C323:H323"/>
    <mergeCell ref="C324:H324"/>
    <mergeCell ref="C325:H325"/>
    <mergeCell ref="C327:H327"/>
    <mergeCell ref="H358:K358"/>
    <mergeCell ref="B360:I360"/>
    <mergeCell ref="B361:I361"/>
    <mergeCell ref="I324:L324"/>
    <mergeCell ref="I325:L325"/>
    <mergeCell ref="I326:L326"/>
    <mergeCell ref="I327:L327"/>
    <mergeCell ref="I328:L328"/>
    <mergeCell ref="I329:L329"/>
    <mergeCell ref="C328:H328"/>
    <mergeCell ref="C329:H329"/>
    <mergeCell ref="I321:L321"/>
    <mergeCell ref="I322:L322"/>
    <mergeCell ref="I323:L323"/>
    <mergeCell ref="B348:I348"/>
    <mergeCell ref="B352:I352"/>
    <mergeCell ref="B354:G354"/>
    <mergeCell ref="H354:K354"/>
    <mergeCell ref="I167:I170"/>
    <mergeCell ref="H167:H170"/>
    <mergeCell ref="C113:F113"/>
    <mergeCell ref="B144:L144"/>
    <mergeCell ref="C161:F161"/>
    <mergeCell ref="B155:F155"/>
    <mergeCell ref="J119:L119"/>
    <mergeCell ref="J120:L120"/>
    <mergeCell ref="C119:F119"/>
    <mergeCell ref="J153:L153"/>
    <mergeCell ref="B152:L152"/>
    <mergeCell ref="B128:L128"/>
    <mergeCell ref="B123:L123"/>
    <mergeCell ref="B125:L125"/>
    <mergeCell ref="J129:L129"/>
    <mergeCell ref="J130:L130"/>
    <mergeCell ref="J146:L148"/>
    <mergeCell ref="J149:L149"/>
    <mergeCell ref="C120:F120"/>
    <mergeCell ref="H118:I118"/>
    <mergeCell ref="C118:F118"/>
    <mergeCell ref="J131:L132"/>
    <mergeCell ref="G142:G143"/>
    <mergeCell ref="G140:G141"/>
  </mergeCells>
  <conditionalFormatting sqref="B2 B3:L3">
    <cfRule type="expression" dxfId="1130" priority="2750">
      <formula>$B$2="PRELIMINARY SITE VISIT REPORT FINDINGS"</formula>
    </cfRule>
  </conditionalFormatting>
  <conditionalFormatting sqref="B7 B20 B209">
    <cfRule type="expression" dxfId="1129" priority="2761">
      <formula>$B7="AEMT"</formula>
    </cfRule>
    <cfRule type="expression" dxfId="1128" priority="2760">
      <formula>$B7="Paramedic"</formula>
    </cfRule>
  </conditionalFormatting>
  <conditionalFormatting sqref="B13:B15">
    <cfRule type="expression" dxfId="1127" priority="2297">
      <formula>B13="N/A"</formula>
    </cfRule>
  </conditionalFormatting>
  <conditionalFormatting sqref="B35">
    <cfRule type="expression" dxfId="1126" priority="175">
      <formula>$B35="AEMT"</formula>
    </cfRule>
    <cfRule type="expression" dxfId="1125" priority="174">
      <formula>$B35="Paramedic"</formula>
    </cfRule>
  </conditionalFormatting>
  <conditionalFormatting sqref="B126:B127 B136 B157">
    <cfRule type="expression" dxfId="1124" priority="2072">
      <formula>G124="N/A"</formula>
    </cfRule>
  </conditionalFormatting>
  <conditionalFormatting sqref="B129 B139 B160">
    <cfRule type="expression" dxfId="1123" priority="2062">
      <formula>G124="N/A"</formula>
    </cfRule>
  </conditionalFormatting>
  <conditionalFormatting sqref="B130 B140 B161">
    <cfRule type="expression" dxfId="1122" priority="2057">
      <formula>G124="N/A"</formula>
    </cfRule>
  </conditionalFormatting>
  <conditionalFormatting sqref="B131 B162">
    <cfRule type="expression" dxfId="1121" priority="2051">
      <formula>G124="N/A"</formula>
    </cfRule>
  </conditionalFormatting>
  <conditionalFormatting sqref="B142">
    <cfRule type="expression" dxfId="1120" priority="2045">
      <formula>G134="N/A"</formula>
    </cfRule>
  </conditionalFormatting>
  <conditionalFormatting sqref="B159">
    <cfRule type="expression" dxfId="1119" priority="2028">
      <formula>G155="N/A"</formula>
    </cfRule>
  </conditionalFormatting>
  <conditionalFormatting sqref="B163">
    <cfRule type="expression" dxfId="1118" priority="1972">
      <formula>G155="N/A"</formula>
    </cfRule>
  </conditionalFormatting>
  <conditionalFormatting sqref="B167">
    <cfRule type="expression" dxfId="1117" priority="113">
      <formula>G165="N/A"</formula>
    </cfRule>
  </conditionalFormatting>
  <conditionalFormatting sqref="B168">
    <cfRule type="expression" dxfId="1116" priority="78">
      <formula>G160="N/A"</formula>
    </cfRule>
  </conditionalFormatting>
  <conditionalFormatting sqref="B169">
    <cfRule type="expression" dxfId="1115" priority="74">
      <formula>G160="N/A"</formula>
    </cfRule>
  </conditionalFormatting>
  <conditionalFormatting sqref="B170">
    <cfRule type="expression" dxfId="1114" priority="70">
      <formula>G160="N/A"</formula>
    </cfRule>
  </conditionalFormatting>
  <conditionalFormatting sqref="B172">
    <cfRule type="expression" dxfId="1113" priority="104">
      <formula>G165="N/A"</formula>
    </cfRule>
  </conditionalFormatting>
  <conditionalFormatting sqref="B173">
    <cfRule type="expression" dxfId="1112" priority="100">
      <formula>G165="N/A"</formula>
    </cfRule>
  </conditionalFormatting>
  <conditionalFormatting sqref="B174">
    <cfRule type="expression" dxfId="1111" priority="96">
      <formula>G165="N/A"</formula>
    </cfRule>
  </conditionalFormatting>
  <conditionalFormatting sqref="B235">
    <cfRule type="expression" dxfId="1110" priority="38">
      <formula>$B235="AEMT"</formula>
    </cfRule>
    <cfRule type="expression" dxfId="1109" priority="37">
      <formula>$B235="Paramedic"</formula>
    </cfRule>
  </conditionalFormatting>
  <conditionalFormatting sqref="B290">
    <cfRule type="expression" dxfId="1108" priority="30">
      <formula>$B290="Paramedic"</formula>
    </cfRule>
    <cfRule type="expression" dxfId="1107" priority="31">
      <formula>$B290="AEMT"</formula>
    </cfRule>
  </conditionalFormatting>
  <conditionalFormatting sqref="B297">
    <cfRule type="expression" dxfId="1106" priority="1676">
      <formula>(OR(G292&lt;&gt;"N/A", G293&lt;&gt;"N/A", G294&lt;&gt;"N/A"))</formula>
    </cfRule>
    <cfRule type="expression" dxfId="1105" priority="1715">
      <formula>G294="N/A"</formula>
    </cfRule>
  </conditionalFormatting>
  <conditionalFormatting sqref="B317">
    <cfRule type="expression" dxfId="1104" priority="1898">
      <formula>$B$300&lt;&gt;""</formula>
    </cfRule>
  </conditionalFormatting>
  <conditionalFormatting sqref="B295:F295">
    <cfRule type="expression" dxfId="1103" priority="1679">
      <formula>$G$294="Yes"</formula>
    </cfRule>
  </conditionalFormatting>
  <conditionalFormatting sqref="B4:L4 B6:L6">
    <cfRule type="expression" dxfId="1102" priority="2753">
      <formula>$B$2="PRELIMINARY SITE VISIT REPORT FINDINGS"</formula>
    </cfRule>
  </conditionalFormatting>
  <conditionalFormatting sqref="B5:L5">
    <cfRule type="expression" dxfId="1101" priority="2754">
      <formula>$B$2="PRELIMINARY SITE VISIT REPORT FINDINGS"</formula>
    </cfRule>
  </conditionalFormatting>
  <conditionalFormatting sqref="B7:L7 B20:L20 B35:L35 B209:L209">
    <cfRule type="expression" dxfId="1100" priority="173">
      <formula>$B$7="Select Program Level on the Cover Page tab"</formula>
    </cfRule>
  </conditionalFormatting>
  <conditionalFormatting sqref="B8:L8 B21:L21 B36:L36 B210:L210 B236:L236">
    <cfRule type="expression" dxfId="1099" priority="2757">
      <formula>$B$2="PRELIMINARY SITE VISIT REPORT FINDINGS"</formula>
    </cfRule>
  </conditionalFormatting>
  <conditionalFormatting sqref="B125:L125 B128:L128 B135:L135 B138:L138 B156:L156 B158:L158 B9:L9 B16:L16 B22:L22 B30:L30 B37:L38 B67:L67 B76:L76 B84:L85 B102:L102 B108:L109 B117:L117 B123:L123 B124:F124 B133:L133 B144:L145 B152:L152 B154:L154 B175:L175 B199:L199 B211:L212 B222:L222 B225:L226 B232:L232 B237:L237 B261:L261 B269:L269 B273:L273 B283:L283 B288:L288">
    <cfRule type="expression" dxfId="1098" priority="2756">
      <formula>$B$2="PRELIMINARY SITE VISIT REPORT FINDINGS"</formula>
    </cfRule>
  </conditionalFormatting>
  <conditionalFormatting sqref="B125:L125">
    <cfRule type="expression" dxfId="1097" priority="9">
      <formula>$G$124="N/A"</formula>
    </cfRule>
  </conditionalFormatting>
  <conditionalFormatting sqref="B125:L132">
    <cfRule type="expression" dxfId="1096" priority="23">
      <formula>$G$124="N/A"</formula>
    </cfRule>
  </conditionalFormatting>
  <conditionalFormatting sqref="B135:L143">
    <cfRule type="expression" dxfId="1095" priority="22">
      <formula>$G$134="N/A"</formula>
    </cfRule>
  </conditionalFormatting>
  <conditionalFormatting sqref="B136:L143">
    <cfRule type="expression" dxfId="1094" priority="21">
      <formula>$G$134="Yes"</formula>
    </cfRule>
  </conditionalFormatting>
  <conditionalFormatting sqref="B156:L156">
    <cfRule type="expression" dxfId="1093" priority="8">
      <formula>$G$155="N/A"</formula>
    </cfRule>
  </conditionalFormatting>
  <conditionalFormatting sqref="B156:L163">
    <cfRule type="expression" dxfId="1092" priority="20">
      <formula>$G$155="N/A"</formula>
    </cfRule>
  </conditionalFormatting>
  <conditionalFormatting sqref="B166:L166">
    <cfRule type="expression" dxfId="1091" priority="7">
      <formula>$G$165="N/A"</formula>
    </cfRule>
  </conditionalFormatting>
  <conditionalFormatting sqref="B166:L174">
    <cfRule type="expression" dxfId="1090" priority="15">
      <formula>$G$165="Yes"</formula>
    </cfRule>
  </conditionalFormatting>
  <conditionalFormatting sqref="B171:L171 B164:L164 B166:L166">
    <cfRule type="expression" dxfId="1089" priority="122">
      <formula>$B$2="PRELIMINARY SITE VISIT REPORT FINDINGS"</formula>
    </cfRule>
  </conditionalFormatting>
  <conditionalFormatting sqref="B171:L174">
    <cfRule type="expression" dxfId="1088" priority="5">
      <formula>$G$165="No"</formula>
    </cfRule>
    <cfRule type="expression" dxfId="1087" priority="4">
      <formula>$G$165=""</formula>
    </cfRule>
  </conditionalFormatting>
  <conditionalFormatting sqref="B235:L235">
    <cfRule type="expression" dxfId="1086" priority="32">
      <formula>$B$7="Select Program Level on the Cover Page tab"</formula>
    </cfRule>
  </conditionalFormatting>
  <conditionalFormatting sqref="B290:L290">
    <cfRule type="expression" dxfId="1085" priority="25">
      <formula>$B$7="Select Program Level on the Cover Page tab"</formula>
    </cfRule>
  </conditionalFormatting>
  <conditionalFormatting sqref="B300:L300">
    <cfRule type="expression" dxfId="1084" priority="1910">
      <formula>$B$300&lt;&gt;""</formula>
    </cfRule>
  </conditionalFormatting>
  <conditionalFormatting sqref="B308:L308">
    <cfRule type="expression" dxfId="1083" priority="1904">
      <formula>$B$300&lt;&gt;""</formula>
    </cfRule>
  </conditionalFormatting>
  <conditionalFormatting sqref="B316:L316">
    <cfRule type="expression" dxfId="1082" priority="1899">
      <formula>$B$300&lt;&gt;""</formula>
    </cfRule>
  </conditionalFormatting>
  <conditionalFormatting sqref="B334:L334">
    <cfRule type="expression" dxfId="1081" priority="1851">
      <formula>$J$332="No"</formula>
    </cfRule>
  </conditionalFormatting>
  <conditionalFormatting sqref="B340:L340">
    <cfRule type="expression" dxfId="1080" priority="1853">
      <formula>$J$338="No"</formula>
    </cfRule>
  </conditionalFormatting>
  <conditionalFormatting sqref="B344:L344">
    <cfRule type="expression" dxfId="1079" priority="1854">
      <formula>$J$342="No"</formula>
    </cfRule>
  </conditionalFormatting>
  <conditionalFormatting sqref="B350:L350">
    <cfRule type="expression" dxfId="1078" priority="1855">
      <formula>$J$348="No"</formula>
    </cfRule>
  </conditionalFormatting>
  <conditionalFormatting sqref="B365:L377">
    <cfRule type="expression" dxfId="1077" priority="125">
      <formula>$B$300&lt;&gt;""</formula>
    </cfRule>
  </conditionalFormatting>
  <conditionalFormatting sqref="C126:C127 F126:F127 D127:E127 C136 C157:F157 C167 F167">
    <cfRule type="expression" dxfId="1076" priority="2071">
      <formula>G124="N/A"</formula>
    </cfRule>
  </conditionalFormatting>
  <conditionalFormatting sqref="C129 F129 C139 F139 C160:F160">
    <cfRule type="expression" dxfId="1075" priority="2061">
      <formula>G124="N/A"</formula>
    </cfRule>
  </conditionalFormatting>
  <conditionalFormatting sqref="C130 F130 C140 F140 C161:F161">
    <cfRule type="expression" dxfId="1074" priority="2056">
      <formula>G124="N/A"</formula>
    </cfRule>
  </conditionalFormatting>
  <conditionalFormatting sqref="C131 F131 C162:F162 C172 F172">
    <cfRule type="expression" dxfId="1073" priority="2050">
      <formula>G124="N/A"</formula>
    </cfRule>
  </conditionalFormatting>
  <conditionalFormatting sqref="C142 F142 C173 F173">
    <cfRule type="expression" dxfId="1072" priority="2044">
      <formula>G134="N/A"</formula>
    </cfRule>
  </conditionalFormatting>
  <conditionalFormatting sqref="C379">
    <cfRule type="expression" dxfId="1071" priority="1852">
      <formula>$C$379&lt;&gt;""</formula>
    </cfRule>
  </conditionalFormatting>
  <conditionalFormatting sqref="C13:F14 C15">
    <cfRule type="expression" dxfId="1070" priority="2295">
      <formula>B13="N/A"</formula>
    </cfRule>
  </conditionalFormatting>
  <conditionalFormatting sqref="C14:F14">
    <cfRule type="expression" dxfId="1069" priority="3787">
      <formula>LEFT($C11, 4)="I.B."</formula>
    </cfRule>
    <cfRule type="expression" dxfId="1068" priority="3786">
      <formula>B13="N/A"</formula>
    </cfRule>
  </conditionalFormatting>
  <conditionalFormatting sqref="C159:F159">
    <cfRule type="expression" dxfId="1067" priority="2027">
      <formula>G155="N/A"</formula>
    </cfRule>
  </conditionalFormatting>
  <conditionalFormatting sqref="C163:F163">
    <cfRule type="expression" dxfId="1066" priority="1971">
      <formula>G155="N/A"</formula>
    </cfRule>
  </conditionalFormatting>
  <conditionalFormatting sqref="C168:F168">
    <cfRule type="expression" dxfId="1065" priority="77">
      <formula>G160="N/A"</formula>
    </cfRule>
  </conditionalFormatting>
  <conditionalFormatting sqref="C169:F169">
    <cfRule type="expression" dxfId="1064" priority="73">
      <formula>G160="No"</formula>
    </cfRule>
  </conditionalFormatting>
  <conditionalFormatting sqref="C170:F170">
    <cfRule type="expression" dxfId="1063" priority="69">
      <formula>G160="N/A"</formula>
    </cfRule>
  </conditionalFormatting>
  <conditionalFormatting sqref="C317:H317">
    <cfRule type="expression" dxfId="1062" priority="1897">
      <formula>$B$300&lt;&gt;""</formula>
    </cfRule>
  </conditionalFormatting>
  <conditionalFormatting sqref="C310:I312 K310:K312 C318:H318">
    <cfRule type="expression" dxfId="1061" priority="1894">
      <formula>$B$300&lt;&gt;""</formula>
    </cfRule>
  </conditionalFormatting>
  <conditionalFormatting sqref="E129 E139">
    <cfRule type="expression" dxfId="1060" priority="3792">
      <formula>H124="N/A"</formula>
    </cfRule>
  </conditionalFormatting>
  <conditionalFormatting sqref="E130 E140">
    <cfRule type="expression" dxfId="1059" priority="3795">
      <formula>H124="N/A"</formula>
    </cfRule>
  </conditionalFormatting>
  <conditionalFormatting sqref="E131 E172">
    <cfRule type="expression" dxfId="1058" priority="3798">
      <formula>H124="N/A"</formula>
    </cfRule>
  </conditionalFormatting>
  <conditionalFormatting sqref="E142 E173">
    <cfRule type="expression" dxfId="1057" priority="3806">
      <formula>H134="N/A"</formula>
    </cfRule>
  </conditionalFormatting>
  <conditionalFormatting sqref="E167">
    <cfRule type="expression" dxfId="1056" priority="3808">
      <formula>H165="N/A"</formula>
    </cfRule>
  </conditionalFormatting>
  <conditionalFormatting sqref="E174">
    <cfRule type="expression" dxfId="1055" priority="3817">
      <formula>H165="N/A"</formula>
    </cfRule>
  </conditionalFormatting>
  <conditionalFormatting sqref="F303:K303">
    <cfRule type="expression" dxfId="1054" priority="138">
      <formula>$B$300&lt;&gt;""</formula>
    </cfRule>
  </conditionalFormatting>
  <conditionalFormatting sqref="F305:K305">
    <cfRule type="expression" dxfId="1053" priority="1907">
      <formula>$G$302="No"</formula>
    </cfRule>
  </conditionalFormatting>
  <conditionalFormatting sqref="G13 G15 G10:G11">
    <cfRule type="cellIs" dxfId="1052" priority="2613" operator="equal">
      <formula>"Not Met"</formula>
    </cfRule>
  </conditionalFormatting>
  <conditionalFormatting sqref="G13 G15 G11">
    <cfRule type="cellIs" dxfId="1051" priority="2612" operator="equal">
      <formula>"Met"</formula>
    </cfRule>
  </conditionalFormatting>
  <conditionalFormatting sqref="G13:G15">
    <cfRule type="expression" dxfId="1050" priority="2293">
      <formula>B13="N/A"</formula>
    </cfRule>
  </conditionalFormatting>
  <conditionalFormatting sqref="G17:G19">
    <cfRule type="cellIs" dxfId="1049" priority="2610" operator="equal">
      <formula>"Met"</formula>
    </cfRule>
  </conditionalFormatting>
  <conditionalFormatting sqref="G23:G24 G31:G32 G96:G101">
    <cfRule type="cellIs" dxfId="1048" priority="2614" operator="equal">
      <formula>"Met"</formula>
    </cfRule>
  </conditionalFormatting>
  <conditionalFormatting sqref="G34">
    <cfRule type="cellIs" dxfId="1047" priority="2604" operator="equal">
      <formula>"Met"</formula>
    </cfRule>
  </conditionalFormatting>
  <conditionalFormatting sqref="G39:G41">
    <cfRule type="cellIs" dxfId="1046" priority="2595" operator="equal">
      <formula>"Not Met"</formula>
    </cfRule>
    <cfRule type="cellIs" dxfId="1045" priority="2594" operator="equal">
      <formula>"Met"</formula>
    </cfRule>
  </conditionalFormatting>
  <conditionalFormatting sqref="G43:G45 H68:H72">
    <cfRule type="cellIs" dxfId="1044" priority="2182" operator="equal">
      <formula>"Not Met"</formula>
    </cfRule>
  </conditionalFormatting>
  <conditionalFormatting sqref="G43:G53">
    <cfRule type="cellIs" dxfId="1043" priority="285" operator="equal">
      <formula>"Met"</formula>
    </cfRule>
  </conditionalFormatting>
  <conditionalFormatting sqref="G47:G49">
    <cfRule type="cellIs" dxfId="1042" priority="87" operator="equal">
      <formula>"Not Met"</formula>
    </cfRule>
  </conditionalFormatting>
  <conditionalFormatting sqref="G55:G57">
    <cfRule type="cellIs" dxfId="1041" priority="333" operator="equal">
      <formula>"Not Met"</formula>
    </cfRule>
  </conditionalFormatting>
  <conditionalFormatting sqref="G55:G59">
    <cfRule type="cellIs" dxfId="1040" priority="140" operator="equal">
      <formula>"Met"</formula>
    </cfRule>
  </conditionalFormatting>
  <conditionalFormatting sqref="G61:G65">
    <cfRule type="cellIs" dxfId="1039" priority="282" operator="equal">
      <formula>"Met"</formula>
    </cfRule>
    <cfRule type="cellIs" dxfId="1038" priority="283" operator="equal">
      <formula>"Not Met"</formula>
    </cfRule>
  </conditionalFormatting>
  <conditionalFormatting sqref="G68:G71">
    <cfRule type="expression" dxfId="1037" priority="3">
      <formula>$G$68="Met"</formula>
    </cfRule>
    <cfRule type="expression" dxfId="1036" priority="41">
      <formula>$G$68="Not Met"</formula>
    </cfRule>
  </conditionalFormatting>
  <conditionalFormatting sqref="G72:G75">
    <cfRule type="cellIs" dxfId="1035" priority="327" operator="equal">
      <formula>"Not Met"</formula>
    </cfRule>
    <cfRule type="cellIs" dxfId="1034" priority="326" operator="equal">
      <formula>"Met"</formula>
    </cfRule>
  </conditionalFormatting>
  <conditionalFormatting sqref="G77">
    <cfRule type="cellIs" dxfId="1033" priority="2556" operator="equal">
      <formula>"Met"</formula>
    </cfRule>
    <cfRule type="cellIs" dxfId="1032" priority="2557" operator="equal">
      <formula>"Not Met"</formula>
    </cfRule>
  </conditionalFormatting>
  <conditionalFormatting sqref="G86">
    <cfRule type="cellIs" dxfId="1031" priority="2554" operator="equal">
      <formula>"Met"</formula>
    </cfRule>
    <cfRule type="cellIs" dxfId="1030" priority="2555" operator="equal">
      <formula>"Not Met"</formula>
    </cfRule>
  </conditionalFormatting>
  <conditionalFormatting sqref="G89">
    <cfRule type="cellIs" dxfId="1029" priority="2550" operator="equal">
      <formula>"Met"</formula>
    </cfRule>
    <cfRule type="cellIs" dxfId="1028" priority="2551" operator="equal">
      <formula>"Not Met"</formula>
    </cfRule>
  </conditionalFormatting>
  <conditionalFormatting sqref="G92:G93">
    <cfRule type="cellIs" dxfId="1027" priority="2084" operator="equal">
      <formula>"Met"</formula>
    </cfRule>
  </conditionalFormatting>
  <conditionalFormatting sqref="G96:G101">
    <cfRule type="cellIs" dxfId="1026" priority="312" operator="equal">
      <formula>"Not Met"</formula>
    </cfRule>
  </conditionalFormatting>
  <conditionalFormatting sqref="G103:G107">
    <cfRule type="cellIs" dxfId="1025" priority="1850" operator="equal">
      <formula>"Not Met"</formula>
    </cfRule>
    <cfRule type="cellIs" dxfId="1024" priority="1849" operator="equal">
      <formula>"Met"</formula>
    </cfRule>
  </conditionalFormatting>
  <conditionalFormatting sqref="G110:G116">
    <cfRule type="cellIs" dxfId="1023" priority="2174" operator="equal">
      <formula>"Met"</formula>
    </cfRule>
  </conditionalFormatting>
  <conditionalFormatting sqref="G118">
    <cfRule type="cellIs" dxfId="1022" priority="1848" operator="equal">
      <formula>"Not Met"</formula>
    </cfRule>
  </conditionalFormatting>
  <conditionalFormatting sqref="G118:G122">
    <cfRule type="cellIs" dxfId="1021" priority="1847" operator="equal">
      <formula>"Met"</formula>
    </cfRule>
  </conditionalFormatting>
  <conditionalFormatting sqref="G126">
    <cfRule type="cellIs" dxfId="1020" priority="2216" operator="equal">
      <formula>"Not Met"</formula>
    </cfRule>
    <cfRule type="cellIs" dxfId="1019" priority="2215" operator="equal">
      <formula>"Met"</formula>
    </cfRule>
  </conditionalFormatting>
  <conditionalFormatting sqref="G126:G127 G157">
    <cfRule type="expression" dxfId="1018" priority="2070">
      <formula>G124="N/A"</formula>
    </cfRule>
  </conditionalFormatting>
  <conditionalFormatting sqref="G129 G139 G160">
    <cfRule type="expression" dxfId="1017" priority="2060">
      <formula>G124="N/A"</formula>
    </cfRule>
  </conditionalFormatting>
  <conditionalFormatting sqref="G129:G131">
    <cfRule type="cellIs" dxfId="1016" priority="2203" operator="equal">
      <formula>"Not Met"</formula>
    </cfRule>
    <cfRule type="cellIs" dxfId="1015" priority="2202" operator="equal">
      <formula>"Met"</formula>
    </cfRule>
  </conditionalFormatting>
  <conditionalFormatting sqref="G130 G140 G161">
    <cfRule type="expression" dxfId="1014" priority="2055">
      <formula>G124="N/A"</formula>
    </cfRule>
  </conditionalFormatting>
  <conditionalFormatting sqref="G131 G162">
    <cfRule type="expression" dxfId="1013" priority="2049">
      <formula>G124="N/A"</formula>
    </cfRule>
  </conditionalFormatting>
  <conditionalFormatting sqref="G136">
    <cfRule type="cellIs" dxfId="1012" priority="2160" operator="equal">
      <formula>"Met"</formula>
    </cfRule>
    <cfRule type="expression" dxfId="1011" priority="2035">
      <formula>G134="N/A"</formula>
    </cfRule>
  </conditionalFormatting>
  <conditionalFormatting sqref="G139:G140 G142">
    <cfRule type="cellIs" dxfId="1010" priority="2148" operator="equal">
      <formula>"Not Met"</formula>
    </cfRule>
    <cfRule type="cellIs" dxfId="1009" priority="2147" operator="equal">
      <formula>"Met"</formula>
    </cfRule>
  </conditionalFormatting>
  <conditionalFormatting sqref="G142">
    <cfRule type="expression" dxfId="1008" priority="2043">
      <formula>G134="N/A"</formula>
    </cfRule>
  </conditionalFormatting>
  <conditionalFormatting sqref="G146">
    <cfRule type="cellIs" dxfId="1007" priority="2510" operator="equal">
      <formula>"Met"</formula>
    </cfRule>
    <cfRule type="cellIs" dxfId="1006" priority="2511" operator="equal">
      <formula>"Not Met"</formula>
    </cfRule>
  </conditionalFormatting>
  <conditionalFormatting sqref="G149:G151">
    <cfRule type="cellIs" dxfId="1005" priority="336" operator="equal">
      <formula>"Not Met"</formula>
    </cfRule>
    <cfRule type="cellIs" dxfId="1004" priority="335" operator="equal">
      <formula>"Met"</formula>
    </cfRule>
  </conditionalFormatting>
  <conditionalFormatting sqref="G153">
    <cfRule type="cellIs" dxfId="1003" priority="2506" operator="equal">
      <formula>"Met"</formula>
    </cfRule>
  </conditionalFormatting>
  <conditionalFormatting sqref="G157">
    <cfRule type="cellIs" dxfId="1002" priority="2140" operator="equal">
      <formula>"Met"</formula>
    </cfRule>
  </conditionalFormatting>
  <conditionalFormatting sqref="G159">
    <cfRule type="expression" dxfId="1001" priority="2026">
      <formula>G155="N/A"</formula>
    </cfRule>
  </conditionalFormatting>
  <conditionalFormatting sqref="G159:G163 G172:G174">
    <cfRule type="cellIs" dxfId="1000" priority="2112" operator="equal">
      <formula>"Met"</formula>
    </cfRule>
    <cfRule type="cellIs" dxfId="999" priority="2113" operator="equal">
      <formula>"Not Met"</formula>
    </cfRule>
  </conditionalFormatting>
  <conditionalFormatting sqref="G163">
    <cfRule type="expression" dxfId="998" priority="1970">
      <formula>G155="N/A"</formula>
    </cfRule>
  </conditionalFormatting>
  <conditionalFormatting sqref="G167">
    <cfRule type="expression" dxfId="997" priority="111">
      <formula>G165="N/A"</formula>
    </cfRule>
    <cfRule type="cellIs" dxfId="996" priority="116" operator="equal">
      <formula>"Met"</formula>
    </cfRule>
  </conditionalFormatting>
  <conditionalFormatting sqref="G168">
    <cfRule type="expression" dxfId="995" priority="76">
      <formula>G160="N/A"</formula>
    </cfRule>
  </conditionalFormatting>
  <conditionalFormatting sqref="G168:G170">
    <cfRule type="cellIs" dxfId="994" priority="80" operator="equal">
      <formula>"Not Met"</formula>
    </cfRule>
    <cfRule type="cellIs" dxfId="993" priority="79" operator="equal">
      <formula>"Met"</formula>
    </cfRule>
  </conditionalFormatting>
  <conditionalFormatting sqref="G169">
    <cfRule type="expression" dxfId="992" priority="72">
      <formula>G160="N/A"</formula>
    </cfRule>
  </conditionalFormatting>
  <conditionalFormatting sqref="G170">
    <cfRule type="expression" dxfId="991" priority="68">
      <formula>G160="N/A"</formula>
    </cfRule>
  </conditionalFormatting>
  <conditionalFormatting sqref="G172">
    <cfRule type="expression" dxfId="990" priority="102">
      <formula>G165="N/A"</formula>
    </cfRule>
  </conditionalFormatting>
  <conditionalFormatting sqref="G173">
    <cfRule type="expression" dxfId="989" priority="98">
      <formula>G165="N/A"</formula>
    </cfRule>
  </conditionalFormatting>
  <conditionalFormatting sqref="G176">
    <cfRule type="cellIs" dxfId="988" priority="2500" operator="equal">
      <formula>"Met"</formula>
    </cfRule>
  </conditionalFormatting>
  <conditionalFormatting sqref="G178:G186">
    <cfRule type="cellIs" dxfId="987" priority="296" operator="equal">
      <formula>"Met"</formula>
    </cfRule>
    <cfRule type="cellIs" dxfId="986" priority="297" operator="equal">
      <formula>"Not Met"</formula>
    </cfRule>
  </conditionalFormatting>
  <conditionalFormatting sqref="G189:G192">
    <cfRule type="cellIs" dxfId="985" priority="307" operator="equal">
      <formula>"Not Met"</formula>
    </cfRule>
    <cfRule type="cellIs" dxfId="984" priority="306" operator="equal">
      <formula>"Met"</formula>
    </cfRule>
  </conditionalFormatting>
  <conditionalFormatting sqref="G194:G197">
    <cfRule type="cellIs" dxfId="983" priority="271" operator="equal">
      <formula>"Not Met"</formula>
    </cfRule>
    <cfRule type="cellIs" dxfId="982" priority="270" operator="equal">
      <formula>"Met"</formula>
    </cfRule>
  </conditionalFormatting>
  <conditionalFormatting sqref="G200">
    <cfRule type="cellIs" dxfId="981" priority="2492" operator="equal">
      <formula>"Met"</formula>
    </cfRule>
  </conditionalFormatting>
  <conditionalFormatting sqref="G203:G205">
    <cfRule type="cellIs" dxfId="980" priority="289" operator="equal">
      <formula>"Not Met"</formula>
    </cfRule>
  </conditionalFormatting>
  <conditionalFormatting sqref="G203:G209">
    <cfRule type="cellIs" dxfId="979" priority="288" operator="equal">
      <formula>"Met"</formula>
    </cfRule>
  </conditionalFormatting>
  <conditionalFormatting sqref="G213">
    <cfRule type="cellIs" dxfId="978" priority="2485" operator="equal">
      <formula>"Not Met"</formula>
    </cfRule>
    <cfRule type="cellIs" dxfId="977" priority="2484" operator="equal">
      <formula>"Met"</formula>
    </cfRule>
  </conditionalFormatting>
  <conditionalFormatting sqref="G216:G219">
    <cfRule type="cellIs" dxfId="976" priority="265" operator="equal">
      <formula>"Met"</formula>
    </cfRule>
    <cfRule type="cellIs" dxfId="975" priority="266" operator="equal">
      <formula>"Not Met"</formula>
    </cfRule>
  </conditionalFormatting>
  <conditionalFormatting sqref="G223:G224">
    <cfRule type="cellIs" dxfId="974" priority="2102" operator="equal">
      <formula>"Met"</formula>
    </cfRule>
  </conditionalFormatting>
  <conditionalFormatting sqref="G227">
    <cfRule type="cellIs" dxfId="973" priority="368" operator="equal">
      <formula>"Met"</formula>
    </cfRule>
    <cfRule type="cellIs" dxfId="972" priority="367" operator="equal">
      <formula>"Not Met"</formula>
    </cfRule>
  </conditionalFormatting>
  <conditionalFormatting sqref="G229:G230">
    <cfRule type="cellIs" dxfId="971" priority="360" operator="equal">
      <formula>"Not Met"</formula>
    </cfRule>
    <cfRule type="cellIs" dxfId="970" priority="359" operator="equal">
      <formula>"Met"</formula>
    </cfRule>
  </conditionalFormatting>
  <conditionalFormatting sqref="G233">
    <cfRule type="cellIs" dxfId="969" priority="354" operator="equal">
      <formula>"Not Met"</formula>
    </cfRule>
    <cfRule type="cellIs" dxfId="968" priority="353" operator="equal">
      <formula>"Met"</formula>
    </cfRule>
  </conditionalFormatting>
  <conditionalFormatting sqref="G235">
    <cfRule type="cellIs" dxfId="967" priority="33" operator="equal">
      <formula>"Met"</formula>
    </cfRule>
  </conditionalFormatting>
  <conditionalFormatting sqref="G238:G254">
    <cfRule type="cellIs" dxfId="966" priority="2447" operator="equal">
      <formula>"Not Met"</formula>
    </cfRule>
    <cfRule type="cellIs" dxfId="965" priority="2446" operator="equal">
      <formula>"Met"</formula>
    </cfRule>
  </conditionalFormatting>
  <conditionalFormatting sqref="G256:G259">
    <cfRule type="cellIs" dxfId="964" priority="258" operator="equal">
      <formula>"Not Met"</formula>
    </cfRule>
  </conditionalFormatting>
  <conditionalFormatting sqref="G256:G260">
    <cfRule type="cellIs" dxfId="963" priority="257" operator="equal">
      <formula>"Met"</formula>
    </cfRule>
  </conditionalFormatting>
  <conditionalFormatting sqref="G262">
    <cfRule type="cellIs" dxfId="962" priority="2442" operator="equal">
      <formula>"Met"</formula>
    </cfRule>
  </conditionalFormatting>
  <conditionalFormatting sqref="G265">
    <cfRule type="cellIs" dxfId="961" priority="2440" operator="equal">
      <formula>"Met"</formula>
    </cfRule>
  </conditionalFormatting>
  <conditionalFormatting sqref="G267">
    <cfRule type="cellIs" dxfId="960" priority="2092" operator="equal">
      <formula>"Met"</formula>
    </cfRule>
  </conditionalFormatting>
  <conditionalFormatting sqref="G270">
    <cfRule type="cellIs" dxfId="959" priority="2439" operator="equal">
      <formula>"Not Met"</formula>
    </cfRule>
    <cfRule type="cellIs" dxfId="958" priority="2438" operator="equal">
      <formula>"Met"</formula>
    </cfRule>
  </conditionalFormatting>
  <conditionalFormatting sqref="G272">
    <cfRule type="cellIs" dxfId="957" priority="2437" operator="equal">
      <formula>"Not Met"</formula>
    </cfRule>
    <cfRule type="cellIs" dxfId="956" priority="2436" operator="equal">
      <formula>"Met"</formula>
    </cfRule>
  </conditionalFormatting>
  <conditionalFormatting sqref="G274:G278">
    <cfRule type="cellIs" dxfId="955" priority="2427" operator="equal">
      <formula>"Not Met"</formula>
    </cfRule>
    <cfRule type="cellIs" dxfId="954" priority="2426" operator="equal">
      <formula>"Met"</formula>
    </cfRule>
  </conditionalFormatting>
  <conditionalFormatting sqref="G280:G282">
    <cfRule type="cellIs" dxfId="953" priority="252" operator="equal">
      <formula>"Met"</formula>
    </cfRule>
    <cfRule type="cellIs" dxfId="952" priority="253" operator="equal">
      <formula>"Not Met"</formula>
    </cfRule>
  </conditionalFormatting>
  <conditionalFormatting sqref="G284">
    <cfRule type="cellIs" dxfId="951" priority="2425" operator="equal">
      <formula>"Not Met"</formula>
    </cfRule>
    <cfRule type="cellIs" dxfId="950" priority="2424" operator="equal">
      <formula>"Met"</formula>
    </cfRule>
  </conditionalFormatting>
  <conditionalFormatting sqref="G289:G290">
    <cfRule type="cellIs" dxfId="949" priority="26" operator="equal">
      <formula>"Met"</formula>
    </cfRule>
  </conditionalFormatting>
  <conditionalFormatting sqref="G292:G294">
    <cfRule type="expression" dxfId="948" priority="348">
      <formula>$G$294="N/A"</formula>
    </cfRule>
  </conditionalFormatting>
  <conditionalFormatting sqref="G295">
    <cfRule type="expression" dxfId="947" priority="1680">
      <formula>G294="Yes"</formula>
    </cfRule>
  </conditionalFormatting>
  <conditionalFormatting sqref="G302">
    <cfRule type="expression" dxfId="946" priority="139">
      <formula>$B$300&lt;&gt;""</formula>
    </cfRule>
  </conditionalFormatting>
  <conditionalFormatting sqref="G17:H19">
    <cfRule type="cellIs" dxfId="945" priority="2288" operator="equal">
      <formula>"Not Met"</formula>
    </cfRule>
  </conditionalFormatting>
  <conditionalFormatting sqref="G23:H23">
    <cfRule type="cellIs" dxfId="944" priority="159" operator="equal">
      <formula>"Not Met"</formula>
    </cfRule>
  </conditionalFormatting>
  <conditionalFormatting sqref="G24:H24 H25:H29 G31:H33 H31:H34 G34">
    <cfRule type="cellIs" dxfId="943" priority="2615" operator="equal">
      <formula>"Not Met"</formula>
    </cfRule>
  </conditionalFormatting>
  <conditionalFormatting sqref="G46:H46">
    <cfRule type="cellIs" dxfId="942" priority="2591" operator="equal">
      <formula>"Not Met"</formula>
    </cfRule>
  </conditionalFormatting>
  <conditionalFormatting sqref="G50:H53">
    <cfRule type="cellIs" dxfId="941" priority="2583" operator="equal">
      <formula>"Not Met"</formula>
    </cfRule>
  </conditionalFormatting>
  <conditionalFormatting sqref="G58:H58">
    <cfRule type="cellIs" dxfId="940" priority="145" operator="equal">
      <formula>"Not Met"</formula>
    </cfRule>
  </conditionalFormatting>
  <conditionalFormatting sqref="G59:H59">
    <cfRule type="cellIs" dxfId="939" priority="2581" operator="equal">
      <formula>"Not Met"</formula>
    </cfRule>
  </conditionalFormatting>
  <conditionalFormatting sqref="G92:H92">
    <cfRule type="cellIs" dxfId="938" priority="2547" operator="equal">
      <formula>"Not Met"</formula>
    </cfRule>
  </conditionalFormatting>
  <conditionalFormatting sqref="G93:H93">
    <cfRule type="cellIs" dxfId="937" priority="2081" operator="equal">
      <formula>"Not Met"</formula>
    </cfRule>
  </conditionalFormatting>
  <conditionalFormatting sqref="G110:H111">
    <cfRule type="cellIs" dxfId="936" priority="2529" operator="equal">
      <formula>"Not Met"</formula>
    </cfRule>
  </conditionalFormatting>
  <conditionalFormatting sqref="G112:H116">
    <cfRule type="cellIs" dxfId="935" priority="2171" operator="equal">
      <formula>"Not Met"</formula>
    </cfRule>
  </conditionalFormatting>
  <conditionalFormatting sqref="G119:H122">
    <cfRule type="cellIs" dxfId="934" priority="2226" operator="equal">
      <formula>"Not Met"</formula>
    </cfRule>
  </conditionalFormatting>
  <conditionalFormatting sqref="G136:H136">
    <cfRule type="cellIs" dxfId="933" priority="2157" operator="equal">
      <formula>"Not Met"</formula>
    </cfRule>
  </conditionalFormatting>
  <conditionalFormatting sqref="G153:H153">
    <cfRule type="cellIs" dxfId="932" priority="2507" operator="equal">
      <formula>"Not Met"</formula>
    </cfRule>
  </conditionalFormatting>
  <conditionalFormatting sqref="G157:H157">
    <cfRule type="cellIs" dxfId="931" priority="2131" operator="equal">
      <formula>"Not Met"</formula>
    </cfRule>
  </conditionalFormatting>
  <conditionalFormatting sqref="G167:H167">
    <cfRule type="cellIs" dxfId="930" priority="115" operator="equal">
      <formula>"Not Met"</formula>
    </cfRule>
  </conditionalFormatting>
  <conditionalFormatting sqref="G176:H176">
    <cfRule type="cellIs" dxfId="929" priority="2501" operator="equal">
      <formula>"Not Met"</formula>
    </cfRule>
  </conditionalFormatting>
  <conditionalFormatting sqref="G206:H209 G200:H200">
    <cfRule type="cellIs" dxfId="928" priority="2237" operator="equal">
      <formula>"Not Met"</formula>
    </cfRule>
  </conditionalFormatting>
  <conditionalFormatting sqref="G223:H224">
    <cfRule type="cellIs" dxfId="927" priority="2101" operator="equal">
      <formula>"Not Met"</formula>
    </cfRule>
  </conditionalFormatting>
  <conditionalFormatting sqref="G235:H235">
    <cfRule type="cellIs" dxfId="926" priority="35" operator="equal">
      <formula>"Not Met"</formula>
    </cfRule>
  </conditionalFormatting>
  <conditionalFormatting sqref="G260:H260">
    <cfRule type="cellIs" dxfId="925" priority="2095" operator="equal">
      <formula>"Not Met"</formula>
    </cfRule>
  </conditionalFormatting>
  <conditionalFormatting sqref="G262:H262 G265:H265">
    <cfRule type="cellIs" dxfId="924" priority="2334" operator="equal">
      <formula>"Not Met"</formula>
    </cfRule>
  </conditionalFormatting>
  <conditionalFormatting sqref="G267:H267">
    <cfRule type="cellIs" dxfId="923" priority="2089" operator="equal">
      <formula>"Not Met"</formula>
    </cfRule>
  </conditionalFormatting>
  <conditionalFormatting sqref="G289:H290">
    <cfRule type="cellIs" dxfId="922" priority="28" operator="equal">
      <formula>"Not Met"</formula>
    </cfRule>
  </conditionalFormatting>
  <conditionalFormatting sqref="H13:H15 H11">
    <cfRule type="cellIs" dxfId="921" priority="2300" operator="equal">
      <formula>"Not Met"</formula>
    </cfRule>
    <cfRule type="cellIs" dxfId="920" priority="2299" operator="equal">
      <formula>"Met"</formula>
    </cfRule>
  </conditionalFormatting>
  <conditionalFormatting sqref="H14">
    <cfRule type="expression" dxfId="919" priority="2217">
      <formula>B13="N/A"</formula>
    </cfRule>
  </conditionalFormatting>
  <conditionalFormatting sqref="H17:H19 H23:H29 H31:H34 H68:H72 H86:H89 H92:H95 H176:H177">
    <cfRule type="cellIs" dxfId="918" priority="2287" operator="equal">
      <formula>"Met"</formula>
    </cfRule>
  </conditionalFormatting>
  <conditionalFormatting sqref="H26">
    <cfRule type="cellIs" dxfId="917" priority="2192" operator="equal">
      <formula>"Not Met"</formula>
    </cfRule>
  </conditionalFormatting>
  <conditionalFormatting sqref="H39:H45">
    <cfRule type="cellIs" dxfId="916" priority="2178" operator="equal">
      <formula>"Not Met"</formula>
    </cfRule>
  </conditionalFormatting>
  <conditionalFormatting sqref="H39:H46 H50:H54 H58:H60 H119:H122 H107 H110:H116">
    <cfRule type="cellIs" dxfId="915" priority="2177" operator="equal">
      <formula>"Met"</formula>
    </cfRule>
  </conditionalFormatting>
  <conditionalFormatting sqref="H54">
    <cfRule type="cellIs" dxfId="914" priority="345" operator="equal">
      <formula>"Not Met"</formula>
    </cfRule>
  </conditionalFormatting>
  <conditionalFormatting sqref="H58:H60 H50:H54 H39:H46 H119:H122">
    <cfRule type="expression" dxfId="913" priority="2176">
      <formula>B39="N/A"</formula>
    </cfRule>
  </conditionalFormatting>
  <conditionalFormatting sqref="H60">
    <cfRule type="cellIs" dxfId="912" priority="420" operator="equal">
      <formula>"Not Met"</formula>
    </cfRule>
  </conditionalFormatting>
  <conditionalFormatting sqref="H64:H66 H86:H89 H186:H188 H192 H197:H198 H213:H215 H219:H221">
    <cfRule type="cellIs" dxfId="911" priority="2657" operator="equal">
      <formula>"Not Met"</formula>
    </cfRule>
  </conditionalFormatting>
  <conditionalFormatting sqref="H64:H66 H153 G10 H186:H188 H192 H197:H198 H213:H215 H219:H221">
    <cfRule type="cellIs" dxfId="910" priority="2656" operator="equal">
      <formula>"Met"</formula>
    </cfRule>
  </conditionalFormatting>
  <conditionalFormatting sqref="H78:H83 H126:H127 H146:H148 H159">
    <cfRule type="cellIs" dxfId="909" priority="2228" operator="equal">
      <formula>"Met"</formula>
    </cfRule>
    <cfRule type="cellIs" dxfId="908" priority="2229" operator="equal">
      <formula>"Not Met"</formula>
    </cfRule>
  </conditionalFormatting>
  <conditionalFormatting sqref="H94:H95">
    <cfRule type="cellIs" dxfId="907" priority="428" operator="equal">
      <formula>"Not Met"</formula>
    </cfRule>
  </conditionalFormatting>
  <conditionalFormatting sqref="H107">
    <cfRule type="cellIs" dxfId="906" priority="83" operator="equal">
      <formula>"Not Met"</formula>
    </cfRule>
  </conditionalFormatting>
  <conditionalFormatting sqref="H126 H157">
    <cfRule type="expression" dxfId="905" priority="2069">
      <formula>G124="N/A"</formula>
    </cfRule>
  </conditionalFormatting>
  <conditionalFormatting sqref="H126:H127 H159 H78:H83 H146:H148">
    <cfRule type="expression" dxfId="904" priority="2227">
      <formula>B78="N/A"</formula>
    </cfRule>
  </conditionalFormatting>
  <conditionalFormatting sqref="H127">
    <cfRule type="expression" dxfId="903" priority="2068">
      <formula>G124="N/A"</formula>
    </cfRule>
  </conditionalFormatting>
  <conditionalFormatting sqref="H129">
    <cfRule type="cellIs" dxfId="902" priority="405" operator="equal">
      <formula>"Met"</formula>
    </cfRule>
    <cfRule type="cellIs" dxfId="901" priority="406" operator="equal">
      <formula>"Not Met"</formula>
    </cfRule>
  </conditionalFormatting>
  <conditionalFormatting sqref="H129:H130">
    <cfRule type="expression" dxfId="900" priority="403">
      <formula>G123="N/A"</formula>
    </cfRule>
  </conditionalFormatting>
  <conditionalFormatting sqref="H129:H132 H23:H29 H68:H72 H107 H110:H116 H136:H137 H139:H143 H157 H92:H95 H13:H15 H17:H19 H31:H34 H64:H66 H86:H89 H153">
    <cfRule type="expression" dxfId="899" priority="2286">
      <formula>B13="N/A"</formula>
    </cfRule>
  </conditionalFormatting>
  <conditionalFormatting sqref="H130:H132">
    <cfRule type="cellIs" dxfId="898" priority="2199" operator="equal">
      <formula>"Not Met"</formula>
    </cfRule>
    <cfRule type="cellIs" dxfId="897" priority="2198" operator="equal">
      <formula>"Met"</formula>
    </cfRule>
  </conditionalFormatting>
  <conditionalFormatting sqref="H131:H132">
    <cfRule type="expression" dxfId="896" priority="2048">
      <formula>G124="N/A"</formula>
    </cfRule>
  </conditionalFormatting>
  <conditionalFormatting sqref="H132 H142">
    <cfRule type="expression" dxfId="895" priority="2042">
      <formula>G124="N/A"</formula>
    </cfRule>
  </conditionalFormatting>
  <conditionalFormatting sqref="H136">
    <cfRule type="cellIs" dxfId="894" priority="2156" operator="equal">
      <formula>"Met"</formula>
    </cfRule>
    <cfRule type="expression" dxfId="893" priority="2034">
      <formula>G134="N/A"</formula>
    </cfRule>
  </conditionalFormatting>
  <conditionalFormatting sqref="H137">
    <cfRule type="expression" dxfId="892" priority="53">
      <formula>G131="N/A"</formula>
    </cfRule>
    <cfRule type="cellIs" dxfId="891" priority="55" operator="equal">
      <formula>"Met"</formula>
    </cfRule>
    <cfRule type="cellIs" dxfId="890" priority="56" operator="equal">
      <formula>"Not Met"</formula>
    </cfRule>
  </conditionalFormatting>
  <conditionalFormatting sqref="H139">
    <cfRule type="cellIs" dxfId="889" priority="400" operator="equal">
      <formula>"Met"</formula>
    </cfRule>
    <cfRule type="cellIs" dxfId="888" priority="401" operator="equal">
      <formula>"Not Met"</formula>
    </cfRule>
  </conditionalFormatting>
  <conditionalFormatting sqref="H139:H141">
    <cfRule type="expression" dxfId="887" priority="398">
      <formula>G133="N/A"</formula>
    </cfRule>
  </conditionalFormatting>
  <conditionalFormatting sqref="H140:H143">
    <cfRule type="cellIs" dxfId="886" priority="2143" operator="equal">
      <formula>"Met"</formula>
    </cfRule>
    <cfRule type="cellIs" dxfId="885" priority="2144" operator="equal">
      <formula>"Not Met"</formula>
    </cfRule>
  </conditionalFormatting>
  <conditionalFormatting sqref="H143">
    <cfRule type="expression" dxfId="884" priority="60">
      <formula>G138="N/A"</formula>
    </cfRule>
  </conditionalFormatting>
  <conditionalFormatting sqref="H157">
    <cfRule type="cellIs" dxfId="883" priority="2130" operator="equal">
      <formula>"Met"</formula>
    </cfRule>
  </conditionalFormatting>
  <conditionalFormatting sqref="H167">
    <cfRule type="expression" dxfId="882" priority="121">
      <formula>B167="N/A"</formula>
    </cfRule>
    <cfRule type="cellIs" dxfId="881" priority="114" operator="equal">
      <formula>"Met"</formula>
    </cfRule>
    <cfRule type="expression" dxfId="880" priority="110">
      <formula>G165="N/A"</formula>
    </cfRule>
  </conditionalFormatting>
  <conditionalFormatting sqref="H172">
    <cfRule type="cellIs" dxfId="879" priority="120" operator="equal">
      <formula>"Not Met"</formula>
    </cfRule>
    <cfRule type="expression" dxfId="878" priority="118">
      <formula>B172="N/A"</formula>
    </cfRule>
    <cfRule type="cellIs" dxfId="877" priority="119" operator="equal">
      <formula>"Met"</formula>
    </cfRule>
  </conditionalFormatting>
  <conditionalFormatting sqref="H177">
    <cfRule type="cellIs" dxfId="876" priority="304" operator="equal">
      <formula>"Not Met"</formula>
    </cfRule>
  </conditionalFormatting>
  <conditionalFormatting sqref="H181:H182">
    <cfRule type="cellIs" dxfId="875" priority="11" operator="equal">
      <formula>"Met"</formula>
    </cfRule>
    <cfRule type="cellIs" dxfId="874" priority="10" operator="equal">
      <formula>"Not Met"</formula>
    </cfRule>
  </conditionalFormatting>
  <conditionalFormatting sqref="H200:H202">
    <cfRule type="cellIs" dxfId="873" priority="290" operator="equal">
      <formula>"Met"</formula>
    </cfRule>
  </conditionalFormatting>
  <conditionalFormatting sqref="H201:H202">
    <cfRule type="cellIs" dxfId="872" priority="291" operator="equal">
      <formula>"Not Met"</formula>
    </cfRule>
  </conditionalFormatting>
  <conditionalFormatting sqref="H206:H209">
    <cfRule type="cellIs" dxfId="871" priority="2236" operator="equal">
      <formula>"Met"</formula>
    </cfRule>
  </conditionalFormatting>
  <conditionalFormatting sqref="H223:H224">
    <cfRule type="cellIs" dxfId="870" priority="2100" operator="equal">
      <formula>"Met"</formula>
    </cfRule>
  </conditionalFormatting>
  <conditionalFormatting sqref="H228:H230">
    <cfRule type="cellIs" dxfId="869" priority="358" operator="equal">
      <formula>"Not Met"</formula>
    </cfRule>
    <cfRule type="cellIs" dxfId="868" priority="357" operator="equal">
      <formula>"Met"</formula>
    </cfRule>
  </conditionalFormatting>
  <conditionalFormatting sqref="H234">
    <cfRule type="cellIs" dxfId="867" priority="1967" operator="equal">
      <formula>"Not Met"</formula>
    </cfRule>
  </conditionalFormatting>
  <conditionalFormatting sqref="H234:H235">
    <cfRule type="cellIs" dxfId="866" priority="34" operator="equal">
      <formula>"Met"</formula>
    </cfRule>
  </conditionalFormatting>
  <conditionalFormatting sqref="H251">
    <cfRule type="cellIs" dxfId="865" priority="2331" operator="equal">
      <formula>"Met"</formula>
    </cfRule>
    <cfRule type="cellIs" dxfId="864" priority="2332" operator="equal">
      <formula>"Not Met"</formula>
    </cfRule>
  </conditionalFormatting>
  <conditionalFormatting sqref="H260">
    <cfRule type="cellIs" dxfId="863" priority="2094" operator="equal">
      <formula>"Met"</formula>
    </cfRule>
  </conditionalFormatting>
  <conditionalFormatting sqref="H262 H265">
    <cfRule type="cellIs" dxfId="862" priority="2333" operator="equal">
      <formula>"Met"</formula>
    </cfRule>
  </conditionalFormatting>
  <conditionalFormatting sqref="H267">
    <cfRule type="cellIs" dxfId="861" priority="2088" operator="equal">
      <formula>"Met"</formula>
    </cfRule>
  </conditionalFormatting>
  <conditionalFormatting sqref="H270:H272">
    <cfRule type="cellIs" dxfId="860" priority="2338" operator="equal">
      <formula>"Not Met"</formula>
    </cfRule>
    <cfRule type="cellIs" dxfId="859" priority="2337" operator="equal">
      <formula>"Met"</formula>
    </cfRule>
  </conditionalFormatting>
  <conditionalFormatting sqref="H274 H276">
    <cfRule type="cellIs" dxfId="858" priority="2344" operator="equal">
      <formula>"Not Met"</formula>
    </cfRule>
    <cfRule type="cellIs" dxfId="857" priority="2343" operator="equal">
      <formula>"Met"</formula>
    </cfRule>
  </conditionalFormatting>
  <conditionalFormatting sqref="H278:H279">
    <cfRule type="cellIs" dxfId="856" priority="2348" operator="equal">
      <formula>"Not Met"</formula>
    </cfRule>
    <cfRule type="cellIs" dxfId="855" priority="2347" operator="equal">
      <formula>"Met"</formula>
    </cfRule>
  </conditionalFormatting>
  <conditionalFormatting sqref="H284:H287">
    <cfRule type="cellIs" dxfId="854" priority="2087" operator="equal">
      <formula>"Not Met"</formula>
    </cfRule>
    <cfRule type="cellIs" dxfId="853" priority="2086" operator="equal">
      <formula>"Met"</formula>
    </cfRule>
  </conditionalFormatting>
  <conditionalFormatting sqref="H289:H290">
    <cfRule type="cellIs" dxfId="852" priority="27" operator="equal">
      <formula>"Met"</formula>
    </cfRule>
  </conditionalFormatting>
  <conditionalFormatting sqref="H47:I47 H55:I57 H61:I63 H73:I75 H96:I101 H149:I151 H178:I180 H183:I185 H189:I191 H194:I196 H203:I205 H216:I218 H257:I259">
    <cfRule type="expression" dxfId="851" priority="280">
      <formula>$H$149&lt;&gt;""</formula>
    </cfRule>
  </conditionalFormatting>
  <conditionalFormatting sqref="H48:I49">
    <cfRule type="expression" dxfId="850" priority="86">
      <formula>$H$48&lt;&gt;""</formula>
    </cfRule>
  </conditionalFormatting>
  <conditionalFormatting sqref="H159:I159">
    <cfRule type="expression" dxfId="849" priority="393">
      <formula>#REF!="N/A"</formula>
    </cfRule>
  </conditionalFormatting>
  <conditionalFormatting sqref="H280:I282">
    <cfRule type="expression" dxfId="848" priority="84">
      <formula>$H$149&lt;&gt;""</formula>
    </cfRule>
  </conditionalFormatting>
  <conditionalFormatting sqref="H346:K346">
    <cfRule type="expression" dxfId="847" priority="133">
      <formula>$B$300&lt;&gt;""</formula>
    </cfRule>
  </conditionalFormatting>
  <conditionalFormatting sqref="H354:K354">
    <cfRule type="expression" dxfId="846" priority="129">
      <formula>$B$300&lt;&gt;""</formula>
    </cfRule>
  </conditionalFormatting>
  <conditionalFormatting sqref="H358:K358">
    <cfRule type="expression" dxfId="845" priority="128">
      <formula>$B$300&lt;&gt;""</formula>
    </cfRule>
  </conditionalFormatting>
  <conditionalFormatting sqref="H292:L293">
    <cfRule type="expression" dxfId="844" priority="1705">
      <formula>AND(#REF!=#REF!,#REF!&gt;=1)</formula>
    </cfRule>
  </conditionalFormatting>
  <conditionalFormatting sqref="H292:M293">
    <cfRule type="expression" dxfId="843" priority="1706">
      <formula>#REF!-#REF!&gt;=1</formula>
    </cfRule>
  </conditionalFormatting>
  <conditionalFormatting sqref="I11 B13:L14 B15:C15 G15:L15">
    <cfRule type="expression" dxfId="842" priority="24">
      <formula>$B$13="I.A.5"</formula>
    </cfRule>
  </conditionalFormatting>
  <conditionalFormatting sqref="I13:I15">
    <cfRule type="expression" dxfId="841" priority="2291">
      <formula>B13="N/A"</formula>
    </cfRule>
  </conditionalFormatting>
  <conditionalFormatting sqref="I14">
    <cfRule type="expression" dxfId="840" priority="2290">
      <formula>B13="N/A"</formula>
    </cfRule>
  </conditionalFormatting>
  <conditionalFormatting sqref="I126 I136 I157">
    <cfRule type="expression" dxfId="839" priority="2067">
      <formula>G124="N/A"</formula>
    </cfRule>
  </conditionalFormatting>
  <conditionalFormatting sqref="I127">
    <cfRule type="expression" dxfId="838" priority="2066">
      <formula>G124="N/A"</formula>
    </cfRule>
  </conditionalFormatting>
  <conditionalFormatting sqref="I129:I130">
    <cfRule type="expression" dxfId="837" priority="407">
      <formula>G123="N/A"</formula>
    </cfRule>
  </conditionalFormatting>
  <conditionalFormatting sqref="I131:I132">
    <cfRule type="expression" dxfId="836" priority="2047">
      <formula>G124="N/A"</formula>
    </cfRule>
  </conditionalFormatting>
  <conditionalFormatting sqref="I137">
    <cfRule type="expression" dxfId="835" priority="54">
      <formula>G131="N/A"</formula>
    </cfRule>
  </conditionalFormatting>
  <conditionalFormatting sqref="I139:I141">
    <cfRule type="expression" dxfId="834" priority="402">
      <formula>G133="N/A"</formula>
    </cfRule>
  </conditionalFormatting>
  <conditionalFormatting sqref="I142">
    <cfRule type="expression" dxfId="833" priority="2041">
      <formula>G134="N/A"</formula>
    </cfRule>
  </conditionalFormatting>
  <conditionalFormatting sqref="I143">
    <cfRule type="expression" dxfId="832" priority="61">
      <formula>G138="N/A"</formula>
    </cfRule>
  </conditionalFormatting>
  <conditionalFormatting sqref="I167">
    <cfRule type="expression" dxfId="831" priority="108">
      <formula>G165="N/A"</formula>
    </cfRule>
  </conditionalFormatting>
  <conditionalFormatting sqref="I1:J1">
    <cfRule type="expression" dxfId="830" priority="2749">
      <formula>#REF!="Not OK"</formula>
    </cfRule>
  </conditionalFormatting>
  <conditionalFormatting sqref="I317:L317">
    <cfRule type="expression" dxfId="829" priority="1896">
      <formula>$B$300&lt;&gt;""</formula>
    </cfRule>
  </conditionalFormatting>
  <conditionalFormatting sqref="I318:L329 C319:H329">
    <cfRule type="expression" dxfId="828" priority="1882">
      <formula>$B$300&lt;&gt;""</formula>
    </cfRule>
  </conditionalFormatting>
  <conditionalFormatting sqref="J11 J13 J15 J17:J19 J23:J24 J31:J32 J34 J58:J59 J96:J101 J139:J140 J142 J153 J172:J174 J107 J92 J206:J208">
    <cfRule type="expression" dxfId="827" priority="2361">
      <formula>G11="Not Met"</formula>
    </cfRule>
  </conditionalFormatting>
  <conditionalFormatting sqref="J13 J15 J11 J17:J19 J23:J24 J31:J32 J34 J58:J59 J96:J101">
    <cfRule type="expression" dxfId="826" priority="2360">
      <formula>J11&gt;0</formula>
    </cfRule>
  </conditionalFormatting>
  <conditionalFormatting sqref="J39:J41 J43:J46 J48:J53 J64:J65 J72 J77 J86 J89 J93 J103:J105 J110:J116 J118:J122 J126 J129:J131 J146 J157 J159:J163 J167 J176 J181 J186 J192 J197 J200 J213 J219 J223:J224 J229:J230 J238:J254 J256:J260 J262 J265 J267 J270 J272 J274:J278 J284 J289">
    <cfRule type="expression" dxfId="825" priority="2411">
      <formula>G39="Not Met"</formula>
    </cfRule>
  </conditionalFormatting>
  <conditionalFormatting sqref="J92:J93 J107 J139:J140 J142 J153 J172:J174 J206:J209 J157 J129:J131 J159:J163 J229:J230 J126 J167 J136 J39:J41 J43:J46 J48:J53 J64:J65 J72 J77 J86 J89 J103:J105 J110:J116 J118:J122 J146 J176 J181 J186 J192 J197 J200 J213 J219 J223:J224 J238:J254 J256:J260 J262 J265 J267 J270 J272 J274:J278 J284">
    <cfRule type="expression" dxfId="824" priority="2410">
      <formula>J39&gt;0</formula>
    </cfRule>
  </conditionalFormatting>
  <conditionalFormatting sqref="J136">
    <cfRule type="expression" dxfId="823" priority="3785">
      <formula>G136="Not Met"</formula>
    </cfRule>
  </conditionalFormatting>
  <conditionalFormatting sqref="J230">
    <cfRule type="expression" dxfId="822" priority="362">
      <formula>G234="Not Met"</formula>
    </cfRule>
    <cfRule type="expression" dxfId="821" priority="363">
      <formula>#REF!="Not Met"</formula>
    </cfRule>
  </conditionalFormatting>
  <conditionalFormatting sqref="J235">
    <cfRule type="expression" dxfId="820" priority="36">
      <formula>J235&gt;0</formula>
    </cfRule>
  </conditionalFormatting>
  <conditionalFormatting sqref="J289:J290">
    <cfRule type="expression" dxfId="819" priority="29">
      <formula>J289&gt;0</formula>
    </cfRule>
  </conditionalFormatting>
  <conditionalFormatting sqref="J332">
    <cfRule type="expression" dxfId="818" priority="137">
      <formula>$B$300&lt;&gt;""</formula>
    </cfRule>
  </conditionalFormatting>
  <conditionalFormatting sqref="J336">
    <cfRule type="expression" dxfId="817" priority="136">
      <formula>$B$300&lt;&gt;""</formula>
    </cfRule>
  </conditionalFormatting>
  <conditionalFormatting sqref="J338">
    <cfRule type="expression" dxfId="816" priority="135">
      <formula>$B$300&lt;&gt;""</formula>
    </cfRule>
  </conditionalFormatting>
  <conditionalFormatting sqref="J342">
    <cfRule type="expression" dxfId="815" priority="134">
      <formula>$B$300&lt;&gt;""</formula>
    </cfRule>
  </conditionalFormatting>
  <conditionalFormatting sqref="J348">
    <cfRule type="expression" dxfId="814" priority="132">
      <formula>$B$300&lt;&gt;""</formula>
    </cfRule>
  </conditionalFormatting>
  <conditionalFormatting sqref="J352">
    <cfRule type="expression" dxfId="813" priority="131">
      <formula>$B$300&lt;&gt;""</formula>
    </cfRule>
  </conditionalFormatting>
  <conditionalFormatting sqref="J356">
    <cfRule type="expression" dxfId="812" priority="130">
      <formula>$B$300&lt;&gt;""</formula>
    </cfRule>
  </conditionalFormatting>
  <conditionalFormatting sqref="J361:J362">
    <cfRule type="expression" dxfId="811" priority="126">
      <formula>$B$300&lt;&gt;""</formula>
    </cfRule>
  </conditionalFormatting>
  <conditionalFormatting sqref="J13:L15">
    <cfRule type="expression" dxfId="810" priority="2289">
      <formula>B13="N/A"</formula>
    </cfRule>
  </conditionalFormatting>
  <conditionalFormatting sqref="J68:L71">
    <cfRule type="expression" dxfId="809" priority="40">
      <formula>$G$68="Not Met"</formula>
    </cfRule>
    <cfRule type="expression" dxfId="808" priority="39">
      <formula>$J$68&lt;&gt;""</formula>
    </cfRule>
  </conditionalFormatting>
  <conditionalFormatting sqref="J92:L92">
    <cfRule type="expression" dxfId="807" priority="42">
      <formula>$J$92&lt;&gt;""</formula>
    </cfRule>
  </conditionalFormatting>
  <conditionalFormatting sqref="J106:L106">
    <cfRule type="expression" dxfId="806" priority="43">
      <formula>$J$106&lt;&gt;""</formula>
    </cfRule>
    <cfRule type="expression" dxfId="805" priority="45">
      <formula>$G$106="Not Met"</formula>
    </cfRule>
  </conditionalFormatting>
  <conditionalFormatting sqref="J107:L107">
    <cfRule type="expression" dxfId="804" priority="44">
      <formula>$J$107&lt;&gt;""</formula>
    </cfRule>
  </conditionalFormatting>
  <conditionalFormatting sqref="J126:L127 J167">
    <cfRule type="expression" dxfId="803" priority="106">
      <formula>G124="N/A"</formula>
    </cfRule>
  </conditionalFormatting>
  <conditionalFormatting sqref="J131:L131 J162:L162">
    <cfRule type="expression" dxfId="802" priority="2046">
      <formula>G124="N/A"</formula>
    </cfRule>
  </conditionalFormatting>
  <conditionalFormatting sqref="J136:L136">
    <cfRule type="expression" dxfId="801" priority="51">
      <formula>G133="N/A"</formula>
    </cfRule>
  </conditionalFormatting>
  <conditionalFormatting sqref="J136:L137">
    <cfRule type="expression" dxfId="800" priority="50">
      <formula>$J$136&lt;&gt;""</formula>
    </cfRule>
  </conditionalFormatting>
  <conditionalFormatting sqref="J139:L139 J129:L129 J160:L160">
    <cfRule type="expression" dxfId="799" priority="2058">
      <formula>G124="N/A"</formula>
    </cfRule>
  </conditionalFormatting>
  <conditionalFormatting sqref="J139:L139">
    <cfRule type="expression" dxfId="798" priority="57">
      <formula>$J$139&lt;&gt;""</formula>
    </cfRule>
  </conditionalFormatting>
  <conditionalFormatting sqref="J140:L140 J130:L130 J161:L161">
    <cfRule type="expression" dxfId="797" priority="2052">
      <formula>G124="N/A"</formula>
    </cfRule>
  </conditionalFormatting>
  <conditionalFormatting sqref="J140:L141">
    <cfRule type="expression" dxfId="796" priority="58">
      <formula>$J$140&lt;&gt;""</formula>
    </cfRule>
  </conditionalFormatting>
  <conditionalFormatting sqref="J142:L142">
    <cfRule type="expression" dxfId="795" priority="2040">
      <formula>G134="N/A"</formula>
    </cfRule>
  </conditionalFormatting>
  <conditionalFormatting sqref="J142:L143">
    <cfRule type="expression" dxfId="794" priority="59">
      <formula>$J$142&lt;&gt;""</formula>
    </cfRule>
  </conditionalFormatting>
  <conditionalFormatting sqref="J149:L151">
    <cfRule type="expression" dxfId="793" priority="123">
      <formula>J149&lt;&gt;""</formula>
    </cfRule>
    <cfRule type="expression" dxfId="792" priority="124">
      <formula>G149="Not Met"</formula>
    </cfRule>
  </conditionalFormatting>
  <conditionalFormatting sqref="J153:L153">
    <cfRule type="expression" dxfId="791" priority="66">
      <formula>$J$153&lt;&gt;""</formula>
    </cfRule>
  </conditionalFormatting>
  <conditionalFormatting sqref="J157:L157">
    <cfRule type="expression" dxfId="790" priority="2065">
      <formula>G155="N/A"</formula>
    </cfRule>
  </conditionalFormatting>
  <conditionalFormatting sqref="J159:L159">
    <cfRule type="expression" dxfId="789" priority="2024">
      <formula>G155="N/A"</formula>
    </cfRule>
  </conditionalFormatting>
  <conditionalFormatting sqref="J163:L163">
    <cfRule type="expression" dxfId="788" priority="1968">
      <formula>G155="N/A"</formula>
    </cfRule>
  </conditionalFormatting>
  <conditionalFormatting sqref="J168:L168">
    <cfRule type="expression" dxfId="787" priority="2">
      <formula>$J$168&lt;&gt;""</formula>
    </cfRule>
    <cfRule type="expression" dxfId="786" priority="19">
      <formula>$G$168="Not Met"</formula>
    </cfRule>
  </conditionalFormatting>
  <conditionalFormatting sqref="J169:L169">
    <cfRule type="expression" dxfId="785" priority="1">
      <formula>$J$169&lt;&gt;""</formula>
    </cfRule>
    <cfRule type="expression" dxfId="784" priority="18">
      <formula>$G$169="Not Met"</formula>
    </cfRule>
  </conditionalFormatting>
  <conditionalFormatting sqref="J170:L170">
    <cfRule type="expression" dxfId="783" priority="17">
      <formula>$G$170="Not Met"</formula>
    </cfRule>
  </conditionalFormatting>
  <conditionalFormatting sqref="J172:L172">
    <cfRule type="expression" dxfId="782" priority="48">
      <formula>$J$172&lt;&gt;""</formula>
    </cfRule>
  </conditionalFormatting>
  <conditionalFormatting sqref="J173:L173">
    <cfRule type="expression" dxfId="781" priority="47">
      <formula>$J$173&lt;&gt;""</formula>
    </cfRule>
  </conditionalFormatting>
  <conditionalFormatting sqref="J174:L174">
    <cfRule type="expression" dxfId="780" priority="46">
      <formula>$J$174&lt;&gt;""</formula>
    </cfRule>
  </conditionalFormatting>
  <conditionalFormatting sqref="J206:L206">
    <cfRule type="expression" dxfId="779" priority="14">
      <formula>$J$206&lt;&gt;""</formula>
    </cfRule>
  </conditionalFormatting>
  <conditionalFormatting sqref="J207:L207">
    <cfRule type="expression" dxfId="778" priority="13">
      <formula>$J$207&lt;&gt;""</formula>
    </cfRule>
  </conditionalFormatting>
  <conditionalFormatting sqref="J208:L208">
    <cfRule type="expression" dxfId="777" priority="12">
      <formula>$J$208&lt;&gt;""</formula>
    </cfRule>
  </conditionalFormatting>
  <conditionalFormatting sqref="J227:L227">
    <cfRule type="expression" dxfId="776" priority="365">
      <formula>$J$227&lt;&gt;""</formula>
    </cfRule>
    <cfRule type="expression" dxfId="775" priority="366">
      <formula>$G$227="Not Met"</formula>
    </cfRule>
  </conditionalFormatting>
  <conditionalFormatting sqref="J233:L233">
    <cfRule type="expression" dxfId="774" priority="352">
      <formula>$G$233="Not Met"</formula>
    </cfRule>
    <cfRule type="expression" dxfId="773" priority="351">
      <formula>$J$233&gt;0</formula>
    </cfRule>
  </conditionalFormatting>
  <conditionalFormatting sqref="N292:N293">
    <cfRule type="expression" dxfId="772" priority="1709">
      <formula>#REF!-#REF!&gt;=1</formula>
    </cfRule>
  </conditionalFormatting>
  <conditionalFormatting sqref="O292:P293">
    <cfRule type="expression" dxfId="771" priority="170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H54 H78:H83 H234:H235 H119:H122 H107 H274:H279 H126:H127 H129:H132 H139:H143 H167 H289:H290 H157 H64:H66 H153 H192 H181:H182 H256 H68:H72 H262:H268 H270:H272 H260 H219:H221 H284:H287 H206:H209 H110:H116 H159 H197:H198 H223:H224 H146:H148 H186:H188 H200:H202 H31:H34 H58:H60 H213:H215 H172 H17:H19 H23:H29 H39:H46 H136:H137 H86:H89 H92:H95 H239:H254 H228:H230 H176:H177 H11 H13:H15"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09 G235 G290" xr:uid="{00000000-0002-0000-0200-000004000000}">
      <formula1>"Met, Not Met, N/A"</formula1>
    </dataValidation>
    <dataValidation type="list" allowBlank="1" showInputMessage="1" showErrorMessage="1" sqref="G124 G294 G155 G134" xr:uid="{00000000-0002-0000-0200-000005000000}">
      <formula1>"Yes, N/A"</formula1>
    </dataValidation>
    <dataValidation type="list" allowBlank="1" showInputMessage="1" showErrorMessage="1" sqref="J124" xr:uid="{00000000-0002-0000-0200-000006000000}">
      <formula1>"1, 2, 3, 4, 5"</formula1>
    </dataValidation>
    <dataValidation type="list" allowBlank="1" showInputMessage="1" showErrorMessage="1" sqref="J134" xr:uid="{00000000-0002-0000-0200-000007000000}">
      <formula1>"1, 2, 3, 4, 5, 6, 7, 8, 9, 10, 11, 12, 13, 14, 15, 16, 17, 18, 19, 20"</formula1>
    </dataValidation>
    <dataValidation type="list" allowBlank="1" showInputMessage="1" showErrorMessage="1" sqref="J155" xr:uid="{00000000-0002-0000-0200-000008000000}">
      <formula1>"1, 1 (Same as PD), 2, 3, 4, 5, 6, 7, 8, 9, 10"</formula1>
    </dataValidation>
    <dataValidation type="list" allowBlank="1" showInputMessage="1" showErrorMessage="1" sqref="J338 J336 J342 J348 J352 J356 J361:J362 G302 K310:K312 J332 G165" xr:uid="{00000000-0002-0000-0200-000009000000}">
      <formula1>"Yes, No"</formula1>
    </dataValidation>
    <dataValidation type="list" allowBlank="1" showInputMessage="1" showErrorMessage="1" sqref="G293" xr:uid="{00000000-0002-0000-0200-00000B000000}">
      <formula1>"N/A, 1, 2, 3, 4"</formula1>
    </dataValidation>
    <dataValidation type="list" allowBlank="1" showInputMessage="1" showErrorMessage="1" sqref="G292" xr:uid="{48C5D2C4-E69C-466D-8A85-3225E56D83FF}">
      <formula1>"N/A, 1, 2, 3, 4, 5, 6, 7, 8, 9, 10, 11, 12, 13, 14, 15, 16"</formula1>
    </dataValidation>
    <dataValidation type="list" allowBlank="1" showInputMessage="1" showErrorMessage="1" sqref="G295" xr:uid="{4D0E0018-08C2-4FBE-B316-47E054EA1417}">
      <formula1>"1, 2, 3, 4"</formula1>
    </dataValidation>
    <dataValidation type="list" allowBlank="1" showInputMessage="1" showErrorMessage="1" sqref="J165" xr:uid="{553E93ED-9F58-4AAD-8E67-CA9B7114ADE2}">
      <formula1>"1, 1 (Same as PD), 2, 3, 4, 5"</formula1>
    </dataValidation>
    <dataValidation type="list" allowBlank="1" showInputMessage="1" showErrorMessage="1" sqref="G23:G29 G31:G34 G39:G46 G50:G54 G58:G60 G64:G66 G68:G72 G77:G83 G86:G95 G103:G107 G110:G116 G118:G122 G13:G15 G17:G19 G129 G131:G132 G130 G126:G127 G142:G143 G140:G141 G139 G136:G137 G146:G148 G153 G163 G162 G161 G160 G159 G157 G167 G168 G169 G170 G172 G173 G174 G176:G177 G181:G182 G186:G188 G192:G193 G197:G198 G200:G202 G206 G207 G208 G213:G215 G219:G221 G223 G224 G227:G228 G229 G230:G231 G233:G234 G238 G239 G240 G241 G242 G243 G244 G245 G246 G247 G248 G249 G250 G251 G252 G253 G254:G255 G256 G260 G262:G264 G265:G266 G267:G268 G270:G271 G272 G274 G275 G276 G277 G278:G279 G284:G287 G289"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1" manualBreakCount="11">
    <brk id="31" min="1" max="11" man="1"/>
    <brk id="58" min="1" max="11" man="1"/>
    <brk id="87" min="1" max="11" man="1"/>
    <brk id="106" min="1" max="11" man="1"/>
    <brk id="130" min="1" max="11" man="1"/>
    <brk id="159" min="1" max="11" man="1"/>
    <brk id="184" min="1" max="11" man="1"/>
    <brk id="208" min="1" max="11" man="1"/>
    <brk id="234" min="1" max="11" man="1"/>
    <brk id="264" min="1" max="11" man="1"/>
    <brk id="298"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37"/>
  <sheetViews>
    <sheetView showGridLines="0" zoomScaleNormal="100" workbookViewId="0">
      <selection activeCell="A24" sqref="A24:XFD24"/>
    </sheetView>
  </sheetViews>
  <sheetFormatPr defaultColWidth="9.125" defaultRowHeight="14.25"/>
  <cols>
    <col min="1" max="1" width="3.625" customWidth="1"/>
    <col min="2" max="2" width="12.5" customWidth="1"/>
    <col min="3" max="3" width="32.125" customWidth="1"/>
    <col min="4" max="4" width="15.625" customWidth="1"/>
    <col min="5" max="5" width="30.625" customWidth="1"/>
    <col min="6" max="6" width="10.625" customWidth="1"/>
    <col min="7" max="7" width="40.625" customWidth="1"/>
    <col min="8" max="8" width="3.625" customWidth="1"/>
    <col min="9" max="9" width="12.5" customWidth="1"/>
    <col min="10" max="10" width="32.125" customWidth="1"/>
    <col min="11" max="11" width="15.625" customWidth="1"/>
    <col min="12" max="12" width="30.625" customWidth="1"/>
    <col min="13" max="13" width="10.625" customWidth="1"/>
    <col min="14" max="14" width="40.625" customWidth="1"/>
    <col min="15" max="15" width="3.625" customWidth="1"/>
    <col min="16" max="16" width="12.5" customWidth="1"/>
    <col min="17" max="17" width="32.125" customWidth="1"/>
    <col min="18" max="18" width="15.625" customWidth="1"/>
    <col min="19" max="19" width="30.625" customWidth="1"/>
    <col min="20" max="20" width="10.625" customWidth="1"/>
    <col min="21" max="21" width="40.625" customWidth="1"/>
    <col min="22" max="22" width="3.625" customWidth="1"/>
    <col min="23" max="23" width="12.5" customWidth="1"/>
    <col min="24" max="24" width="32.125" customWidth="1"/>
    <col min="25" max="25" width="15.625" customWidth="1"/>
    <col min="26" max="26" width="30.625" customWidth="1"/>
    <col min="27" max="27" width="10.625" customWidth="1"/>
    <col min="28" max="28" width="40.625" customWidth="1"/>
    <col min="29" max="29" width="3.625" customWidth="1"/>
    <col min="30" max="30" width="12.5" customWidth="1"/>
    <col min="31" max="31" width="32.125" customWidth="1"/>
    <col min="32" max="32" width="15.625" customWidth="1"/>
    <col min="33" max="33" width="30.625" customWidth="1"/>
    <col min="34" max="34" width="10.625" customWidth="1"/>
    <col min="35" max="35" width="40.625" customWidth="1"/>
    <col min="36" max="36" width="3.625" customWidth="1"/>
    <col min="37" max="37" width="12.5" customWidth="1"/>
    <col min="38" max="38" width="32.125" customWidth="1"/>
    <col min="39" max="39" width="15.625" customWidth="1"/>
    <col min="40" max="40" width="30.625" customWidth="1"/>
    <col min="41" max="41" width="10.625" customWidth="1"/>
    <col min="42" max="42" width="40.625" customWidth="1"/>
    <col min="43" max="43" width="3.625" customWidth="1"/>
    <col min="44" max="44" width="12.5" customWidth="1"/>
    <col min="45" max="45" width="32.125" customWidth="1"/>
    <col min="46" max="46" width="15.625" customWidth="1"/>
    <col min="47" max="47" width="30.625" customWidth="1"/>
    <col min="48" max="48" width="10.625" customWidth="1"/>
    <col min="49" max="49" width="40.625" customWidth="1"/>
    <col min="50" max="50" width="3.625" customWidth="1"/>
    <col min="51" max="51" width="12.5" customWidth="1"/>
    <col min="52" max="52" width="32.125" customWidth="1"/>
    <col min="53" max="53" width="15.625" customWidth="1"/>
    <col min="54" max="54" width="30.625" customWidth="1"/>
    <col min="55" max="55" width="10.625" customWidth="1"/>
    <col min="56" max="56" width="40.625" customWidth="1"/>
    <col min="57" max="57" width="3.625" customWidth="1"/>
    <col min="58" max="58" width="12.5" customWidth="1"/>
    <col min="59" max="59" width="32.125" customWidth="1"/>
    <col min="60" max="60" width="15.625" customWidth="1"/>
    <col min="61" max="61" width="30.625" customWidth="1"/>
    <col min="62" max="62" width="10.625" customWidth="1"/>
    <col min="63" max="63" width="40.625" customWidth="1"/>
    <col min="64" max="64" width="3.625" customWidth="1"/>
    <col min="65" max="65" width="12.5" customWidth="1"/>
    <col min="66" max="66" width="32.125" customWidth="1"/>
    <col min="67" max="67" width="15.625" customWidth="1"/>
    <col min="68" max="68" width="30.625" customWidth="1"/>
    <col min="69" max="69" width="10.625" customWidth="1"/>
    <col min="70" max="70" width="40.625" customWidth="1"/>
    <col min="71" max="71" width="3.625" customWidth="1"/>
  </cols>
  <sheetData>
    <row r="2" spans="2:12" ht="83.25" customHeight="1">
      <c r="B2" s="722" t="s">
        <v>260</v>
      </c>
      <c r="C2" s="722"/>
      <c r="D2" s="722"/>
      <c r="E2" s="722"/>
      <c r="F2" s="722"/>
      <c r="G2" s="723"/>
    </row>
    <row r="3" spans="2:12" ht="20.25" customHeight="1">
      <c r="B3" s="761">
        <f>'Cover Page'!D10</f>
        <v>0</v>
      </c>
      <c r="C3" s="762"/>
      <c r="D3" s="737">
        <f>'Cover Page'!D12</f>
        <v>0</v>
      </c>
      <c r="E3" s="737"/>
      <c r="F3" s="737"/>
      <c r="G3" s="738"/>
    </row>
    <row r="4" spans="2:12" ht="35.1" customHeight="1">
      <c r="B4" s="739" t="s">
        <v>598</v>
      </c>
      <c r="C4" s="740"/>
      <c r="D4" s="740"/>
      <c r="E4" s="740"/>
      <c r="F4" s="740"/>
      <c r="G4" s="741"/>
    </row>
    <row r="5" spans="2:12" s="146" customFormat="1" ht="27" customHeight="1">
      <c r="B5" s="730" t="str">
        <f>IF('Cover Page'!$D$8&lt;&gt;"Please Select",'Cover Page'!$D$8, "")</f>
        <v/>
      </c>
      <c r="C5" s="730"/>
      <c r="D5" s="730"/>
      <c r="E5" s="730"/>
      <c r="F5" s="730"/>
      <c r="G5" s="731"/>
      <c r="H5"/>
      <c r="I5"/>
      <c r="J5"/>
      <c r="K5"/>
      <c r="L5"/>
    </row>
    <row r="6" spans="2:12" s="7" customFormat="1" ht="47.1" customHeight="1">
      <c r="B6" s="742" t="s">
        <v>224</v>
      </c>
      <c r="C6" s="743"/>
      <c r="D6" s="743"/>
      <c r="E6" s="743"/>
      <c r="F6" s="743"/>
      <c r="G6" s="744"/>
    </row>
    <row r="7" spans="2:12" s="7" customFormat="1" ht="179.25" customHeight="1">
      <c r="B7" s="751" t="s">
        <v>225</v>
      </c>
      <c r="C7" s="752"/>
      <c r="D7" s="752"/>
      <c r="E7" s="752"/>
      <c r="F7" s="752"/>
      <c r="G7" s="753"/>
    </row>
    <row r="8" spans="2:12" ht="66" customHeight="1">
      <c r="B8" s="727" t="s">
        <v>586</v>
      </c>
      <c r="C8" s="728"/>
      <c r="D8" s="728"/>
      <c r="E8" s="728"/>
      <c r="F8" s="728"/>
      <c r="G8" s="729"/>
    </row>
    <row r="9" spans="2:12" s="146" customFormat="1" ht="27" customHeight="1">
      <c r="B9" s="730" t="str">
        <f>IF('Cover Page'!$D$8&lt;&gt;"Please Select",'Cover Page'!$D$8, "")</f>
        <v/>
      </c>
      <c r="C9" s="730"/>
      <c r="D9" s="730"/>
      <c r="E9" s="730"/>
      <c r="F9" s="730"/>
      <c r="G9" s="731"/>
      <c r="H9"/>
      <c r="I9"/>
      <c r="J9"/>
      <c r="K9"/>
      <c r="L9"/>
    </row>
    <row r="10" spans="2:12" ht="24.75" customHeight="1">
      <c r="B10" s="754" t="s">
        <v>579</v>
      </c>
      <c r="C10" s="755"/>
      <c r="D10" s="756"/>
      <c r="E10" s="756"/>
      <c r="F10" s="756"/>
      <c r="G10" s="757"/>
    </row>
    <row r="11" spans="2:12" ht="56.25" customHeight="1">
      <c r="B11" s="407" t="s">
        <v>587</v>
      </c>
      <c r="C11" s="408"/>
      <c r="D11" s="408"/>
      <c r="E11" s="408"/>
      <c r="F11" s="408"/>
      <c r="G11" s="409"/>
    </row>
    <row r="12" spans="2:12" ht="53.25" customHeight="1">
      <c r="B12" s="745" t="s">
        <v>588</v>
      </c>
      <c r="C12" s="746"/>
      <c r="D12" s="746"/>
      <c r="E12" s="746"/>
      <c r="F12" s="746"/>
      <c r="G12" s="747"/>
    </row>
    <row r="13" spans="2:12" s="2" customFormat="1" ht="15.75">
      <c r="B13" s="240" t="s">
        <v>226</v>
      </c>
      <c r="C13" s="724"/>
      <c r="D13" s="725"/>
      <c r="E13" s="725"/>
      <c r="F13" s="725"/>
      <c r="G13" s="726"/>
    </row>
    <row r="14" spans="2:12" s="2" customFormat="1" ht="15.75">
      <c r="B14" s="240" t="s">
        <v>289</v>
      </c>
      <c r="C14" s="724"/>
      <c r="D14" s="725"/>
      <c r="E14" s="725"/>
      <c r="F14" s="725"/>
      <c r="G14" s="726"/>
    </row>
    <row r="15" spans="2:12" s="2" customFormat="1" ht="15.75">
      <c r="B15" s="240" t="s">
        <v>227</v>
      </c>
      <c r="C15" s="724"/>
      <c r="D15" s="725"/>
      <c r="E15" s="725"/>
      <c r="F15" s="725"/>
      <c r="G15" s="726"/>
    </row>
    <row r="16" spans="2:12" s="2" customFormat="1" ht="15.75">
      <c r="B16" s="240" t="s">
        <v>228</v>
      </c>
      <c r="C16" s="724"/>
      <c r="D16" s="725"/>
      <c r="E16" s="725"/>
      <c r="F16" s="725"/>
      <c r="G16" s="726"/>
    </row>
    <row r="17" spans="2:23" s="2" customFormat="1" ht="15.75">
      <c r="B17" s="240" t="s">
        <v>229</v>
      </c>
      <c r="C17" s="724"/>
      <c r="D17" s="725"/>
      <c r="E17" s="725"/>
      <c r="F17" s="725"/>
      <c r="G17" s="726"/>
    </row>
    <row r="18" spans="2:23" s="2" customFormat="1" ht="15.75">
      <c r="B18" s="240" t="s">
        <v>230</v>
      </c>
      <c r="C18" s="724"/>
      <c r="D18" s="725"/>
      <c r="E18" s="725"/>
      <c r="F18" s="725"/>
      <c r="G18" s="726"/>
      <c r="Q18" s="49"/>
    </row>
    <row r="19" spans="2:23" s="2" customFormat="1" ht="15.75">
      <c r="B19" s="240" t="s">
        <v>231</v>
      </c>
      <c r="C19" s="724"/>
      <c r="D19" s="725"/>
      <c r="E19" s="725"/>
      <c r="F19" s="725"/>
      <c r="G19" s="726"/>
      <c r="Q19" s="49"/>
    </row>
    <row r="20" spans="2:23" s="2" customFormat="1" ht="15.75">
      <c r="B20" s="240" t="s">
        <v>232</v>
      </c>
      <c r="C20" s="724"/>
      <c r="D20" s="725"/>
      <c r="E20" s="725"/>
      <c r="F20" s="725"/>
      <c r="G20" s="726"/>
      <c r="Q20" s="49"/>
    </row>
    <row r="21" spans="2:23" s="2" customFormat="1" ht="15.75">
      <c r="B21" s="240" t="s">
        <v>233</v>
      </c>
      <c r="C21" s="724"/>
      <c r="D21" s="725"/>
      <c r="E21" s="725"/>
      <c r="F21" s="725"/>
      <c r="G21" s="726"/>
      <c r="Q21" s="49"/>
    </row>
    <row r="22" spans="2:23" s="2" customFormat="1" ht="15.75">
      <c r="B22" s="240" t="s">
        <v>234</v>
      </c>
      <c r="C22" s="724"/>
      <c r="D22" s="725"/>
      <c r="E22" s="725"/>
      <c r="F22" s="725"/>
      <c r="G22" s="726"/>
      <c r="Q22" s="49"/>
    </row>
    <row r="23" spans="2:23" s="2" customFormat="1" ht="15.75">
      <c r="B23" s="240" t="s">
        <v>235</v>
      </c>
      <c r="C23" s="724"/>
      <c r="D23" s="725"/>
      <c r="E23" s="725"/>
      <c r="F23" s="725"/>
      <c r="G23" s="726"/>
      <c r="Q23" s="49"/>
    </row>
    <row r="24" spans="2:23" s="2" customFormat="1" ht="15.75">
      <c r="B24" s="240" t="s">
        <v>236</v>
      </c>
      <c r="C24" s="724"/>
      <c r="D24" s="725"/>
      <c r="E24" s="725"/>
      <c r="F24" s="725"/>
      <c r="G24" s="726"/>
      <c r="Q24" s="49"/>
    </row>
    <row r="25" spans="2:23" s="2" customFormat="1" ht="15.75">
      <c r="B25" s="240" t="s">
        <v>237</v>
      </c>
      <c r="C25" s="724"/>
      <c r="D25" s="725"/>
      <c r="E25" s="725"/>
      <c r="F25" s="725"/>
      <c r="G25" s="726"/>
      <c r="Q25" s="49"/>
    </row>
    <row r="26" spans="2:23" s="2" customFormat="1" ht="15.75">
      <c r="B26" s="240" t="s">
        <v>238</v>
      </c>
      <c r="C26" s="724"/>
      <c r="D26" s="725"/>
      <c r="E26" s="725"/>
      <c r="F26" s="725"/>
      <c r="G26" s="726"/>
      <c r="Q26" s="49"/>
      <c r="R26" s="49"/>
      <c r="S26" s="49"/>
      <c r="T26" s="49"/>
      <c r="U26" s="49"/>
      <c r="V26" s="49"/>
      <c r="W26" s="49"/>
    </row>
    <row r="27" spans="2:23" s="2" customFormat="1" ht="15.75">
      <c r="B27" s="240" t="s">
        <v>239</v>
      </c>
      <c r="C27" s="724"/>
      <c r="D27" s="725"/>
      <c r="E27" s="725"/>
      <c r="F27" s="725"/>
      <c r="G27" s="726"/>
      <c r="Q27" s="49"/>
      <c r="R27" s="49"/>
      <c r="S27" s="49"/>
      <c r="T27" s="49"/>
      <c r="U27" s="49"/>
      <c r="V27" s="49"/>
      <c r="W27" s="49"/>
    </row>
    <row r="28" spans="2:23" ht="7.5" hidden="1" customHeight="1">
      <c r="B28" s="748"/>
      <c r="C28" s="749"/>
      <c r="D28" s="749"/>
      <c r="E28" s="749"/>
      <c r="F28" s="749"/>
      <c r="G28" s="750"/>
      <c r="Q28" s="11"/>
      <c r="R28" s="11"/>
      <c r="S28" s="11"/>
      <c r="T28" s="11"/>
      <c r="U28" s="11"/>
      <c r="V28" s="11"/>
      <c r="W28" s="11"/>
    </row>
    <row r="29" spans="2:23" ht="31.5" customHeight="1">
      <c r="B29" s="763" t="s">
        <v>772</v>
      </c>
      <c r="C29" s="764"/>
      <c r="D29" s="764"/>
      <c r="E29" s="764"/>
      <c r="F29" s="764"/>
      <c r="G29" s="765"/>
      <c r="H29" s="721"/>
      <c r="I29" s="721"/>
      <c r="J29" s="721"/>
      <c r="K29" s="721"/>
      <c r="L29" s="721"/>
      <c r="M29" s="721"/>
      <c r="N29" s="721"/>
      <c r="O29" s="721"/>
      <c r="Q29" s="11"/>
      <c r="R29" s="11"/>
      <c r="S29" s="11"/>
      <c r="T29" s="11"/>
      <c r="U29" s="11"/>
      <c r="V29" s="11"/>
      <c r="W29" s="11"/>
    </row>
    <row r="30" spans="2:23" ht="71.25" customHeight="1">
      <c r="B30" s="766" t="str">
        <f>IF('Satellite(s)'!M4&lt;&gt;0,"The main location and any satellite locations noted in the Site Visit Findings tab of this report are listed below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rows.","The Site Visit Findings tab of this report are listed below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The Site Visit Findings tab of this report are listed below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767"/>
      <c r="D30" s="767"/>
      <c r="E30" s="767"/>
      <c r="F30" s="767"/>
      <c r="G30" s="768"/>
      <c r="H30" s="721"/>
      <c r="I30" s="721"/>
      <c r="J30" s="721"/>
      <c r="K30" s="721"/>
      <c r="L30" s="721"/>
      <c r="M30" s="721"/>
      <c r="N30" s="721"/>
      <c r="O30" s="721"/>
      <c r="Q30" s="11"/>
      <c r="R30" s="11"/>
      <c r="S30" s="11"/>
      <c r="T30" s="11"/>
      <c r="U30" s="11"/>
      <c r="V30" s="11"/>
      <c r="W30" s="11"/>
    </row>
    <row r="31" spans="2:23" ht="24" customHeight="1">
      <c r="B31" s="758" t="s">
        <v>589</v>
      </c>
      <c r="C31" s="759"/>
      <c r="D31" s="758" t="s">
        <v>240</v>
      </c>
      <c r="E31" s="759"/>
      <c r="F31" s="760"/>
      <c r="G31" s="290" t="s">
        <v>259</v>
      </c>
      <c r="H31" s="720"/>
      <c r="I31" s="720"/>
      <c r="J31" s="720"/>
      <c r="K31" s="720"/>
      <c r="L31" s="720"/>
      <c r="M31" s="720"/>
      <c r="N31" s="720"/>
      <c r="O31" s="720"/>
      <c r="Q31" s="11"/>
      <c r="R31" s="11"/>
      <c r="S31" s="11"/>
      <c r="T31" s="11"/>
      <c r="U31" s="11"/>
      <c r="V31" s="11"/>
      <c r="W31" s="11"/>
    </row>
    <row r="32" spans="2:23" s="2" customFormat="1" ht="15">
      <c r="B32" s="713" t="str">
        <f>IF('SV Findings'!G11="Not Met",'SV Findings'!C11,"")</f>
        <v/>
      </c>
      <c r="C32" s="734"/>
      <c r="D32" s="710" t="str">
        <f>IF('SV Findings'!G11="Not Met", 'SV Findings'!J11,"")</f>
        <v/>
      </c>
      <c r="E32" s="711"/>
      <c r="F32" s="712"/>
      <c r="G32" s="241"/>
      <c r="H32" s="732"/>
      <c r="I32" s="733"/>
      <c r="J32" s="733"/>
      <c r="K32" s="733"/>
      <c r="R32" s="49"/>
      <c r="S32" s="49"/>
      <c r="T32" s="49"/>
      <c r="U32" s="49"/>
      <c r="V32" s="49"/>
      <c r="W32" s="49"/>
    </row>
    <row r="33" spans="2:23" s="2" customFormat="1" ht="15">
      <c r="B33" s="713" t="str">
        <f>IF('SV Findings'!G13="Not Met",'SV Findings'!Q13,"")</f>
        <v/>
      </c>
      <c r="C33" s="734"/>
      <c r="D33" s="710" t="str">
        <f>IF('SV Findings'!G13="Not Met", 'SV Findings'!J13,"")</f>
        <v/>
      </c>
      <c r="E33" s="711"/>
      <c r="F33" s="712"/>
      <c r="G33" s="241"/>
      <c r="R33" s="49"/>
      <c r="S33" s="49"/>
      <c r="T33" s="49"/>
      <c r="U33" s="49"/>
      <c r="V33" s="49"/>
      <c r="W33" s="49"/>
    </row>
    <row r="34" spans="2:23" s="2" customFormat="1" ht="15">
      <c r="B34" s="713" t="str">
        <f>IF('SV Findings'!G15="Not Met",'SV Findings'!Q15,"")</f>
        <v/>
      </c>
      <c r="C34" s="714"/>
      <c r="D34" s="710" t="str">
        <f>IF('SV Findings'!G15="Not Met", 'SV Findings'!J15,"")</f>
        <v/>
      </c>
      <c r="E34" s="711"/>
      <c r="F34" s="712"/>
      <c r="G34" s="241"/>
      <c r="R34" s="49"/>
      <c r="S34" s="49"/>
      <c r="T34" s="49"/>
      <c r="U34" s="49"/>
      <c r="V34" s="49"/>
      <c r="W34" s="49"/>
    </row>
    <row r="35" spans="2:23" s="2" customFormat="1" ht="15">
      <c r="B35" s="713" t="str">
        <f>IF('SV Findings'!G12="Not Met",'SV Findings'!Q12,"")</f>
        <v/>
      </c>
      <c r="C35" s="714"/>
      <c r="D35" s="710" t="str">
        <f>IF('SV Findings'!G12="Not Met", 'SV Findings'!J12,"")</f>
        <v/>
      </c>
      <c r="E35" s="711"/>
      <c r="F35" s="712"/>
      <c r="G35" s="241"/>
      <c r="R35" s="49"/>
      <c r="S35" s="49"/>
      <c r="T35" s="49"/>
      <c r="U35" s="49"/>
      <c r="V35" s="49"/>
      <c r="W35" s="49"/>
    </row>
    <row r="36" spans="2:23" s="2" customFormat="1" ht="15">
      <c r="B36" s="713" t="str">
        <f>IF('SV Findings'!G17="Not Met", 'SV Findings'!Q17,"")</f>
        <v/>
      </c>
      <c r="C36" s="714"/>
      <c r="D36" s="710" t="str">
        <f>IF('SV Findings'!G17="Not Met", 'SV Findings'!J17,"")</f>
        <v/>
      </c>
      <c r="E36" s="711"/>
      <c r="F36" s="712"/>
      <c r="G36" s="241"/>
      <c r="R36" s="49"/>
      <c r="S36" s="49"/>
      <c r="T36" s="49"/>
      <c r="U36" s="49"/>
      <c r="V36" s="49"/>
      <c r="W36" s="49"/>
    </row>
    <row r="37" spans="2:23" s="2" customFormat="1" ht="15">
      <c r="B37" s="713" t="str">
        <f>IF('SV Findings'!G18="Not Met", 'SV Findings'!Q18,"")</f>
        <v/>
      </c>
      <c r="C37" s="714"/>
      <c r="D37" s="710" t="str">
        <f>IF('SV Findings'!G18="Not Met", 'SV Findings'!J18,"")</f>
        <v/>
      </c>
      <c r="E37" s="711"/>
      <c r="F37" s="712"/>
      <c r="G37" s="241"/>
      <c r="R37" s="49"/>
      <c r="S37" s="49"/>
      <c r="T37" s="49"/>
      <c r="U37" s="49"/>
      <c r="V37" s="49"/>
      <c r="W37" s="49"/>
    </row>
    <row r="38" spans="2:23" s="2" customFormat="1" ht="15">
      <c r="B38" s="713" t="str">
        <f>IF('SV Findings'!G19="Not Met", 'SV Findings'!Q19,"")</f>
        <v/>
      </c>
      <c r="C38" s="714"/>
      <c r="D38" s="710" t="str">
        <f>IF('SV Findings'!G19="Not Met", 'SV Findings'!J19,"")</f>
        <v/>
      </c>
      <c r="E38" s="711"/>
      <c r="F38" s="712"/>
      <c r="G38" s="241"/>
      <c r="R38" s="49"/>
      <c r="S38" s="49"/>
      <c r="T38" s="49"/>
      <c r="U38" s="49"/>
      <c r="V38" s="49"/>
      <c r="W38" s="49"/>
    </row>
    <row r="39" spans="2:23" s="2" customFormat="1" ht="15">
      <c r="B39" s="713" t="str">
        <f>IF('SV Findings'!G23="Not Met", 'SV Findings'!Q23,"")</f>
        <v/>
      </c>
      <c r="C39" s="714"/>
      <c r="D39" s="710" t="str">
        <f>IF('SV Findings'!G23="Not Met", 'SV Findings'!J23,"")</f>
        <v/>
      </c>
      <c r="E39" s="711"/>
      <c r="F39" s="712"/>
      <c r="G39" s="241"/>
      <c r="Q39" s="49"/>
      <c r="R39" s="49"/>
      <c r="S39" s="49"/>
      <c r="T39" s="49"/>
      <c r="U39" s="49"/>
      <c r="V39" s="49"/>
      <c r="W39" s="49"/>
    </row>
    <row r="40" spans="2:23" s="2" customFormat="1" ht="15">
      <c r="B40" s="713" t="str">
        <f>IF('SV Findings'!G24="Not Met", 'SV Findings'!Q24,"")</f>
        <v/>
      </c>
      <c r="C40" s="734"/>
      <c r="D40" s="710" t="str">
        <f>IF('SV Findings'!G24="Not Met", 'SV Findings'!J24,"")</f>
        <v/>
      </c>
      <c r="E40" s="711"/>
      <c r="F40" s="712"/>
      <c r="G40" s="241"/>
      <c r="R40" s="49"/>
      <c r="S40" s="49"/>
      <c r="T40" s="49"/>
      <c r="U40" s="49"/>
      <c r="V40" s="49"/>
      <c r="W40" s="49"/>
    </row>
    <row r="41" spans="2:23" s="2" customFormat="1" ht="15">
      <c r="B41" s="713" t="str">
        <f>IF('SV Findings'!G31="Not Met", 'SV Findings'!Q31,"")</f>
        <v/>
      </c>
      <c r="C41" s="714"/>
      <c r="D41" s="710" t="str">
        <f>IF('SV Findings'!G31="Not Met", 'SV Findings'!J31,"")</f>
        <v/>
      </c>
      <c r="E41" s="711"/>
      <c r="F41" s="712"/>
      <c r="G41" s="241"/>
      <c r="R41" s="49"/>
      <c r="S41" s="49"/>
      <c r="T41" s="49"/>
      <c r="U41" s="49"/>
      <c r="V41" s="49"/>
      <c r="W41" s="49"/>
    </row>
    <row r="42" spans="2:23" s="2" customFormat="1" ht="15">
      <c r="B42" s="713" t="str">
        <f>IF('SV Findings'!G32="Not Met", 'SV Findings'!Q32,"")</f>
        <v/>
      </c>
      <c r="C42" s="714"/>
      <c r="D42" s="710" t="str">
        <f>IF('SV Findings'!G32="Not Met", 'SV Findings'!J32,"")</f>
        <v/>
      </c>
      <c r="E42" s="711"/>
      <c r="F42" s="712"/>
      <c r="G42" s="241"/>
      <c r="Q42" s="49"/>
      <c r="R42" s="49"/>
      <c r="S42" s="49"/>
      <c r="T42" s="49"/>
      <c r="U42" s="49"/>
      <c r="V42" s="49"/>
      <c r="W42" s="49"/>
    </row>
    <row r="43" spans="2:23" s="2" customFormat="1" ht="15">
      <c r="B43" s="713" t="str">
        <f>IF('SV Findings'!G34="Not Met", 'SV Findings'!Q34,"")</f>
        <v/>
      </c>
      <c r="C43" s="714"/>
      <c r="D43" s="710" t="str">
        <f>IF('SV Findings'!G34="Not Met", 'SV Findings'!J34,"")</f>
        <v/>
      </c>
      <c r="E43" s="711"/>
      <c r="F43" s="712"/>
      <c r="G43" s="241"/>
      <c r="Q43" s="49"/>
      <c r="R43" s="49"/>
      <c r="S43" s="49"/>
      <c r="T43" s="49"/>
      <c r="U43" s="49"/>
      <c r="V43" s="49"/>
      <c r="W43" s="49"/>
    </row>
    <row r="44" spans="2:23" s="2" customFormat="1" ht="15">
      <c r="B44" s="713" t="str">
        <f>IF('SV Findings'!G39="Not Met", 'SV Findings'!Q39,"")</f>
        <v/>
      </c>
      <c r="C44" s="714"/>
      <c r="D44" s="710" t="str">
        <f>IF('SV Findings'!G39="Not Met", 'SV Findings'!J39,"")</f>
        <v/>
      </c>
      <c r="E44" s="711"/>
      <c r="F44" s="712"/>
      <c r="G44" s="241"/>
      <c r="H44" s="735"/>
      <c r="I44" s="736"/>
      <c r="J44" s="736"/>
      <c r="K44" s="736"/>
      <c r="Q44" s="49"/>
      <c r="R44" s="49"/>
      <c r="S44" s="49"/>
      <c r="T44" s="49"/>
      <c r="U44" s="49"/>
      <c r="V44" s="49"/>
      <c r="W44" s="49"/>
    </row>
    <row r="45" spans="2:23" s="2" customFormat="1" ht="15">
      <c r="B45" s="713" t="str">
        <f>IF('SV Findings'!G40="Not Met", 'SV Findings'!Q40,"")</f>
        <v/>
      </c>
      <c r="C45" s="714"/>
      <c r="D45" s="710" t="str">
        <f>IF('SV Findings'!G40="Not Met", 'SV Findings'!J40,"")</f>
        <v/>
      </c>
      <c r="E45" s="711"/>
      <c r="F45" s="712"/>
      <c r="G45" s="241"/>
      <c r="H45" s="735"/>
      <c r="I45" s="736"/>
      <c r="J45" s="736"/>
      <c r="K45" s="736"/>
      <c r="Q45" s="49"/>
      <c r="R45" s="49"/>
      <c r="S45" s="49"/>
      <c r="T45" s="49"/>
      <c r="U45" s="49"/>
      <c r="V45" s="49"/>
      <c r="W45" s="49"/>
    </row>
    <row r="46" spans="2:23" s="2" customFormat="1" ht="15">
      <c r="B46" s="713" t="str">
        <f>IF('SV Findings'!G41="Not Met", 'SV Findings'!Q41,"")</f>
        <v/>
      </c>
      <c r="C46" s="714"/>
      <c r="D46" s="710" t="str">
        <f>IF('SV Findings'!G41="Not Met", 'SV Findings'!J41,"")</f>
        <v/>
      </c>
      <c r="E46" s="711"/>
      <c r="F46" s="712"/>
      <c r="G46" s="241"/>
      <c r="H46" s="735"/>
      <c r="I46" s="736"/>
      <c r="J46" s="736"/>
      <c r="K46" s="736"/>
      <c r="Q46" s="49"/>
      <c r="R46" s="49"/>
      <c r="S46" s="49"/>
      <c r="T46" s="49"/>
      <c r="U46" s="49"/>
      <c r="V46" s="49"/>
      <c r="W46" s="49"/>
    </row>
    <row r="47" spans="2:23" s="2" customFormat="1" ht="15">
      <c r="B47" s="713" t="str">
        <f>IF('SV Findings'!G43="Not Met", 'SV Findings'!Q43,"")</f>
        <v/>
      </c>
      <c r="C47" s="714"/>
      <c r="D47" s="710" t="str">
        <f>IF('SV Findings'!G43="Not Met", 'SV Findings'!J43,"")</f>
        <v/>
      </c>
      <c r="E47" s="711"/>
      <c r="F47" s="712"/>
      <c r="G47" s="241"/>
      <c r="H47" s="735"/>
      <c r="I47" s="736"/>
      <c r="J47" s="736"/>
      <c r="K47" s="736"/>
      <c r="Q47" s="49"/>
      <c r="R47" s="49"/>
      <c r="S47" s="49"/>
      <c r="T47" s="49"/>
      <c r="U47" s="49"/>
      <c r="V47" s="49"/>
      <c r="W47" s="49"/>
    </row>
    <row r="48" spans="2:23" s="2" customFormat="1" ht="15">
      <c r="B48" s="713" t="str">
        <f>IF('SV Findings'!G44="Not Met", 'SV Findings'!Q44,"")</f>
        <v/>
      </c>
      <c r="C48" s="714"/>
      <c r="D48" s="710" t="str">
        <f>IF('SV Findings'!G44="Not Met", 'SV Findings'!J44,"")</f>
        <v/>
      </c>
      <c r="E48" s="711"/>
      <c r="F48" s="712"/>
      <c r="G48" s="241"/>
      <c r="H48" s="735"/>
      <c r="I48" s="736"/>
      <c r="J48" s="736"/>
      <c r="K48" s="736"/>
      <c r="Q48" s="49"/>
      <c r="R48" s="49"/>
      <c r="S48" s="49"/>
      <c r="T48" s="49"/>
      <c r="U48" s="49"/>
      <c r="V48" s="49"/>
      <c r="W48" s="49"/>
    </row>
    <row r="49" spans="2:23" s="2" customFormat="1" ht="15">
      <c r="B49" s="713" t="str">
        <f>IF('SV Findings'!G46="Not Met", 'SV Findings'!Q46,"")</f>
        <v/>
      </c>
      <c r="C49" s="714"/>
      <c r="D49" s="710" t="str">
        <f>IF('SV Findings'!G46="Not Met", 'SV Findings'!J46,"")</f>
        <v/>
      </c>
      <c r="E49" s="711"/>
      <c r="F49" s="712"/>
      <c r="G49" s="241"/>
      <c r="H49" s="735"/>
      <c r="I49" s="736"/>
      <c r="J49" s="736"/>
      <c r="K49" s="736"/>
      <c r="Q49" s="49"/>
      <c r="R49" s="49"/>
      <c r="S49" s="49"/>
      <c r="T49" s="49"/>
      <c r="U49" s="49"/>
      <c r="V49" s="49"/>
      <c r="W49" s="49"/>
    </row>
    <row r="50" spans="2:23" s="2" customFormat="1" ht="42" customHeight="1">
      <c r="B50" s="713" t="str">
        <f>IF('SV Findings'!G47="Not Met", 'SV Findings'!Q47,"")</f>
        <v/>
      </c>
      <c r="C50" s="714"/>
      <c r="D50" s="710" t="str">
        <f>IF('SV Findings'!G47="Not Met", 'SV Findings'!J47,"")</f>
        <v/>
      </c>
      <c r="E50" s="711"/>
      <c r="F50" s="712"/>
      <c r="G50" s="241"/>
      <c r="H50" s="735"/>
      <c r="I50" s="736"/>
      <c r="J50" s="736"/>
      <c r="K50" s="736"/>
      <c r="Q50" s="49"/>
      <c r="R50" s="49"/>
      <c r="S50" s="49"/>
      <c r="T50" s="49"/>
      <c r="U50" s="49"/>
      <c r="V50" s="49"/>
      <c r="W50" s="49"/>
    </row>
    <row r="51" spans="2:23" s="2" customFormat="1" ht="42" customHeight="1">
      <c r="B51" s="713" t="str">
        <f>IF('SV Findings'!G48="Not Met", 'SV Findings'!Q48,"")</f>
        <v/>
      </c>
      <c r="C51" s="714"/>
      <c r="D51" s="710" t="str">
        <f>IF('SV Findings'!G48="Not Met", 'SV Findings'!J48,"")</f>
        <v/>
      </c>
      <c r="E51" s="711"/>
      <c r="F51" s="712"/>
      <c r="G51" s="241"/>
      <c r="H51" s="735"/>
      <c r="I51" s="736"/>
      <c r="J51" s="736"/>
      <c r="K51" s="736"/>
      <c r="Q51" s="49"/>
      <c r="R51" s="49"/>
      <c r="S51" s="49"/>
      <c r="T51" s="49"/>
      <c r="U51" s="49"/>
      <c r="V51" s="49"/>
      <c r="W51" s="49"/>
    </row>
    <row r="52" spans="2:23" s="2" customFormat="1" ht="42" customHeight="1">
      <c r="B52" s="713" t="str">
        <f>IF('SV Findings'!G49="Not Met", 'SV Findings'!Q49,"")</f>
        <v/>
      </c>
      <c r="C52" s="714"/>
      <c r="D52" s="710" t="str">
        <f>IF('SV Findings'!G49="Not Met", 'SV Findings'!J49,"")</f>
        <v/>
      </c>
      <c r="E52" s="711"/>
      <c r="F52" s="712"/>
      <c r="G52" s="241"/>
      <c r="H52" s="735"/>
      <c r="I52" s="736"/>
      <c r="J52" s="736"/>
      <c r="K52" s="736"/>
      <c r="Q52" s="49"/>
      <c r="R52" s="49"/>
      <c r="S52" s="49"/>
      <c r="T52" s="49"/>
      <c r="U52" s="49"/>
      <c r="V52" s="49"/>
      <c r="W52" s="49"/>
    </row>
    <row r="53" spans="2:23" s="2" customFormat="1" ht="15">
      <c r="B53" s="713" t="str">
        <f>IF('SV Findings'!G50="Not Met", 'SV Findings'!Q50,"")</f>
        <v/>
      </c>
      <c r="C53" s="714"/>
      <c r="D53" s="710" t="str">
        <f>IF('SV Findings'!G50="Not Met", 'SV Findings'!J50,"")</f>
        <v/>
      </c>
      <c r="E53" s="711"/>
      <c r="F53" s="712"/>
      <c r="G53" s="241"/>
      <c r="H53" s="735"/>
      <c r="I53" s="736"/>
      <c r="J53" s="736"/>
      <c r="K53" s="736"/>
      <c r="Q53" s="49"/>
      <c r="R53" s="49"/>
      <c r="S53" s="49"/>
      <c r="T53" s="49"/>
      <c r="U53" s="49"/>
      <c r="V53" s="49"/>
      <c r="W53" s="49"/>
    </row>
    <row r="54" spans="2:23" s="2" customFormat="1" ht="15">
      <c r="B54" s="713" t="str">
        <f>IF('SV Findings'!G51="Not Met", 'SV Findings'!Q51,"")</f>
        <v/>
      </c>
      <c r="C54" s="714"/>
      <c r="D54" s="710" t="str">
        <f>IF('SV Findings'!G51="Not Met", 'SV Findings'!J51,"")</f>
        <v/>
      </c>
      <c r="E54" s="711"/>
      <c r="F54" s="712"/>
      <c r="G54" s="241"/>
      <c r="H54" s="735"/>
      <c r="I54" s="736"/>
      <c r="J54" s="736"/>
      <c r="K54" s="736"/>
      <c r="Q54" s="49"/>
      <c r="R54" s="49"/>
      <c r="S54" s="49"/>
      <c r="T54" s="49"/>
      <c r="U54" s="49"/>
      <c r="V54" s="49"/>
      <c r="W54" s="49"/>
    </row>
    <row r="55" spans="2:23" s="2" customFormat="1" ht="15">
      <c r="B55" s="713" t="str">
        <f>IF('SV Findings'!G52="Not Met", 'SV Findings'!Q52,"")</f>
        <v/>
      </c>
      <c r="C55" s="714"/>
      <c r="D55" s="710" t="str">
        <f>IF('SV Findings'!G52="Not Met", 'SV Findings'!J52,"")</f>
        <v/>
      </c>
      <c r="E55" s="711"/>
      <c r="F55" s="712"/>
      <c r="G55" s="241"/>
      <c r="H55" s="735"/>
      <c r="I55" s="736"/>
      <c r="J55" s="736"/>
      <c r="K55" s="736"/>
      <c r="Q55" s="49"/>
      <c r="R55" s="49"/>
      <c r="S55" s="49"/>
      <c r="T55" s="49"/>
      <c r="U55" s="49"/>
      <c r="V55" s="49"/>
      <c r="W55" s="49"/>
    </row>
    <row r="56" spans="2:23" s="2" customFormat="1" ht="15">
      <c r="B56" s="713" t="str">
        <f>IF('SV Findings'!G53="Not Met", 'SV Findings'!Q53,"")</f>
        <v/>
      </c>
      <c r="C56" s="714"/>
      <c r="D56" s="710" t="str">
        <f>IF('SV Findings'!G53="Not Met", 'SV Findings'!J53,"")</f>
        <v/>
      </c>
      <c r="E56" s="711"/>
      <c r="F56" s="712"/>
      <c r="G56" s="241"/>
      <c r="H56" s="735"/>
      <c r="I56" s="736"/>
      <c r="J56" s="736"/>
      <c r="K56" s="736"/>
      <c r="Q56" s="49"/>
      <c r="R56" s="49"/>
      <c r="S56" s="49"/>
      <c r="T56" s="49"/>
      <c r="U56" s="49"/>
      <c r="V56" s="49"/>
      <c r="W56" s="49"/>
    </row>
    <row r="57" spans="2:23" s="2" customFormat="1" ht="33" customHeight="1">
      <c r="B57" s="713" t="str">
        <f>IF('SV Findings'!G55="Not Met", 'SV Findings'!Q55,"")</f>
        <v/>
      </c>
      <c r="C57" s="714"/>
      <c r="D57" s="710" t="str">
        <f>IF('SV Findings'!G55="Not Met", 'SV Findings'!J55,"")</f>
        <v/>
      </c>
      <c r="E57" s="711"/>
      <c r="F57" s="712"/>
      <c r="G57" s="241"/>
      <c r="H57" s="735"/>
      <c r="I57" s="736"/>
      <c r="J57" s="736"/>
      <c r="K57" s="736"/>
      <c r="Q57" s="49"/>
      <c r="R57" s="49"/>
      <c r="S57" s="49"/>
      <c r="T57" s="49"/>
      <c r="U57" s="49"/>
      <c r="V57" s="49"/>
      <c r="W57" s="49"/>
    </row>
    <row r="58" spans="2:23" s="2" customFormat="1" ht="33" customHeight="1">
      <c r="B58" s="713" t="str">
        <f>IF('SV Findings'!G56="Not Met", 'SV Findings'!Q56,"")</f>
        <v/>
      </c>
      <c r="C58" s="714"/>
      <c r="D58" s="710" t="str">
        <f>IF('SV Findings'!G56="Not Met", 'SV Findings'!J56,"")</f>
        <v/>
      </c>
      <c r="E58" s="711"/>
      <c r="F58" s="712"/>
      <c r="G58" s="241"/>
      <c r="H58" s="735"/>
      <c r="I58" s="736"/>
      <c r="J58" s="736"/>
      <c r="K58" s="736"/>
      <c r="Q58" s="49"/>
      <c r="R58" s="49"/>
      <c r="S58" s="49"/>
      <c r="T58" s="49"/>
      <c r="U58" s="49"/>
      <c r="V58" s="49"/>
      <c r="W58" s="49"/>
    </row>
    <row r="59" spans="2:23" s="2" customFormat="1" ht="35.450000000000003" customHeight="1">
      <c r="B59" s="713" t="str">
        <f>IF('SV Findings'!G57="Not Met", 'SV Findings'!Q57,"")</f>
        <v/>
      </c>
      <c r="C59" s="714"/>
      <c r="D59" s="710" t="str">
        <f>IF('SV Findings'!G57="Not Met", 'SV Findings'!J57,"")</f>
        <v/>
      </c>
      <c r="E59" s="711"/>
      <c r="F59" s="712"/>
      <c r="G59" s="241"/>
      <c r="H59" s="735"/>
      <c r="I59" s="736"/>
      <c r="J59" s="736"/>
      <c r="K59" s="736"/>
      <c r="Q59" s="49"/>
      <c r="R59" s="49"/>
      <c r="S59" s="49"/>
      <c r="T59" s="49"/>
      <c r="U59" s="49"/>
      <c r="V59" s="49"/>
      <c r="W59" s="49"/>
    </row>
    <row r="60" spans="2:23" s="2" customFormat="1" ht="15">
      <c r="B60" s="713" t="str">
        <f>IF('SV Findings'!G58="Not Met", 'SV Findings'!Q58,"")</f>
        <v/>
      </c>
      <c r="C60" s="714"/>
      <c r="D60" s="710" t="str">
        <f>IF('SV Findings'!G58="Not Met", 'SV Findings'!J58,"")</f>
        <v/>
      </c>
      <c r="E60" s="711"/>
      <c r="F60" s="712"/>
      <c r="G60" s="241"/>
      <c r="H60" s="735"/>
      <c r="I60" s="736"/>
      <c r="J60" s="736"/>
      <c r="K60" s="736"/>
      <c r="Q60" s="49"/>
      <c r="R60" s="49"/>
      <c r="S60" s="49"/>
      <c r="T60" s="49"/>
      <c r="U60" s="49"/>
      <c r="V60" s="49"/>
      <c r="W60" s="49"/>
    </row>
    <row r="61" spans="2:23" s="2" customFormat="1" ht="15">
      <c r="B61" s="713" t="str">
        <f>IF('SV Findings'!G59="Not Met", 'SV Findings'!Q59,"")</f>
        <v/>
      </c>
      <c r="C61" s="714"/>
      <c r="D61" s="710" t="str">
        <f>IF('SV Findings'!G59="Not Met", 'SV Findings'!J59,"")</f>
        <v/>
      </c>
      <c r="E61" s="711"/>
      <c r="F61" s="712"/>
      <c r="G61" s="241"/>
      <c r="H61" s="735"/>
      <c r="I61" s="736"/>
      <c r="J61" s="736"/>
      <c r="K61" s="736"/>
      <c r="Q61" s="49"/>
      <c r="R61" s="49"/>
      <c r="S61" s="49"/>
      <c r="T61" s="49"/>
      <c r="U61" s="49"/>
      <c r="V61" s="49"/>
      <c r="W61" s="49"/>
    </row>
    <row r="62" spans="2:23" s="2" customFormat="1" ht="29.25" customHeight="1">
      <c r="B62" s="713" t="str">
        <f>IF('SV Findings'!G61="Not Met", 'SV Findings'!Q61,"")</f>
        <v/>
      </c>
      <c r="C62" s="714"/>
      <c r="D62" s="710" t="str">
        <f>IF('SV Findings'!G61="Not Met", 'SV Findings'!J61,"")</f>
        <v/>
      </c>
      <c r="E62" s="711"/>
      <c r="F62" s="712"/>
      <c r="G62" s="241"/>
      <c r="H62" s="735"/>
      <c r="I62" s="736"/>
      <c r="J62" s="736"/>
      <c r="K62" s="736"/>
      <c r="Q62" s="49"/>
      <c r="R62" s="49"/>
      <c r="S62" s="49"/>
      <c r="T62" s="49"/>
      <c r="U62" s="49"/>
      <c r="V62" s="49"/>
      <c r="W62" s="49"/>
    </row>
    <row r="63" spans="2:23" s="2" customFormat="1" ht="29.25" customHeight="1">
      <c r="B63" s="713" t="str">
        <f>IF('SV Findings'!G62="Not Met", 'SV Findings'!Q62,"")</f>
        <v/>
      </c>
      <c r="C63" s="714"/>
      <c r="D63" s="710" t="str">
        <f>IF('SV Findings'!G62="Not Met", 'SV Findings'!J62,"")</f>
        <v/>
      </c>
      <c r="E63" s="711"/>
      <c r="F63" s="712"/>
      <c r="G63" s="241"/>
      <c r="H63" s="735"/>
      <c r="I63" s="736"/>
      <c r="J63" s="736"/>
      <c r="K63" s="736"/>
      <c r="Q63" s="49"/>
      <c r="R63" s="49"/>
      <c r="S63" s="49"/>
      <c r="T63" s="49"/>
      <c r="U63" s="49"/>
      <c r="V63" s="49"/>
      <c r="W63" s="49"/>
    </row>
    <row r="64" spans="2:23" s="2" customFormat="1" ht="29.25" customHeight="1">
      <c r="B64" s="713" t="str">
        <f>IF('SV Findings'!G63="Not Met", 'SV Findings'!Q63,"")</f>
        <v/>
      </c>
      <c r="C64" s="714"/>
      <c r="D64" s="710" t="str">
        <f>IF('SV Findings'!G63="Not Met", 'SV Findings'!J63,"")</f>
        <v/>
      </c>
      <c r="E64" s="711"/>
      <c r="F64" s="712"/>
      <c r="G64" s="241"/>
      <c r="H64" s="735"/>
      <c r="I64" s="736"/>
      <c r="J64" s="736"/>
      <c r="K64" s="736"/>
      <c r="Q64" s="49"/>
      <c r="R64" s="49"/>
      <c r="S64" s="49"/>
      <c r="T64" s="49"/>
      <c r="U64" s="49"/>
      <c r="V64" s="49"/>
      <c r="W64" s="49"/>
    </row>
    <row r="65" spans="2:23" s="2" customFormat="1" ht="15">
      <c r="B65" s="713" t="str">
        <f>IF('SV Findings'!G64="Not Met", 'SV Findings'!Q64,"")</f>
        <v/>
      </c>
      <c r="C65" s="714"/>
      <c r="D65" s="710" t="str">
        <f>IF('SV Findings'!G64="Not Met", 'SV Findings'!J64,"")</f>
        <v/>
      </c>
      <c r="E65" s="711"/>
      <c r="F65" s="712"/>
      <c r="G65" s="241"/>
      <c r="R65" s="49"/>
      <c r="S65" s="49"/>
      <c r="T65" s="49"/>
      <c r="U65" s="49"/>
      <c r="V65" s="49"/>
      <c r="W65" s="49"/>
    </row>
    <row r="66" spans="2:23" s="2" customFormat="1" ht="15">
      <c r="B66" s="713" t="str">
        <f>IF('SV Findings'!G65="Not Met", 'SV Findings'!Q65,"")</f>
        <v/>
      </c>
      <c r="C66" s="714"/>
      <c r="D66" s="710" t="str">
        <f>IF('SV Findings'!G65="Not Met", 'SV Findings'!J65,"")</f>
        <v/>
      </c>
      <c r="E66" s="711"/>
      <c r="F66" s="712"/>
      <c r="G66" s="241"/>
      <c r="R66" s="49"/>
      <c r="S66" s="49"/>
      <c r="T66" s="49"/>
      <c r="U66" s="49"/>
      <c r="V66" s="49"/>
      <c r="W66" s="49"/>
    </row>
    <row r="67" spans="2:23" s="2" customFormat="1" ht="15">
      <c r="B67" s="713" t="str">
        <f>IF('SV Findings'!G68="Not Met", 'SV Findings'!Q68,"")</f>
        <v/>
      </c>
      <c r="C67" s="714"/>
      <c r="D67" s="710" t="str">
        <f>IF('SV Findings'!G68="Not Met", 'SV Findings'!J68,"")</f>
        <v/>
      </c>
      <c r="E67" s="711"/>
      <c r="F67" s="712"/>
      <c r="G67" s="241"/>
      <c r="R67" s="49"/>
      <c r="S67" s="49"/>
      <c r="T67" s="49"/>
      <c r="U67" s="49"/>
      <c r="V67" s="49"/>
      <c r="W67" s="49"/>
    </row>
    <row r="68" spans="2:23" s="2" customFormat="1" ht="15">
      <c r="B68" s="713" t="str">
        <f>IF('SV Findings'!G72="Not Met", 'SV Findings'!Q72,"")</f>
        <v/>
      </c>
      <c r="C68" s="714"/>
      <c r="D68" s="710" t="str">
        <f>IF('SV Findings'!G72="Not Met", 'SV Findings'!J72,"")</f>
        <v/>
      </c>
      <c r="E68" s="711"/>
      <c r="F68" s="712"/>
      <c r="G68" s="241"/>
      <c r="R68" s="49"/>
      <c r="S68" s="49"/>
      <c r="T68" s="49"/>
      <c r="U68" s="49"/>
      <c r="V68" s="49"/>
      <c r="W68" s="49"/>
    </row>
    <row r="69" spans="2:23" s="2" customFormat="1" ht="42.95" customHeight="1">
      <c r="B69" s="713" t="str">
        <f>IF('SV Findings'!G73="Not Met", 'SV Findings'!Q73,"")</f>
        <v/>
      </c>
      <c r="C69" s="714"/>
      <c r="D69" s="710" t="str">
        <f>IF('SV Findings'!G73="Not Met", 'SV Findings'!J73,"")</f>
        <v/>
      </c>
      <c r="E69" s="711"/>
      <c r="F69" s="712"/>
      <c r="G69" s="241"/>
      <c r="R69" s="49"/>
      <c r="S69" s="49"/>
      <c r="T69" s="49"/>
      <c r="U69" s="49"/>
      <c r="V69" s="49"/>
      <c r="W69" s="49"/>
    </row>
    <row r="70" spans="2:23" s="2" customFormat="1" ht="42.95" customHeight="1">
      <c r="B70" s="713" t="str">
        <f>IF('SV Findings'!G74="Not Met", 'SV Findings'!Q74,"")</f>
        <v/>
      </c>
      <c r="C70" s="714"/>
      <c r="D70" s="710" t="str">
        <f>IF('SV Findings'!G74="Not Met", 'SV Findings'!J74,"")</f>
        <v/>
      </c>
      <c r="E70" s="711"/>
      <c r="F70" s="712"/>
      <c r="G70" s="241"/>
      <c r="R70" s="49"/>
      <c r="S70" s="49"/>
      <c r="T70" s="49"/>
      <c r="U70" s="49"/>
      <c r="V70" s="49"/>
      <c r="W70" s="49"/>
    </row>
    <row r="71" spans="2:23" s="2" customFormat="1" ht="42.95" customHeight="1">
      <c r="B71" s="713" t="str">
        <f>IF('SV Findings'!G75="Not Met", 'SV Findings'!Q75,"")</f>
        <v/>
      </c>
      <c r="C71" s="714"/>
      <c r="D71" s="710" t="str">
        <f>IF('SV Findings'!G75="Not Met", 'SV Findings'!J75,"")</f>
        <v/>
      </c>
      <c r="E71" s="711"/>
      <c r="F71" s="712"/>
      <c r="G71" s="241"/>
      <c r="R71" s="49"/>
      <c r="S71" s="49"/>
      <c r="T71" s="49"/>
      <c r="U71" s="49"/>
      <c r="V71" s="49"/>
      <c r="W71" s="49"/>
    </row>
    <row r="72" spans="2:23" s="2" customFormat="1" ht="15">
      <c r="B72" s="713" t="str">
        <f>IF('SV Findings'!G77="Not Met", 'SV Findings'!Q77,"")</f>
        <v/>
      </c>
      <c r="C72" s="714"/>
      <c r="D72" s="710" t="str">
        <f>IF('SV Findings'!G77="Not Met", 'SV Findings'!J77,"")</f>
        <v/>
      </c>
      <c r="E72" s="711"/>
      <c r="F72" s="712"/>
      <c r="G72" s="241"/>
      <c r="Q72" s="49"/>
      <c r="R72" s="49"/>
      <c r="S72" s="49"/>
      <c r="T72" s="49"/>
      <c r="U72" s="49"/>
      <c r="V72" s="49"/>
      <c r="W72" s="49"/>
    </row>
    <row r="73" spans="2:23" s="2" customFormat="1" ht="15">
      <c r="B73" s="713" t="str">
        <f>IF('SV Findings'!G86="Not Met", 'SV Findings'!Q86,"")</f>
        <v/>
      </c>
      <c r="C73" s="714"/>
      <c r="D73" s="710" t="str">
        <f>IF('SV Findings'!G86="Not Met", 'SV Findings'!J86,"")</f>
        <v/>
      </c>
      <c r="E73" s="711"/>
      <c r="F73" s="712"/>
      <c r="G73" s="241"/>
      <c r="R73" s="49"/>
      <c r="S73" s="49"/>
      <c r="T73" s="49"/>
      <c r="U73" s="49"/>
      <c r="V73" s="49"/>
      <c r="W73" s="49"/>
    </row>
    <row r="74" spans="2:23" s="2" customFormat="1" ht="15">
      <c r="B74" s="713" t="str">
        <f>IF('SV Findings'!G89="Not Met", 'SV Findings'!Q89,"")</f>
        <v/>
      </c>
      <c r="C74" s="714"/>
      <c r="D74" s="710" t="str">
        <f>IF('SV Findings'!G89="Not Met", 'SV Findings'!J89,"")</f>
        <v/>
      </c>
      <c r="E74" s="711"/>
      <c r="F74" s="712"/>
      <c r="G74" s="241"/>
      <c r="R74" s="49"/>
      <c r="S74" s="49"/>
      <c r="T74" s="49"/>
      <c r="U74" s="49"/>
      <c r="V74" s="49"/>
      <c r="W74" s="49"/>
    </row>
    <row r="75" spans="2:23" s="2" customFormat="1" ht="15">
      <c r="B75" s="713" t="str">
        <f>IF('SV Findings'!G92="Not Met", 'SV Findings'!Q92,"")</f>
        <v/>
      </c>
      <c r="C75" s="714"/>
      <c r="D75" s="710" t="str">
        <f>IF('SV Findings'!G92="Not Met", 'SV Findings'!J92,"")</f>
        <v/>
      </c>
      <c r="E75" s="711"/>
      <c r="F75" s="712"/>
      <c r="G75" s="241"/>
      <c r="R75" s="49"/>
      <c r="S75" s="49"/>
      <c r="T75" s="49"/>
      <c r="U75" s="49"/>
      <c r="V75" s="49"/>
      <c r="W75" s="49"/>
    </row>
    <row r="76" spans="2:23" s="2" customFormat="1" ht="15">
      <c r="B76" s="713" t="str">
        <f>IF('SV Findings'!G93="Not Met", 'SV Findings'!Q93,"")</f>
        <v/>
      </c>
      <c r="C76" s="714"/>
      <c r="D76" s="710" t="str">
        <f>IF('SV Findings'!G93="Not Met", 'SV Findings'!J93,"")</f>
        <v/>
      </c>
      <c r="E76" s="711"/>
      <c r="F76" s="712"/>
      <c r="G76" s="241"/>
      <c r="R76" s="49"/>
      <c r="S76" s="49"/>
      <c r="T76" s="49"/>
      <c r="U76" s="49"/>
      <c r="V76" s="49"/>
      <c r="W76" s="49"/>
    </row>
    <row r="77" spans="2:23" s="2" customFormat="1" ht="31.5" customHeight="1">
      <c r="B77" s="713" t="str">
        <f>IF('SV Findings'!G96="Not Met", 'SV Findings'!Q96,"")</f>
        <v/>
      </c>
      <c r="C77" s="714"/>
      <c r="D77" s="710" t="str">
        <f>IF('SV Findings'!G96="Not Met", 'SV Findings'!J96,"")</f>
        <v/>
      </c>
      <c r="E77" s="711"/>
      <c r="F77" s="712"/>
      <c r="G77" s="241"/>
      <c r="Q77" s="49"/>
      <c r="R77" s="49"/>
      <c r="S77" s="49"/>
      <c r="T77" s="49"/>
      <c r="U77" s="49"/>
      <c r="V77" s="49"/>
      <c r="W77" s="49"/>
    </row>
    <row r="78" spans="2:23" s="2" customFormat="1" ht="31.5" customHeight="1">
      <c r="B78" s="713" t="str">
        <f>IF('SV Findings'!G97="Not Met", 'SV Findings'!Q97,"")</f>
        <v/>
      </c>
      <c r="C78" s="714"/>
      <c r="D78" s="710" t="str">
        <f>IF('SV Findings'!G97="Not Met", 'SV Findings'!J97,"")</f>
        <v/>
      </c>
      <c r="E78" s="711"/>
      <c r="F78" s="712"/>
      <c r="G78" s="241"/>
      <c r="Q78" s="49"/>
      <c r="R78" s="49"/>
      <c r="S78" s="49"/>
      <c r="T78" s="49"/>
      <c r="U78" s="49"/>
      <c r="V78" s="49"/>
      <c r="W78" s="49"/>
    </row>
    <row r="79" spans="2:23" s="2" customFormat="1" ht="31.5" customHeight="1">
      <c r="B79" s="713" t="str">
        <f>IF('SV Findings'!G98="Not Met", 'SV Findings'!Q98,"")</f>
        <v/>
      </c>
      <c r="C79" s="714"/>
      <c r="D79" s="710" t="str">
        <f>IF('SV Findings'!G98="Not Met", 'SV Findings'!J98,"")</f>
        <v/>
      </c>
      <c r="E79" s="711"/>
      <c r="F79" s="712"/>
      <c r="G79" s="241"/>
      <c r="Q79" s="49"/>
      <c r="R79" s="49"/>
      <c r="S79" s="49"/>
      <c r="T79" s="49"/>
      <c r="U79" s="49"/>
      <c r="V79" s="49"/>
      <c r="W79" s="49"/>
    </row>
    <row r="80" spans="2:23" s="2" customFormat="1" ht="32.450000000000003" customHeight="1">
      <c r="B80" s="713" t="str">
        <f>IF('SV Findings'!G99="Not Met", 'SV Findings'!Q99,"")</f>
        <v/>
      </c>
      <c r="C80" s="714"/>
      <c r="D80" s="710" t="str">
        <f>IF('SV Findings'!G99="Not Met", 'SV Findings'!J99,"")</f>
        <v/>
      </c>
      <c r="E80" s="711"/>
      <c r="F80" s="712"/>
      <c r="G80" s="241"/>
      <c r="Q80" s="49"/>
      <c r="R80" s="49"/>
      <c r="S80" s="49"/>
      <c r="T80" s="49"/>
      <c r="U80" s="49"/>
      <c r="V80" s="49"/>
      <c r="W80" s="49"/>
    </row>
    <row r="81" spans="2:23" s="2" customFormat="1" ht="32.450000000000003" customHeight="1">
      <c r="B81" s="713" t="str">
        <f>IF('SV Findings'!G100="Not Met", 'SV Findings'!Q100,"")</f>
        <v/>
      </c>
      <c r="C81" s="714"/>
      <c r="D81" s="710" t="str">
        <f>IF('SV Findings'!G100="Not Met", 'SV Findings'!J100,"")</f>
        <v/>
      </c>
      <c r="E81" s="711"/>
      <c r="F81" s="712"/>
      <c r="G81" s="241"/>
      <c r="Q81" s="49"/>
      <c r="R81" s="49"/>
      <c r="S81" s="49"/>
      <c r="T81" s="49"/>
      <c r="U81" s="49"/>
      <c r="V81" s="49"/>
      <c r="W81" s="49"/>
    </row>
    <row r="82" spans="2:23" s="2" customFormat="1" ht="32.450000000000003" customHeight="1">
      <c r="B82" s="713" t="str">
        <f>IF('SV Findings'!G101="Not Met", 'SV Findings'!Q101,"")</f>
        <v/>
      </c>
      <c r="C82" s="714"/>
      <c r="D82" s="710" t="str">
        <f>IF('SV Findings'!G101="Not Met", 'SV Findings'!J101,"")</f>
        <v/>
      </c>
      <c r="E82" s="711"/>
      <c r="F82" s="712"/>
      <c r="G82" s="241"/>
      <c r="Q82" s="49"/>
      <c r="R82" s="49"/>
      <c r="S82" s="49"/>
      <c r="T82" s="49"/>
      <c r="U82" s="49"/>
      <c r="V82" s="49"/>
      <c r="W82" s="49"/>
    </row>
    <row r="83" spans="2:23" s="2" customFormat="1" ht="15">
      <c r="B83" s="713" t="str">
        <f>IF('SV Findings'!G103="Not Met", 'SV Findings'!Q103,"")</f>
        <v/>
      </c>
      <c r="C83" s="714"/>
      <c r="D83" s="710" t="str">
        <f>IF('SV Findings'!G103="Not Met", 'SV Findings'!J103,"")</f>
        <v/>
      </c>
      <c r="E83" s="711"/>
      <c r="F83" s="712"/>
      <c r="G83" s="241"/>
      <c r="Q83" s="49"/>
      <c r="R83" s="49"/>
      <c r="S83" s="49"/>
      <c r="T83" s="49"/>
      <c r="U83" s="49"/>
      <c r="V83" s="49"/>
      <c r="W83" s="49"/>
    </row>
    <row r="84" spans="2:23" s="2" customFormat="1" ht="15">
      <c r="B84" s="713" t="str">
        <f>IF('SV Findings'!G104="Not Met", 'SV Findings'!Q104,"")</f>
        <v/>
      </c>
      <c r="C84" s="714"/>
      <c r="D84" s="710" t="str">
        <f>IF('SV Findings'!G104="Not Met", 'SV Findings'!J104,"")</f>
        <v/>
      </c>
      <c r="E84" s="711"/>
      <c r="F84" s="712"/>
      <c r="G84" s="241"/>
      <c r="Q84" s="49"/>
      <c r="R84" s="49"/>
      <c r="S84" s="49"/>
      <c r="T84" s="49"/>
      <c r="U84" s="49"/>
      <c r="V84" s="49"/>
      <c r="W84" s="49"/>
    </row>
    <row r="85" spans="2:23" s="2" customFormat="1" ht="15">
      <c r="B85" s="713" t="str">
        <f>IF('SV Findings'!G105="Not Met", 'SV Findings'!Q105,"")</f>
        <v/>
      </c>
      <c r="C85" s="714"/>
      <c r="D85" s="710" t="str">
        <f>IF('SV Findings'!G105="Not Met", 'SV Findings'!J105,"")</f>
        <v/>
      </c>
      <c r="E85" s="711"/>
      <c r="F85" s="712"/>
      <c r="G85" s="241"/>
      <c r="Q85" s="49"/>
      <c r="R85" s="49"/>
      <c r="S85" s="49"/>
      <c r="T85" s="49"/>
      <c r="U85" s="49"/>
      <c r="V85" s="49"/>
      <c r="W85" s="49"/>
    </row>
    <row r="86" spans="2:23" s="2" customFormat="1" ht="15">
      <c r="B86" s="713" t="str">
        <f>IF('SV Findings'!G106="Not Met", 'SV Findings'!Q106,"")</f>
        <v/>
      </c>
      <c r="C86" s="714"/>
      <c r="D86" s="710" t="str">
        <f>IF('SV Findings'!G106="Not Met", 'SV Findings'!J106,"")</f>
        <v/>
      </c>
      <c r="E86" s="711"/>
      <c r="F86" s="712"/>
      <c r="G86" s="241"/>
      <c r="Q86" s="49"/>
      <c r="R86" s="49"/>
      <c r="S86" s="49"/>
      <c r="T86" s="49"/>
      <c r="U86" s="49"/>
      <c r="V86" s="49"/>
      <c r="W86" s="49"/>
    </row>
    <row r="87" spans="2:23" s="2" customFormat="1" ht="15">
      <c r="B87" s="713" t="str">
        <f>IF('SV Findings'!G107="Not Met", 'SV Findings'!Q107,"")</f>
        <v/>
      </c>
      <c r="C87" s="714"/>
      <c r="D87" s="710" t="str">
        <f>IF('SV Findings'!G107="Not Met", 'SV Findings'!J107,"")</f>
        <v/>
      </c>
      <c r="E87" s="711"/>
      <c r="F87" s="712"/>
      <c r="G87" s="241"/>
      <c r="Q87" s="49"/>
      <c r="R87" s="49"/>
      <c r="S87" s="49"/>
      <c r="T87" s="49"/>
      <c r="U87" s="49"/>
      <c r="V87" s="49"/>
      <c r="W87" s="49"/>
    </row>
    <row r="88" spans="2:23" s="2" customFormat="1" ht="15">
      <c r="B88" s="713" t="str">
        <f>IF('SV Findings'!G110="Not Met", 'SV Findings'!Q110,"")</f>
        <v/>
      </c>
      <c r="C88" s="714"/>
      <c r="D88" s="710" t="str">
        <f>IF('SV Findings'!G110="Not Met", 'SV Findings'!J110,"")</f>
        <v/>
      </c>
      <c r="E88" s="711"/>
      <c r="F88" s="712"/>
      <c r="G88" s="241"/>
      <c r="Q88" s="49"/>
      <c r="R88" s="49"/>
      <c r="S88" s="49"/>
      <c r="T88" s="49"/>
      <c r="U88" s="49"/>
      <c r="V88" s="49"/>
      <c r="W88" s="49"/>
    </row>
    <row r="89" spans="2:23" s="2" customFormat="1" ht="15">
      <c r="B89" s="713" t="str">
        <f>IF('SV Findings'!G111="Not Met", 'SV Findings'!Q111,"")</f>
        <v/>
      </c>
      <c r="C89" s="714"/>
      <c r="D89" s="710" t="str">
        <f>IF('SV Findings'!G111="Not Met", 'SV Findings'!J111,"")</f>
        <v/>
      </c>
      <c r="E89" s="711"/>
      <c r="F89" s="712"/>
      <c r="G89" s="241"/>
      <c r="Q89" s="49"/>
      <c r="R89" s="49"/>
      <c r="S89" s="49"/>
      <c r="T89" s="49"/>
      <c r="U89" s="49"/>
      <c r="V89" s="49"/>
      <c r="W89" s="49"/>
    </row>
    <row r="90" spans="2:23" s="2" customFormat="1" ht="15">
      <c r="B90" s="713" t="str">
        <f>IF('SV Findings'!G112="Not Met", 'SV Findings'!Q112,"")</f>
        <v/>
      </c>
      <c r="C90" s="714"/>
      <c r="D90" s="710" t="str">
        <f>IF('SV Findings'!G112="Not Met", 'SV Findings'!J112,"")</f>
        <v/>
      </c>
      <c r="E90" s="711"/>
      <c r="F90" s="712"/>
      <c r="G90" s="241"/>
      <c r="Q90" s="49"/>
      <c r="R90" s="49"/>
      <c r="S90" s="49"/>
      <c r="T90" s="49"/>
      <c r="U90" s="49"/>
      <c r="V90" s="49"/>
      <c r="W90" s="49"/>
    </row>
    <row r="91" spans="2:23" s="2" customFormat="1" ht="15">
      <c r="B91" s="713" t="str">
        <f>IF('SV Findings'!G113="Not Met", 'SV Findings'!Q113,"")</f>
        <v/>
      </c>
      <c r="C91" s="714"/>
      <c r="D91" s="710" t="str">
        <f>IF('SV Findings'!G113="Not Met", 'SV Findings'!J113,"")</f>
        <v/>
      </c>
      <c r="E91" s="711"/>
      <c r="F91" s="712"/>
      <c r="G91" s="241"/>
      <c r="Q91" s="49"/>
      <c r="R91" s="49"/>
      <c r="S91" s="49"/>
      <c r="T91" s="49"/>
      <c r="U91" s="49"/>
      <c r="V91" s="49"/>
      <c r="W91" s="49"/>
    </row>
    <row r="92" spans="2:23" s="2" customFormat="1" ht="15">
      <c r="B92" s="713" t="str">
        <f>IF('SV Findings'!G114="Not Met", 'SV Findings'!Q114,"")</f>
        <v/>
      </c>
      <c r="C92" s="714"/>
      <c r="D92" s="710" t="str">
        <f>IF('SV Findings'!G114="Not Met", 'SV Findings'!J114,"")</f>
        <v/>
      </c>
      <c r="E92" s="711"/>
      <c r="F92" s="712"/>
      <c r="G92" s="241"/>
      <c r="Q92" s="49"/>
      <c r="R92" s="49"/>
      <c r="S92" s="49"/>
      <c r="T92" s="49"/>
      <c r="U92" s="49"/>
      <c r="V92" s="49"/>
      <c r="W92" s="49"/>
    </row>
    <row r="93" spans="2:23" s="2" customFormat="1" ht="15">
      <c r="B93" s="713" t="str">
        <f>IF('SV Findings'!G115="Not Met", 'SV Findings'!Q115,"")</f>
        <v/>
      </c>
      <c r="C93" s="714"/>
      <c r="D93" s="710" t="str">
        <f>IF('SV Findings'!G115="Not Met", 'SV Findings'!J115,"")</f>
        <v/>
      </c>
      <c r="E93" s="711"/>
      <c r="F93" s="712"/>
      <c r="G93" s="241"/>
      <c r="Q93" s="49"/>
      <c r="R93" s="49"/>
      <c r="S93" s="49"/>
      <c r="T93" s="49"/>
      <c r="U93" s="49"/>
      <c r="V93" s="49"/>
      <c r="W93" s="49"/>
    </row>
    <row r="94" spans="2:23" s="2" customFormat="1" ht="15">
      <c r="B94" s="713" t="str">
        <f>IF('SV Findings'!G116="Not Met", 'SV Findings'!Q116,"")</f>
        <v/>
      </c>
      <c r="C94" s="714"/>
      <c r="D94" s="710" t="str">
        <f>IF('SV Findings'!G116="Not Met", 'SV Findings'!J116,"")</f>
        <v/>
      </c>
      <c r="E94" s="711"/>
      <c r="F94" s="712"/>
      <c r="G94" s="241"/>
      <c r="Q94" s="49"/>
      <c r="R94" s="49"/>
      <c r="S94" s="49"/>
      <c r="T94" s="49"/>
      <c r="U94" s="49"/>
      <c r="V94" s="49"/>
      <c r="W94" s="49"/>
    </row>
    <row r="95" spans="2:23" s="2" customFormat="1" ht="15">
      <c r="B95" s="713" t="str">
        <f>IF('SV Findings'!G118="Not Met", 'SV Findings'!Q118,"")</f>
        <v/>
      </c>
      <c r="C95" s="714"/>
      <c r="D95" s="710" t="str">
        <f>IF('SV Findings'!G118="Not Met", 'SV Findings'!J118,"")</f>
        <v/>
      </c>
      <c r="E95" s="711"/>
      <c r="F95" s="712"/>
      <c r="G95" s="241"/>
      <c r="Q95" s="49"/>
      <c r="R95" s="49"/>
      <c r="S95" s="49"/>
      <c r="T95" s="49"/>
      <c r="U95" s="49"/>
      <c r="V95" s="49"/>
      <c r="W95" s="49"/>
    </row>
    <row r="96" spans="2:23" s="2" customFormat="1" ht="15">
      <c r="B96" s="713" t="str">
        <f>IF('SV Findings'!G119="Not Met", 'SV Findings'!Q119,"")</f>
        <v/>
      </c>
      <c r="C96" s="714"/>
      <c r="D96" s="710" t="str">
        <f>IF('SV Findings'!G119="Not Met", 'SV Findings'!J119,"")</f>
        <v/>
      </c>
      <c r="E96" s="711"/>
      <c r="F96" s="712"/>
      <c r="G96" s="241"/>
      <c r="Q96" s="49"/>
      <c r="R96" s="49"/>
      <c r="S96" s="49"/>
      <c r="T96" s="49"/>
      <c r="U96" s="49"/>
      <c r="V96" s="49"/>
      <c r="W96" s="49"/>
    </row>
    <row r="97" spans="2:23" s="2" customFormat="1" ht="15">
      <c r="B97" s="713" t="str">
        <f>IF('SV Findings'!G120="Not Met", 'SV Findings'!Q120,"")</f>
        <v/>
      </c>
      <c r="C97" s="714"/>
      <c r="D97" s="710" t="str">
        <f>IF('SV Findings'!G120="Not Met", 'SV Findings'!J120,"")</f>
        <v/>
      </c>
      <c r="E97" s="711"/>
      <c r="F97" s="712"/>
      <c r="G97" s="241"/>
      <c r="Q97" s="49"/>
      <c r="R97" s="49"/>
      <c r="S97" s="49"/>
      <c r="T97" s="49"/>
      <c r="U97" s="49"/>
      <c r="V97" s="49"/>
      <c r="W97" s="49"/>
    </row>
    <row r="98" spans="2:23" s="2" customFormat="1" ht="15">
      <c r="B98" s="713" t="str">
        <f>IF('SV Findings'!G121="Not Met", 'SV Findings'!Q121,"")</f>
        <v/>
      </c>
      <c r="C98" s="714"/>
      <c r="D98" s="710" t="str">
        <f>IF('SV Findings'!G121="Not Met", 'SV Findings'!J121,"")</f>
        <v/>
      </c>
      <c r="E98" s="711"/>
      <c r="F98" s="712"/>
      <c r="G98" s="241"/>
      <c r="Q98" s="49"/>
      <c r="R98" s="49"/>
      <c r="S98" s="49"/>
      <c r="T98" s="49"/>
      <c r="U98" s="49"/>
      <c r="V98" s="49"/>
      <c r="W98" s="49"/>
    </row>
    <row r="99" spans="2:23" s="2" customFormat="1" ht="15">
      <c r="B99" s="713" t="str">
        <f>IF('SV Findings'!G122="Not Met", 'SV Findings'!Q122,"")</f>
        <v/>
      </c>
      <c r="C99" s="714"/>
      <c r="D99" s="710" t="str">
        <f>IF('SV Findings'!G122="Not Met", 'SV Findings'!J122,"")</f>
        <v/>
      </c>
      <c r="E99" s="711"/>
      <c r="F99" s="712"/>
      <c r="G99" s="241"/>
      <c r="Q99" s="49"/>
      <c r="R99" s="49"/>
      <c r="S99" s="49"/>
      <c r="T99" s="49"/>
      <c r="U99" s="49"/>
      <c r="V99" s="49"/>
      <c r="W99" s="49"/>
    </row>
    <row r="100" spans="2:23" s="2" customFormat="1" ht="15">
      <c r="B100" s="713" t="str">
        <f>IF('SV Findings'!G126="Not Met", 'SV Findings'!Q126,"")</f>
        <v/>
      </c>
      <c r="C100" s="714"/>
      <c r="D100" s="710" t="str">
        <f>IF('SV Findings'!G126="Not Met", 'SV Findings'!J126,"")</f>
        <v/>
      </c>
      <c r="E100" s="711"/>
      <c r="F100" s="712"/>
      <c r="G100" s="241"/>
      <c r="Q100" s="49"/>
      <c r="R100" s="49"/>
      <c r="S100" s="49"/>
      <c r="T100" s="49"/>
      <c r="U100" s="49"/>
      <c r="V100" s="49"/>
      <c r="W100" s="49"/>
    </row>
    <row r="101" spans="2:23" s="2" customFormat="1" ht="15">
      <c r="B101" s="713" t="str">
        <f>IF('SV Findings'!G129="Not Met", 'SV Findings'!Q129,"")</f>
        <v/>
      </c>
      <c r="C101" s="714"/>
      <c r="D101" s="710" t="str">
        <f>IF('SV Findings'!G129="Not Met", 'SV Findings'!J129,"")</f>
        <v/>
      </c>
      <c r="E101" s="711"/>
      <c r="F101" s="712"/>
      <c r="G101" s="241"/>
      <c r="Q101" s="49"/>
      <c r="R101" s="49"/>
      <c r="S101" s="49"/>
      <c r="T101" s="49"/>
      <c r="U101" s="49"/>
      <c r="V101" s="49"/>
      <c r="W101" s="49"/>
    </row>
    <row r="102" spans="2:23" s="2" customFormat="1" ht="15">
      <c r="B102" s="713" t="str">
        <f>IF('SV Findings'!G130="Not Met", 'SV Findings'!Q130,"")</f>
        <v/>
      </c>
      <c r="C102" s="714"/>
      <c r="D102" s="710" t="str">
        <f>IF('SV Findings'!G130="Not Met", 'SV Findings'!J130,"")</f>
        <v/>
      </c>
      <c r="E102" s="711"/>
      <c r="F102" s="712"/>
      <c r="G102" s="241"/>
      <c r="Q102" s="49"/>
      <c r="R102" s="49"/>
      <c r="S102" s="49"/>
      <c r="T102" s="49"/>
      <c r="U102" s="49"/>
      <c r="V102" s="49"/>
      <c r="W102" s="49"/>
    </row>
    <row r="103" spans="2:23" s="2" customFormat="1" ht="15">
      <c r="B103" s="713" t="str">
        <f>IF('SV Findings'!G131="Not Met", 'SV Findings'!Q131,"")</f>
        <v/>
      </c>
      <c r="C103" s="714"/>
      <c r="D103" s="710" t="str">
        <f>IF('SV Findings'!G131="Not Met", 'SV Findings'!J131,"")</f>
        <v/>
      </c>
      <c r="E103" s="711"/>
      <c r="F103" s="712"/>
      <c r="G103" s="241"/>
      <c r="Q103" s="49"/>
      <c r="R103" s="49"/>
      <c r="S103" s="49"/>
      <c r="T103" s="49"/>
      <c r="U103" s="49"/>
      <c r="V103" s="49"/>
      <c r="W103" s="49"/>
    </row>
    <row r="104" spans="2:23" s="2" customFormat="1" ht="15">
      <c r="B104" s="713" t="str">
        <f>IF('SV Findings'!G136="Not Met", 'SV Findings'!Q136,"")</f>
        <v/>
      </c>
      <c r="C104" s="714"/>
      <c r="D104" s="710" t="str">
        <f>IF('SV Findings'!G136="Not Met", 'SV Findings'!J136,"")</f>
        <v/>
      </c>
      <c r="E104" s="711"/>
      <c r="F104" s="712"/>
      <c r="G104" s="241"/>
      <c r="Q104" s="49"/>
      <c r="R104" s="49"/>
      <c r="S104" s="49"/>
      <c r="T104" s="49"/>
      <c r="U104" s="49"/>
      <c r="V104" s="49"/>
      <c r="W104" s="49"/>
    </row>
    <row r="105" spans="2:23" s="2" customFormat="1" ht="15">
      <c r="B105" s="713" t="str">
        <f>IF('SV Findings'!G139="Not Met", 'SV Findings'!Q139,"")</f>
        <v/>
      </c>
      <c r="C105" s="714"/>
      <c r="D105" s="710" t="str">
        <f>IF('SV Findings'!G139="Not Met", 'SV Findings'!J139,"")</f>
        <v/>
      </c>
      <c r="E105" s="711"/>
      <c r="F105" s="712"/>
      <c r="G105" s="241"/>
      <c r="Q105" s="49"/>
      <c r="R105" s="49"/>
      <c r="S105" s="49"/>
      <c r="T105" s="49"/>
      <c r="U105" s="49"/>
      <c r="V105" s="49"/>
      <c r="W105" s="49"/>
    </row>
    <row r="106" spans="2:23" s="2" customFormat="1" ht="15">
      <c r="B106" s="713" t="str">
        <f>IF('SV Findings'!G140="Not Met", 'SV Findings'!Q140,"")</f>
        <v/>
      </c>
      <c r="C106" s="714"/>
      <c r="D106" s="710" t="str">
        <f>IF('SV Findings'!G140="Not Met", 'SV Findings'!J140,"")</f>
        <v/>
      </c>
      <c r="E106" s="711"/>
      <c r="F106" s="712"/>
      <c r="G106" s="241"/>
      <c r="Q106" s="49"/>
      <c r="R106" s="49"/>
      <c r="S106" s="49"/>
      <c r="T106" s="49"/>
      <c r="U106" s="49"/>
      <c r="V106" s="49"/>
      <c r="W106" s="49"/>
    </row>
    <row r="107" spans="2:23" s="2" customFormat="1" ht="15">
      <c r="B107" s="713" t="str">
        <f>IF('SV Findings'!G142="Not Met", 'SV Findings'!Q142,"")</f>
        <v/>
      </c>
      <c r="C107" s="714"/>
      <c r="D107" s="710" t="str">
        <f>IF('SV Findings'!G142="Not Met", 'SV Findings'!J142,"")</f>
        <v/>
      </c>
      <c r="E107" s="711"/>
      <c r="F107" s="712"/>
      <c r="G107" s="241"/>
      <c r="Q107" s="49"/>
      <c r="R107" s="49"/>
      <c r="S107" s="49"/>
      <c r="T107" s="49"/>
      <c r="U107" s="49"/>
      <c r="V107" s="49"/>
      <c r="W107" s="49"/>
    </row>
    <row r="108" spans="2:23" s="2" customFormat="1" ht="15">
      <c r="B108" s="713" t="str">
        <f>IF('SV Findings'!G146="Not Met", 'SV Findings'!Q146,"")</f>
        <v/>
      </c>
      <c r="C108" s="714"/>
      <c r="D108" s="710" t="str">
        <f>IF('SV Findings'!G146="Not Met", 'SV Findings'!J146,"")</f>
        <v/>
      </c>
      <c r="E108" s="711"/>
      <c r="F108" s="712"/>
      <c r="G108" s="241"/>
      <c r="Q108" s="49"/>
      <c r="R108" s="49"/>
      <c r="S108" s="49"/>
      <c r="T108" s="49"/>
      <c r="U108" s="49"/>
      <c r="V108" s="49"/>
      <c r="W108" s="49"/>
    </row>
    <row r="109" spans="2:23" s="2" customFormat="1" ht="29.25" customHeight="1">
      <c r="B109" s="713" t="str">
        <f>IF('SV Findings'!G149="Not Met", 'SV Findings'!Q149,"")</f>
        <v/>
      </c>
      <c r="C109" s="714"/>
      <c r="D109" s="710" t="str">
        <f>IF('SV Findings'!G149="Not Met", 'SV Findings'!J149,"")</f>
        <v/>
      </c>
      <c r="E109" s="711"/>
      <c r="F109" s="712"/>
      <c r="G109" s="241"/>
      <c r="Q109" s="49"/>
      <c r="R109" s="49"/>
      <c r="S109" s="49"/>
      <c r="T109" s="49"/>
      <c r="U109" s="49"/>
      <c r="V109" s="49"/>
      <c r="W109" s="49"/>
    </row>
    <row r="110" spans="2:23" s="2" customFormat="1" ht="29.25" customHeight="1">
      <c r="B110" s="713" t="str">
        <f>IF('SV Findings'!G150="Not Met", 'SV Findings'!Q150,"")</f>
        <v/>
      </c>
      <c r="C110" s="714"/>
      <c r="D110" s="710" t="str">
        <f>IF('SV Findings'!G150="Not Met", 'SV Findings'!J150,"")</f>
        <v/>
      </c>
      <c r="E110" s="711"/>
      <c r="F110" s="712"/>
      <c r="G110" s="241"/>
      <c r="Q110" s="49"/>
      <c r="R110" s="49"/>
      <c r="S110" s="49"/>
      <c r="T110" s="49"/>
      <c r="U110" s="49"/>
      <c r="V110" s="49"/>
      <c r="W110" s="49"/>
    </row>
    <row r="111" spans="2:23" s="2" customFormat="1" ht="29.25" customHeight="1">
      <c r="B111" s="713" t="str">
        <f>IF('SV Findings'!G151="Not Met", 'SV Findings'!Q151,"")</f>
        <v/>
      </c>
      <c r="C111" s="714"/>
      <c r="D111" s="710" t="str">
        <f>IF('SV Findings'!G151="Not Met", 'SV Findings'!J151,"")</f>
        <v/>
      </c>
      <c r="E111" s="711"/>
      <c r="F111" s="712"/>
      <c r="G111" s="241"/>
      <c r="Q111" s="49"/>
      <c r="R111" s="49"/>
      <c r="S111" s="49"/>
      <c r="T111" s="49"/>
      <c r="U111" s="49"/>
      <c r="V111" s="49"/>
      <c r="W111" s="49"/>
    </row>
    <row r="112" spans="2:23" s="2" customFormat="1" ht="15">
      <c r="B112" s="713" t="str">
        <f>IF('SV Findings'!G153="Not Met", 'SV Findings'!Q153,"")</f>
        <v/>
      </c>
      <c r="C112" s="714"/>
      <c r="D112" s="710" t="str">
        <f>IF('SV Findings'!G153="Not Met", 'SV Findings'!J153,"")</f>
        <v/>
      </c>
      <c r="E112" s="711"/>
      <c r="F112" s="712"/>
      <c r="G112" s="241"/>
      <c r="Q112" s="49"/>
      <c r="R112" s="49"/>
      <c r="S112" s="49"/>
      <c r="T112" s="49"/>
      <c r="U112" s="49"/>
      <c r="V112" s="49"/>
      <c r="W112" s="49"/>
    </row>
    <row r="113" spans="2:23" s="2" customFormat="1" ht="15">
      <c r="B113" s="713" t="str">
        <f>IF('SV Findings'!G157="Not Met", 'SV Findings'!Q157,"")</f>
        <v/>
      </c>
      <c r="C113" s="714"/>
      <c r="D113" s="710" t="str">
        <f>IF('SV Findings'!G157="Not Met", 'SV Findings'!J157,"")</f>
        <v/>
      </c>
      <c r="E113" s="711"/>
      <c r="F113" s="712"/>
      <c r="G113" s="241"/>
      <c r="Q113" s="49"/>
      <c r="R113" s="49"/>
      <c r="S113" s="49"/>
      <c r="T113" s="49"/>
      <c r="U113" s="49"/>
      <c r="V113" s="49"/>
      <c r="W113" s="49"/>
    </row>
    <row r="114" spans="2:23" s="2" customFormat="1" ht="15">
      <c r="B114" s="713" t="str">
        <f>IF('SV Findings'!G159="Not Met", 'SV Findings'!Q159,"")</f>
        <v/>
      </c>
      <c r="C114" s="714"/>
      <c r="D114" s="710" t="str">
        <f>IF('SV Findings'!G159="Not Met", 'SV Findings'!J159,"")</f>
        <v/>
      </c>
      <c r="E114" s="711"/>
      <c r="F114" s="712"/>
      <c r="G114" s="241"/>
      <c r="Q114" s="49"/>
      <c r="R114" s="49"/>
      <c r="S114" s="49"/>
      <c r="T114" s="49"/>
      <c r="U114" s="49"/>
      <c r="V114" s="49"/>
      <c r="W114" s="49"/>
    </row>
    <row r="115" spans="2:23" s="2" customFormat="1" ht="15">
      <c r="B115" s="713" t="str">
        <f>IF('SV Findings'!G160="Not Met", 'SV Findings'!Q160,"")</f>
        <v/>
      </c>
      <c r="C115" s="714"/>
      <c r="D115" s="710" t="str">
        <f>IF('SV Findings'!G160="Not Met", 'SV Findings'!J160,"")</f>
        <v/>
      </c>
      <c r="E115" s="711"/>
      <c r="F115" s="712"/>
      <c r="G115" s="241"/>
      <c r="Q115" s="49"/>
      <c r="R115" s="49"/>
      <c r="S115" s="49"/>
      <c r="T115" s="49"/>
      <c r="U115" s="49"/>
      <c r="V115" s="49"/>
      <c r="W115" s="49"/>
    </row>
    <row r="116" spans="2:23" s="2" customFormat="1" ht="15">
      <c r="B116" s="713" t="str">
        <f>IF('SV Findings'!G161="Not Met", 'SV Findings'!Q161,"")</f>
        <v/>
      </c>
      <c r="C116" s="714"/>
      <c r="D116" s="710" t="str">
        <f>IF('SV Findings'!G161="Not Met", 'SV Findings'!J161,"")</f>
        <v/>
      </c>
      <c r="E116" s="711"/>
      <c r="F116" s="712"/>
      <c r="G116" s="241"/>
      <c r="Q116" s="49"/>
      <c r="R116" s="49"/>
      <c r="S116" s="49"/>
      <c r="T116" s="49"/>
      <c r="U116" s="49"/>
      <c r="V116" s="49"/>
      <c r="W116" s="49"/>
    </row>
    <row r="117" spans="2:23" s="2" customFormat="1" ht="15">
      <c r="B117" s="713" t="str">
        <f>IF('SV Findings'!G162="Not Met", 'SV Findings'!Q162,"")</f>
        <v/>
      </c>
      <c r="C117" s="714"/>
      <c r="D117" s="710" t="str">
        <f>IF('SV Findings'!G162="Not Met", 'SV Findings'!J162,"")</f>
        <v/>
      </c>
      <c r="E117" s="711"/>
      <c r="F117" s="712"/>
      <c r="G117" s="241"/>
      <c r="Q117" s="49"/>
      <c r="R117" s="49"/>
      <c r="S117" s="49"/>
      <c r="T117" s="49"/>
      <c r="U117" s="49"/>
      <c r="V117" s="49"/>
      <c r="W117" s="49"/>
    </row>
    <row r="118" spans="2:23" s="2" customFormat="1" ht="15">
      <c r="B118" s="713" t="str">
        <f>IF('SV Findings'!G163="Not Met", 'SV Findings'!Q163,"")</f>
        <v/>
      </c>
      <c r="C118" s="714"/>
      <c r="D118" s="710" t="str">
        <f>IF('SV Findings'!G163="Not Met", 'SV Findings'!J163,"")</f>
        <v/>
      </c>
      <c r="E118" s="711"/>
      <c r="F118" s="712"/>
      <c r="G118" s="241"/>
      <c r="Q118" s="49"/>
      <c r="R118" s="49"/>
      <c r="S118" s="49"/>
      <c r="T118" s="49"/>
      <c r="U118" s="49"/>
      <c r="V118" s="49"/>
      <c r="W118" s="49"/>
    </row>
    <row r="119" spans="2:23" s="2" customFormat="1" ht="15">
      <c r="B119" s="713" t="str">
        <f>IF('SV Findings'!G167="Not Met", 'SV Findings'!Q167,"")</f>
        <v/>
      </c>
      <c r="C119" s="714"/>
      <c r="D119" s="710" t="str">
        <f>IF('SV Findings'!G167="Not Met", 'SV Findings'!J167,"")</f>
        <v/>
      </c>
      <c r="E119" s="711"/>
      <c r="F119" s="712"/>
      <c r="G119" s="241"/>
      <c r="Q119" s="49"/>
      <c r="R119" s="49"/>
      <c r="S119" s="49"/>
      <c r="T119" s="49"/>
      <c r="U119" s="49"/>
      <c r="V119" s="49"/>
      <c r="W119" s="49"/>
    </row>
    <row r="120" spans="2:23" s="2" customFormat="1" ht="15">
      <c r="B120" s="713" t="str">
        <f>IF('SV Findings'!G168="Not Met", 'SV Findings'!Q168,"")</f>
        <v/>
      </c>
      <c r="C120" s="714"/>
      <c r="D120" s="710" t="str">
        <f>IF('SV Findings'!G168="Not Met", 'SV Findings'!J168,"")</f>
        <v/>
      </c>
      <c r="E120" s="711"/>
      <c r="F120" s="712"/>
      <c r="G120" s="241"/>
      <c r="Q120" s="49"/>
      <c r="R120" s="49"/>
      <c r="S120" s="49"/>
      <c r="T120" s="49"/>
      <c r="U120" s="49"/>
      <c r="V120" s="49"/>
      <c r="W120" s="49"/>
    </row>
    <row r="121" spans="2:23" s="2" customFormat="1" ht="15">
      <c r="B121" s="713" t="str">
        <f>IF('SV Findings'!G169="Not Met", 'SV Findings'!Q169,"")</f>
        <v/>
      </c>
      <c r="C121" s="714"/>
      <c r="D121" s="710" t="str">
        <f>IF('SV Findings'!G169="Not Met", 'SV Findings'!J169,"")</f>
        <v/>
      </c>
      <c r="E121" s="711"/>
      <c r="F121" s="712"/>
      <c r="G121" s="241"/>
      <c r="Q121" s="49"/>
      <c r="R121" s="49"/>
      <c r="S121" s="49"/>
      <c r="T121" s="49"/>
      <c r="U121" s="49"/>
      <c r="V121" s="49"/>
      <c r="W121" s="49"/>
    </row>
    <row r="122" spans="2:23" s="2" customFormat="1" ht="15">
      <c r="B122" s="713" t="str">
        <f>IF('SV Findings'!G170="Not Met", 'SV Findings'!Q170,"")</f>
        <v/>
      </c>
      <c r="C122" s="714"/>
      <c r="D122" s="710" t="str">
        <f>IF('SV Findings'!G170="Not Met", 'SV Findings'!J170,"")</f>
        <v/>
      </c>
      <c r="E122" s="711"/>
      <c r="F122" s="712"/>
      <c r="G122" s="241"/>
      <c r="Q122" s="49"/>
      <c r="R122" s="49"/>
      <c r="S122" s="49"/>
      <c r="T122" s="49"/>
      <c r="U122" s="49"/>
      <c r="V122" s="49"/>
      <c r="W122" s="49"/>
    </row>
    <row r="123" spans="2:23" s="2" customFormat="1" ht="15">
      <c r="B123" s="713" t="str">
        <f>IF('SV Findings'!G172="Not Met", 'SV Findings'!Q172,"")</f>
        <v/>
      </c>
      <c r="C123" s="714"/>
      <c r="D123" s="710" t="str">
        <f>IF('SV Findings'!G172="Not Met", 'SV Findings'!J172,"")</f>
        <v/>
      </c>
      <c r="E123" s="711"/>
      <c r="F123" s="712"/>
      <c r="G123" s="241"/>
      <c r="Q123" s="49"/>
      <c r="R123" s="49"/>
      <c r="S123" s="49"/>
      <c r="T123" s="49"/>
      <c r="U123" s="49"/>
      <c r="V123" s="49"/>
      <c r="W123" s="49"/>
    </row>
    <row r="124" spans="2:23" s="2" customFormat="1" ht="15">
      <c r="B124" s="713" t="str">
        <f>IF('SV Findings'!G173="Not Met", 'SV Findings'!Q173,"")</f>
        <v/>
      </c>
      <c r="C124" s="714"/>
      <c r="D124" s="710" t="str">
        <f>IF('SV Findings'!G173="Not Met", 'SV Findings'!J173,"")</f>
        <v/>
      </c>
      <c r="E124" s="711"/>
      <c r="F124" s="712"/>
      <c r="G124" s="241"/>
      <c r="Q124" s="49"/>
      <c r="R124" s="49"/>
      <c r="S124" s="49"/>
      <c r="T124" s="49"/>
      <c r="U124" s="49"/>
      <c r="V124" s="49"/>
      <c r="W124" s="49"/>
    </row>
    <row r="125" spans="2:23" s="2" customFormat="1" ht="15">
      <c r="B125" s="713" t="str">
        <f>IF('SV Findings'!G174="Not Met", 'SV Findings'!Q174,"")</f>
        <v/>
      </c>
      <c r="C125" s="714"/>
      <c r="D125" s="710" t="str">
        <f>IF('SV Findings'!G174="Not Met", 'SV Findings'!J174,"")</f>
        <v/>
      </c>
      <c r="E125" s="711"/>
      <c r="F125" s="712"/>
      <c r="G125" s="241"/>
      <c r="Q125" s="49"/>
      <c r="R125" s="49"/>
      <c r="S125" s="49"/>
      <c r="T125" s="49"/>
      <c r="U125" s="49"/>
      <c r="V125" s="49"/>
      <c r="W125" s="49"/>
    </row>
    <row r="126" spans="2:23" s="2" customFormat="1" ht="29.25" customHeight="1">
      <c r="B126" s="713" t="str">
        <f>IF('SV Findings'!G183="Not Met", 'SV Findings'!Q183,"")</f>
        <v/>
      </c>
      <c r="C126" s="714"/>
      <c r="D126" s="710" t="str">
        <f>IF('SV Findings'!G183="Not Met", 'SV Findings'!J183,"")</f>
        <v/>
      </c>
      <c r="E126" s="711"/>
      <c r="F126" s="712"/>
      <c r="G126" s="241"/>
      <c r="Q126" s="49"/>
      <c r="R126" s="49"/>
      <c r="S126" s="49"/>
      <c r="T126" s="49"/>
      <c r="U126" s="49"/>
      <c r="V126" s="49"/>
      <c r="W126" s="49"/>
    </row>
    <row r="127" spans="2:23" s="2" customFormat="1" ht="29.25" customHeight="1">
      <c r="B127" s="713" t="str">
        <f>IF('SV Findings'!G184="Not Met", 'SV Findings'!Q184,"")</f>
        <v/>
      </c>
      <c r="C127" s="714"/>
      <c r="D127" s="710" t="str">
        <f>IF('SV Findings'!G184="Not Met", 'SV Findings'!J184,"")</f>
        <v/>
      </c>
      <c r="E127" s="711"/>
      <c r="F127" s="712"/>
      <c r="G127" s="241"/>
      <c r="Q127" s="49"/>
      <c r="R127" s="49"/>
      <c r="S127" s="49"/>
      <c r="T127" s="49"/>
      <c r="U127" s="49"/>
      <c r="V127" s="49"/>
      <c r="W127" s="49"/>
    </row>
    <row r="128" spans="2:23" s="2" customFormat="1" ht="29.25" customHeight="1">
      <c r="B128" s="713" t="str">
        <f>IF('SV Findings'!G185="Not Met", 'SV Findings'!Q185,"")</f>
        <v/>
      </c>
      <c r="C128" s="714"/>
      <c r="D128" s="710" t="str">
        <f>IF('SV Findings'!G185="Not Met", 'SV Findings'!J185,"")</f>
        <v/>
      </c>
      <c r="E128" s="711"/>
      <c r="F128" s="712"/>
      <c r="G128" s="241"/>
      <c r="Q128" s="49"/>
      <c r="R128" s="49"/>
      <c r="S128" s="49"/>
      <c r="T128" s="49"/>
      <c r="U128" s="49"/>
      <c r="V128" s="49"/>
      <c r="W128" s="49"/>
    </row>
    <row r="129" spans="2:23" s="2" customFormat="1" ht="15">
      <c r="B129" s="713" t="str">
        <f>IF('SV Findings'!G176="Not Met", 'SV Findings'!Q176,"")</f>
        <v/>
      </c>
      <c r="C129" s="714"/>
      <c r="D129" s="710" t="str">
        <f>IF('SV Findings'!G176="Not Met", 'SV Findings'!J176,"")</f>
        <v/>
      </c>
      <c r="E129" s="711"/>
      <c r="F129" s="712"/>
      <c r="G129" s="241"/>
      <c r="Q129" s="49"/>
      <c r="R129" s="49"/>
      <c r="S129" s="49"/>
      <c r="T129" s="49"/>
      <c r="U129" s="49"/>
      <c r="V129" s="49"/>
      <c r="W129" s="49"/>
    </row>
    <row r="130" spans="2:23" s="2" customFormat="1" ht="29.25" customHeight="1">
      <c r="B130" s="713" t="str">
        <f>IF('SV Findings'!G178="Not Met", 'SV Findings'!Q178,"")</f>
        <v/>
      </c>
      <c r="C130" s="714"/>
      <c r="D130" s="710" t="str">
        <f>IF('SV Findings'!G178="Not Met", 'SV Findings'!J178,"")</f>
        <v/>
      </c>
      <c r="E130" s="711"/>
      <c r="F130" s="712"/>
      <c r="G130" s="241"/>
      <c r="Q130" s="49"/>
      <c r="R130" s="49"/>
      <c r="S130" s="49"/>
      <c r="T130" s="49"/>
      <c r="U130" s="49"/>
      <c r="V130" s="49"/>
      <c r="W130" s="49"/>
    </row>
    <row r="131" spans="2:23" s="2" customFormat="1" ht="29.25" customHeight="1">
      <c r="B131" s="713" t="str">
        <f>IF('SV Findings'!G179="Not Met", 'SV Findings'!Q179,"")</f>
        <v/>
      </c>
      <c r="C131" s="714"/>
      <c r="D131" s="710" t="str">
        <f>IF('SV Findings'!G179="Not Met", 'SV Findings'!J179,"")</f>
        <v/>
      </c>
      <c r="E131" s="711"/>
      <c r="F131" s="712"/>
      <c r="G131" s="241"/>
      <c r="Q131" s="49"/>
      <c r="R131" s="49"/>
      <c r="S131" s="49"/>
      <c r="T131" s="49"/>
      <c r="U131" s="49"/>
      <c r="V131" s="49"/>
      <c r="W131" s="49"/>
    </row>
    <row r="132" spans="2:23" s="2" customFormat="1" ht="29.25" customHeight="1">
      <c r="B132" s="713" t="str">
        <f>IF('SV Findings'!G180="Not Met", 'SV Findings'!Q180,"")</f>
        <v/>
      </c>
      <c r="C132" s="714"/>
      <c r="D132" s="710" t="str">
        <f>IF('SV Findings'!G180="Not Met", 'SV Findings'!J180,"")</f>
        <v/>
      </c>
      <c r="E132" s="711"/>
      <c r="F132" s="712"/>
      <c r="G132" s="241"/>
      <c r="Q132" s="49"/>
      <c r="R132" s="49"/>
      <c r="S132" s="49"/>
      <c r="T132" s="49"/>
      <c r="U132" s="49"/>
      <c r="V132" s="49"/>
      <c r="W132" s="49"/>
    </row>
    <row r="133" spans="2:23" s="2" customFormat="1" ht="29.25" customHeight="1">
      <c r="B133" s="713" t="str">
        <f>IF('SV Findings'!G181="Not Met", 'SV Findings'!Q181,"")</f>
        <v/>
      </c>
      <c r="C133" s="714"/>
      <c r="D133" s="710" t="str">
        <f>IF('SV Findings'!G181="Not Met", 'SV Findings'!J181,"")</f>
        <v/>
      </c>
      <c r="E133" s="711"/>
      <c r="F133" s="712"/>
      <c r="G133" s="241"/>
      <c r="Q133" s="49"/>
      <c r="R133" s="49"/>
      <c r="S133" s="49"/>
      <c r="T133" s="49"/>
      <c r="U133" s="49"/>
      <c r="V133" s="49"/>
      <c r="W133" s="49"/>
    </row>
    <row r="134" spans="2:23" s="2" customFormat="1" ht="29.25" customHeight="1">
      <c r="B134" s="713" t="str">
        <f>IF('SV Findings'!G182="Not Met", 'SV Findings'!Q182,"")</f>
        <v/>
      </c>
      <c r="C134" s="714"/>
      <c r="D134" s="710" t="str">
        <f>IF('SV Findings'!G182="Not Met", 'SV Findings'!J182,"")</f>
        <v/>
      </c>
      <c r="E134" s="711"/>
      <c r="F134" s="712"/>
      <c r="G134" s="241"/>
      <c r="Q134" s="49"/>
      <c r="R134" s="49"/>
      <c r="S134" s="49"/>
      <c r="T134" s="49"/>
      <c r="U134" s="49"/>
      <c r="V134" s="49"/>
      <c r="W134" s="49"/>
    </row>
    <row r="135" spans="2:23" s="2" customFormat="1" ht="29.25" customHeight="1">
      <c r="B135" s="713" t="str">
        <f>IF('SV Findings'!G183="Not Met", 'SV Findings'!Q183,"")</f>
        <v/>
      </c>
      <c r="C135" s="714"/>
      <c r="D135" s="710" t="str">
        <f>IF('SV Findings'!G183="Not Met", 'SV Findings'!J183,"")</f>
        <v/>
      </c>
      <c r="E135" s="711"/>
      <c r="F135" s="712"/>
      <c r="G135" s="241"/>
      <c r="Q135" s="49"/>
      <c r="R135" s="49"/>
      <c r="S135" s="49"/>
      <c r="T135" s="49"/>
      <c r="U135" s="49"/>
      <c r="V135" s="49"/>
      <c r="W135" s="49"/>
    </row>
    <row r="136" spans="2:23" s="2" customFormat="1" ht="29.25" customHeight="1">
      <c r="B136" s="713" t="str">
        <f>IF('SV Findings'!G184="Not Met", 'SV Findings'!Q184,"")</f>
        <v/>
      </c>
      <c r="C136" s="714"/>
      <c r="D136" s="710" t="str">
        <f>IF('SV Findings'!G184="Not Met", 'SV Findings'!J184,"")</f>
        <v/>
      </c>
      <c r="E136" s="711"/>
      <c r="F136" s="712"/>
      <c r="G136" s="241"/>
      <c r="Q136" s="49"/>
      <c r="R136" s="49"/>
      <c r="S136" s="49"/>
      <c r="T136" s="49"/>
      <c r="U136" s="49"/>
      <c r="V136" s="49"/>
      <c r="W136" s="49"/>
    </row>
    <row r="137" spans="2:23" s="2" customFormat="1" ht="15">
      <c r="B137" s="713" t="str">
        <f>IF('SV Findings'!G186="Not Met", 'SV Findings'!Q186,"")</f>
        <v/>
      </c>
      <c r="C137" s="714"/>
      <c r="D137" s="710" t="str">
        <f>IF('SV Findings'!G186="Not Met", 'SV Findings'!J186,"")</f>
        <v/>
      </c>
      <c r="E137" s="711"/>
      <c r="F137" s="712"/>
      <c r="G137" s="241"/>
      <c r="Q137" s="49"/>
      <c r="R137" s="49"/>
      <c r="S137" s="49"/>
      <c r="T137" s="49"/>
      <c r="U137" s="49"/>
      <c r="V137" s="49"/>
      <c r="W137" s="49"/>
    </row>
    <row r="138" spans="2:23" s="2" customFormat="1" ht="29.25" customHeight="1">
      <c r="B138" s="713" t="str">
        <f>IF('SV Findings'!G189="Not Met", 'SV Findings'!Q189,"")</f>
        <v/>
      </c>
      <c r="C138" s="714"/>
      <c r="D138" s="710" t="str">
        <f>IF('SV Findings'!G189="Not Met", 'SV Findings'!J189,"")</f>
        <v/>
      </c>
      <c r="E138" s="711"/>
      <c r="F138" s="712"/>
      <c r="G138" s="241"/>
      <c r="Q138" s="49"/>
      <c r="R138" s="49"/>
      <c r="S138" s="49"/>
      <c r="T138" s="49"/>
      <c r="U138" s="49"/>
      <c r="V138" s="49"/>
      <c r="W138" s="49"/>
    </row>
    <row r="139" spans="2:23" s="2" customFormat="1" ht="29.25" customHeight="1">
      <c r="B139" s="713" t="str">
        <f>IF('SV Findings'!G190="Not Met", 'SV Findings'!Q190,"")</f>
        <v/>
      </c>
      <c r="C139" s="714"/>
      <c r="D139" s="710" t="str">
        <f>IF('SV Findings'!G190="Not Met", 'SV Findings'!J190,"")</f>
        <v/>
      </c>
      <c r="E139" s="711"/>
      <c r="F139" s="712"/>
      <c r="G139" s="241"/>
      <c r="Q139" s="49"/>
      <c r="R139" s="49"/>
      <c r="S139" s="49"/>
      <c r="T139" s="49"/>
      <c r="U139" s="49"/>
      <c r="V139" s="49"/>
      <c r="W139" s="49"/>
    </row>
    <row r="140" spans="2:23" s="2" customFormat="1" ht="29.25" customHeight="1">
      <c r="B140" s="713" t="str">
        <f>IF('SV Findings'!G191="Not Met", 'SV Findings'!Q191,"")</f>
        <v/>
      </c>
      <c r="C140" s="714"/>
      <c r="D140" s="710" t="str">
        <f>IF('SV Findings'!G191="Not Met", 'SV Findings'!J191,"")</f>
        <v/>
      </c>
      <c r="E140" s="711"/>
      <c r="F140" s="712"/>
      <c r="G140" s="241"/>
      <c r="Q140" s="49"/>
      <c r="R140" s="49"/>
      <c r="S140" s="49"/>
      <c r="T140" s="49"/>
      <c r="U140" s="49"/>
      <c r="V140" s="49"/>
      <c r="W140" s="49"/>
    </row>
    <row r="141" spans="2:23" s="2" customFormat="1" ht="15">
      <c r="B141" s="713" t="str">
        <f>IF('SV Findings'!G192="Not Met", 'SV Findings'!Q192,"")</f>
        <v/>
      </c>
      <c r="C141" s="714"/>
      <c r="D141" s="710" t="str">
        <f>IF('SV Findings'!G192="Not Met", 'SV Findings'!J192,"")</f>
        <v/>
      </c>
      <c r="E141" s="711"/>
      <c r="F141" s="712"/>
      <c r="G141" s="241"/>
      <c r="Q141" s="49"/>
      <c r="R141" s="49"/>
      <c r="S141" s="49"/>
      <c r="T141" s="49"/>
      <c r="U141" s="49"/>
      <c r="V141" s="49"/>
      <c r="W141" s="49"/>
    </row>
    <row r="142" spans="2:23" s="2" customFormat="1" ht="29.25" customHeight="1">
      <c r="B142" s="713" t="str">
        <f>IF('SV Findings'!G194="Not Met", 'SV Findings'!Q194,"")</f>
        <v/>
      </c>
      <c r="C142" s="714"/>
      <c r="D142" s="710" t="str">
        <f>IF('SV Findings'!G194="Not Met", 'SV Findings'!J194,"")</f>
        <v/>
      </c>
      <c r="E142" s="711"/>
      <c r="F142" s="712"/>
      <c r="G142" s="241"/>
      <c r="Q142" s="49"/>
      <c r="R142" s="49"/>
      <c r="S142" s="49"/>
      <c r="T142" s="49"/>
      <c r="U142" s="49"/>
      <c r="V142" s="49"/>
      <c r="W142" s="49"/>
    </row>
    <row r="143" spans="2:23" s="2" customFormat="1" ht="29.25" customHeight="1">
      <c r="B143" s="713" t="str">
        <f>IF('SV Findings'!G195="Not Met", 'SV Findings'!Q195,"")</f>
        <v/>
      </c>
      <c r="C143" s="714"/>
      <c r="D143" s="710" t="str">
        <f>IF('SV Findings'!G195="Not Met", 'SV Findings'!J195,"")</f>
        <v/>
      </c>
      <c r="E143" s="711"/>
      <c r="F143" s="712"/>
      <c r="G143" s="241"/>
      <c r="Q143" s="49"/>
      <c r="R143" s="49"/>
      <c r="S143" s="49"/>
      <c r="T143" s="49"/>
      <c r="U143" s="49"/>
      <c r="V143" s="49"/>
      <c r="W143" s="49"/>
    </row>
    <row r="144" spans="2:23" s="2" customFormat="1" ht="29.25" customHeight="1">
      <c r="B144" s="713" t="str">
        <f>IF('SV Findings'!G196="Not Met", 'SV Findings'!Q196,"")</f>
        <v/>
      </c>
      <c r="C144" s="714"/>
      <c r="D144" s="710" t="str">
        <f>IF('SV Findings'!G196="Not Met", 'SV Findings'!J196,"")</f>
        <v/>
      </c>
      <c r="E144" s="711"/>
      <c r="F144" s="712"/>
      <c r="G144" s="241"/>
      <c r="Q144" s="49"/>
      <c r="R144" s="49"/>
      <c r="S144" s="49"/>
      <c r="T144" s="49"/>
      <c r="U144" s="49"/>
      <c r="V144" s="49"/>
      <c r="W144" s="49"/>
    </row>
    <row r="145" spans="2:23" s="2" customFormat="1" ht="15">
      <c r="B145" s="713" t="str">
        <f>IF('SV Findings'!G197="Not Met", 'SV Findings'!Q197,"")</f>
        <v/>
      </c>
      <c r="C145" s="714"/>
      <c r="D145" s="710" t="str">
        <f>IF('SV Findings'!G197="Not Met", 'SV Findings'!J197,"")</f>
        <v/>
      </c>
      <c r="E145" s="711"/>
      <c r="F145" s="712"/>
      <c r="G145" s="241"/>
      <c r="Q145" s="49"/>
      <c r="R145" s="49"/>
      <c r="S145" s="49"/>
      <c r="T145" s="49"/>
      <c r="U145" s="49"/>
      <c r="V145" s="49"/>
      <c r="W145" s="49"/>
    </row>
    <row r="146" spans="2:23" s="2" customFormat="1" ht="15">
      <c r="B146" s="713" t="str">
        <f>IF('SV Findings'!G200="Not Met", 'SV Findings'!Q200,"")</f>
        <v/>
      </c>
      <c r="C146" s="714"/>
      <c r="D146" s="710" t="str">
        <f>IF('SV Findings'!G200="Not Met", 'SV Findings'!J200,"")</f>
        <v/>
      </c>
      <c r="E146" s="711"/>
      <c r="F146" s="712"/>
      <c r="G146" s="241"/>
      <c r="Q146" s="49"/>
      <c r="R146" s="49"/>
      <c r="S146" s="49"/>
      <c r="T146" s="49"/>
      <c r="U146" s="49"/>
      <c r="V146" s="49"/>
      <c r="W146" s="49"/>
    </row>
    <row r="147" spans="2:23" s="2" customFormat="1" ht="29.25" customHeight="1">
      <c r="B147" s="713" t="str">
        <f>IF('SV Findings'!G203="Not Met", 'SV Findings'!Q203,"")</f>
        <v/>
      </c>
      <c r="C147" s="714"/>
      <c r="D147" s="710" t="str">
        <f>IF('SV Findings'!G203="Not Met", 'SV Findings'!J203,"")</f>
        <v/>
      </c>
      <c r="E147" s="711"/>
      <c r="F147" s="712"/>
      <c r="G147" s="241"/>
      <c r="Q147" s="49"/>
      <c r="R147" s="49"/>
      <c r="S147" s="49"/>
      <c r="T147" s="49"/>
      <c r="U147" s="49"/>
      <c r="V147" s="49"/>
      <c r="W147" s="49"/>
    </row>
    <row r="148" spans="2:23" s="2" customFormat="1" ht="29.25" customHeight="1">
      <c r="B148" s="713" t="str">
        <f>IF('SV Findings'!G204="Not Met", 'SV Findings'!Q204,"")</f>
        <v/>
      </c>
      <c r="C148" s="714"/>
      <c r="D148" s="710" t="str">
        <f>IF('SV Findings'!G204="Not Met", 'SV Findings'!J204,"")</f>
        <v/>
      </c>
      <c r="E148" s="711"/>
      <c r="F148" s="712"/>
      <c r="G148" s="241"/>
      <c r="Q148" s="49"/>
      <c r="R148" s="49"/>
      <c r="S148" s="49"/>
      <c r="T148" s="49"/>
      <c r="U148" s="49"/>
      <c r="V148" s="49"/>
      <c r="W148" s="49"/>
    </row>
    <row r="149" spans="2:23" s="2" customFormat="1" ht="29.25" customHeight="1">
      <c r="B149" s="713" t="str">
        <f>IF('SV Findings'!G205="Not Met", 'SV Findings'!Q205,"")</f>
        <v/>
      </c>
      <c r="C149" s="714"/>
      <c r="D149" s="710" t="str">
        <f>IF('SV Findings'!G205="Not Met", 'SV Findings'!J205,"")</f>
        <v/>
      </c>
      <c r="E149" s="711"/>
      <c r="F149" s="712"/>
      <c r="G149" s="241"/>
      <c r="Q149" s="49"/>
      <c r="R149" s="49"/>
      <c r="S149" s="49"/>
      <c r="T149" s="49"/>
      <c r="U149" s="49"/>
      <c r="V149" s="49"/>
      <c r="W149" s="49"/>
    </row>
    <row r="150" spans="2:23" s="2" customFormat="1" ht="15">
      <c r="B150" s="713" t="str">
        <f>IF('SV Findings'!G206="Not Met", 'SV Findings'!Q206,"")</f>
        <v/>
      </c>
      <c r="C150" s="714"/>
      <c r="D150" s="710" t="str">
        <f>IF('SV Findings'!G206="Not Met", 'SV Findings'!J206,"")</f>
        <v/>
      </c>
      <c r="E150" s="711"/>
      <c r="F150" s="712"/>
      <c r="G150" s="241"/>
      <c r="Q150" s="49"/>
      <c r="R150" s="49"/>
      <c r="S150" s="49"/>
      <c r="T150" s="49"/>
      <c r="U150" s="49"/>
      <c r="V150" s="49"/>
      <c r="W150" s="49"/>
    </row>
    <row r="151" spans="2:23" s="2" customFormat="1" ht="15">
      <c r="B151" s="713" t="str">
        <f>IF('SV Findings'!G207="Not Met", 'SV Findings'!Q207,"")</f>
        <v/>
      </c>
      <c r="C151" s="714"/>
      <c r="D151" s="710" t="str">
        <f>IF('SV Findings'!G207="Not Met", 'SV Findings'!J207,"")</f>
        <v/>
      </c>
      <c r="E151" s="711"/>
      <c r="F151" s="712"/>
      <c r="G151" s="241"/>
      <c r="Q151" s="49"/>
      <c r="R151" s="49"/>
      <c r="S151" s="49"/>
      <c r="T151" s="49"/>
      <c r="U151" s="49"/>
      <c r="V151" s="49"/>
      <c r="W151" s="49"/>
    </row>
    <row r="152" spans="2:23" s="2" customFormat="1" ht="15">
      <c r="B152" s="713" t="str">
        <f>IF('SV Findings'!G208="Not Met", 'SV Findings'!Q208,"")</f>
        <v/>
      </c>
      <c r="C152" s="714"/>
      <c r="D152" s="710" t="str">
        <f>IF('SV Findings'!G208="Not Met", 'SV Findings'!J208,"")</f>
        <v/>
      </c>
      <c r="E152" s="711"/>
      <c r="F152" s="712"/>
      <c r="G152" s="241"/>
      <c r="Q152" s="49"/>
      <c r="R152" s="49"/>
      <c r="S152" s="49"/>
      <c r="T152" s="49"/>
      <c r="U152" s="49"/>
      <c r="V152" s="49"/>
      <c r="W152" s="49"/>
    </row>
    <row r="153" spans="2:23" s="2" customFormat="1" ht="15">
      <c r="B153" s="713" t="str">
        <f>IF('SV Findings'!G213="Not Met", 'SV Findings'!Q213,"")</f>
        <v/>
      </c>
      <c r="C153" s="714"/>
      <c r="D153" s="710" t="str">
        <f>IF('SV Findings'!G213="Not Met", 'SV Findings'!J213,"")</f>
        <v/>
      </c>
      <c r="E153" s="711"/>
      <c r="F153" s="712"/>
      <c r="G153" s="241"/>
      <c r="Q153" s="49"/>
      <c r="R153" s="49"/>
      <c r="S153" s="49"/>
      <c r="T153" s="49"/>
      <c r="U153" s="49"/>
      <c r="V153" s="49"/>
      <c r="W153" s="49"/>
    </row>
    <row r="154" spans="2:23" s="2" customFormat="1" ht="29.25" customHeight="1">
      <c r="B154" s="713" t="str">
        <f>IF('SV Findings'!G216="Not Met", 'SV Findings'!Q216,"")</f>
        <v/>
      </c>
      <c r="C154" s="714"/>
      <c r="D154" s="710" t="str">
        <f>IF('SV Findings'!G216="Not Met", 'SV Findings'!J216,"")</f>
        <v/>
      </c>
      <c r="E154" s="711"/>
      <c r="F154" s="712"/>
      <c r="G154" s="241"/>
      <c r="Q154" s="49"/>
      <c r="R154" s="49"/>
      <c r="S154" s="49"/>
      <c r="T154" s="49"/>
      <c r="U154" s="49"/>
      <c r="V154" s="49"/>
      <c r="W154" s="49"/>
    </row>
    <row r="155" spans="2:23" s="2" customFormat="1" ht="29.25" customHeight="1">
      <c r="B155" s="713" t="str">
        <f>IF('SV Findings'!G217="Not Met", 'SV Findings'!Q217,"")</f>
        <v/>
      </c>
      <c r="C155" s="714"/>
      <c r="D155" s="710" t="str">
        <f>IF('SV Findings'!G217="Not Met", 'SV Findings'!J217,"")</f>
        <v/>
      </c>
      <c r="E155" s="711"/>
      <c r="F155" s="712"/>
      <c r="G155" s="241"/>
      <c r="Q155" s="49"/>
      <c r="R155" s="49"/>
      <c r="S155" s="49"/>
      <c r="T155" s="49"/>
      <c r="U155" s="49"/>
      <c r="V155" s="49"/>
      <c r="W155" s="49"/>
    </row>
    <row r="156" spans="2:23" s="2" customFormat="1" ht="29.25" customHeight="1">
      <c r="B156" s="713" t="str">
        <f>IF('SV Findings'!G218="Not Met", 'SV Findings'!Q218,"")</f>
        <v/>
      </c>
      <c r="C156" s="714"/>
      <c r="D156" s="710" t="str">
        <f>IF('SV Findings'!G218="Not Met", 'SV Findings'!J218,"")</f>
        <v/>
      </c>
      <c r="E156" s="711"/>
      <c r="F156" s="712"/>
      <c r="G156" s="241"/>
      <c r="Q156" s="49"/>
      <c r="R156" s="49"/>
      <c r="S156" s="49"/>
      <c r="T156" s="49"/>
      <c r="U156" s="49"/>
      <c r="V156" s="49"/>
      <c r="W156" s="49"/>
    </row>
    <row r="157" spans="2:23" s="2" customFormat="1" ht="15">
      <c r="B157" s="713" t="str">
        <f>IF('SV Findings'!G219="Not Met", 'SV Findings'!Q219,"")</f>
        <v/>
      </c>
      <c r="C157" s="714"/>
      <c r="D157" s="710" t="str">
        <f>IF('SV Findings'!G219="Not Met", 'SV Findings'!J219,"")</f>
        <v/>
      </c>
      <c r="E157" s="711"/>
      <c r="F157" s="712"/>
      <c r="G157" s="241"/>
      <c r="Q157" s="49"/>
      <c r="R157" s="49"/>
      <c r="S157" s="49"/>
      <c r="T157" s="49"/>
      <c r="U157" s="49"/>
      <c r="V157" s="49"/>
      <c r="W157" s="49"/>
    </row>
    <row r="158" spans="2:23" s="2" customFormat="1" ht="15">
      <c r="B158" s="713" t="str">
        <f>IF('SV Findings'!G223="Not Met", 'SV Findings'!Q223,"")</f>
        <v/>
      </c>
      <c r="C158" s="714"/>
      <c r="D158" s="710" t="str">
        <f>IF('SV Findings'!G223="Not Met", 'SV Findings'!J223,"")</f>
        <v/>
      </c>
      <c r="E158" s="711"/>
      <c r="F158" s="712"/>
      <c r="G158" s="241"/>
      <c r="Q158" s="49"/>
      <c r="R158" s="49"/>
      <c r="S158" s="49"/>
      <c r="T158" s="49"/>
      <c r="U158" s="49"/>
      <c r="V158" s="49"/>
      <c r="W158" s="49"/>
    </row>
    <row r="159" spans="2:23" s="2" customFormat="1" ht="15">
      <c r="B159" s="713" t="str">
        <f>IF('SV Findings'!G224="Not Met", 'SV Findings'!Q224,"")</f>
        <v/>
      </c>
      <c r="C159" s="714"/>
      <c r="D159" s="710" t="str">
        <f>IF('SV Findings'!G224="Not Met", 'SV Findings'!J224,"")</f>
        <v/>
      </c>
      <c r="E159" s="711"/>
      <c r="F159" s="712"/>
      <c r="G159" s="241"/>
      <c r="Q159" s="49"/>
      <c r="R159" s="49"/>
      <c r="S159" s="49"/>
      <c r="T159" s="49"/>
      <c r="U159" s="49"/>
      <c r="V159" s="49"/>
      <c r="W159" s="49"/>
    </row>
    <row r="160" spans="2:23" s="2" customFormat="1" ht="15">
      <c r="B160" s="713" t="str">
        <f>IF('SV Findings'!G227="Not Met", 'SV Findings'!Q227,"")</f>
        <v/>
      </c>
      <c r="C160" s="714"/>
      <c r="D160" s="710" t="str">
        <f>IF('SV Findings'!G227="Not Met", 'SV Findings'!J227,"")</f>
        <v/>
      </c>
      <c r="E160" s="711"/>
      <c r="F160" s="712"/>
      <c r="G160" s="241"/>
      <c r="Q160" s="49"/>
      <c r="R160" s="49"/>
      <c r="S160" s="49"/>
      <c r="T160" s="49"/>
      <c r="U160" s="49"/>
      <c r="V160" s="49"/>
      <c r="W160" s="49"/>
    </row>
    <row r="161" spans="2:23" s="2" customFormat="1" ht="15">
      <c r="B161" s="713" t="str">
        <f>IF('SV Findings'!G229="Not Met", 'SV Findings'!Q229,"")</f>
        <v/>
      </c>
      <c r="C161" s="714"/>
      <c r="D161" s="710" t="str">
        <f>IF('SV Findings'!G229="Not Met", 'SV Findings'!J229,"")</f>
        <v/>
      </c>
      <c r="E161" s="711"/>
      <c r="F161" s="712"/>
      <c r="G161" s="241"/>
      <c r="Q161" s="49"/>
      <c r="R161" s="49"/>
      <c r="S161" s="49"/>
      <c r="T161" s="49"/>
      <c r="U161" s="49"/>
      <c r="V161" s="49"/>
      <c r="W161" s="49"/>
    </row>
    <row r="162" spans="2:23" s="2" customFormat="1" ht="15">
      <c r="B162" s="713" t="str">
        <f>IF('SV Findings'!G230="Not Met", 'SV Findings'!Q230,"")</f>
        <v/>
      </c>
      <c r="C162" s="714"/>
      <c r="D162" s="710" t="str">
        <f>IF('SV Findings'!G230="Not Met", 'SV Findings'!J230,"")</f>
        <v/>
      </c>
      <c r="E162" s="711"/>
      <c r="F162" s="712"/>
      <c r="G162" s="241"/>
      <c r="R162" s="49"/>
      <c r="S162" s="49"/>
      <c r="T162" s="49"/>
      <c r="U162" s="49"/>
      <c r="V162" s="49"/>
      <c r="W162" s="49"/>
    </row>
    <row r="163" spans="2:23" s="2" customFormat="1" ht="15">
      <c r="B163" s="713" t="str">
        <f>IF('SV Findings'!G233="Not Met", 'SV Findings'!Q233,"")</f>
        <v/>
      </c>
      <c r="C163" s="714"/>
      <c r="D163" s="710" t="str">
        <f>IF('SV Findings'!G233="Not Met", 'SV Findings'!J233,"")</f>
        <v/>
      </c>
      <c r="E163" s="711"/>
      <c r="F163" s="712"/>
      <c r="G163" s="241"/>
      <c r="R163" s="49"/>
      <c r="S163" s="49"/>
      <c r="T163" s="49"/>
      <c r="U163" s="49"/>
      <c r="V163" s="49"/>
      <c r="W163" s="49"/>
    </row>
    <row r="164" spans="2:23" s="2" customFormat="1" ht="15">
      <c r="B164" s="713" t="str">
        <f>IF('SV Findings'!G238="Not Met", 'SV Findings'!Q238,"")</f>
        <v/>
      </c>
      <c r="C164" s="714"/>
      <c r="D164" s="710" t="str">
        <f>IF('SV Findings'!G238="Not Met", 'SV Findings'!J238,"")</f>
        <v/>
      </c>
      <c r="E164" s="711"/>
      <c r="F164" s="712"/>
      <c r="G164" s="241"/>
      <c r="R164" s="49"/>
      <c r="S164" s="49"/>
      <c r="T164" s="49"/>
      <c r="U164" s="49"/>
      <c r="V164" s="49"/>
      <c r="W164" s="49"/>
    </row>
    <row r="165" spans="2:23" s="2" customFormat="1" ht="15">
      <c r="B165" s="713" t="str">
        <f>IF('SV Findings'!G239="Not Met", 'SV Findings'!Q239,"")</f>
        <v/>
      </c>
      <c r="C165" s="714"/>
      <c r="D165" s="710" t="str">
        <f>IF('SV Findings'!G239="Not Met", 'SV Findings'!J239,"")</f>
        <v/>
      </c>
      <c r="E165" s="711"/>
      <c r="F165" s="712"/>
      <c r="G165" s="241"/>
      <c r="Q165" s="49"/>
      <c r="R165" s="49"/>
      <c r="S165" s="49"/>
      <c r="T165" s="49"/>
      <c r="U165" s="49"/>
      <c r="V165" s="49"/>
      <c r="W165" s="49"/>
    </row>
    <row r="166" spans="2:23" s="2" customFormat="1" ht="15">
      <c r="B166" s="713" t="str">
        <f>IF('SV Findings'!G240="Not Met", 'SV Findings'!Q240,"")</f>
        <v/>
      </c>
      <c r="C166" s="714"/>
      <c r="D166" s="710" t="str">
        <f>IF('SV Findings'!G240="Not Met", 'SV Findings'!J240,"")</f>
        <v/>
      </c>
      <c r="E166" s="711"/>
      <c r="F166" s="712"/>
      <c r="G166" s="241"/>
      <c r="Q166" s="49"/>
      <c r="R166" s="49"/>
      <c r="S166" s="49"/>
      <c r="T166" s="49"/>
      <c r="U166" s="49"/>
      <c r="V166" s="49"/>
      <c r="W166" s="49"/>
    </row>
    <row r="167" spans="2:23" s="2" customFormat="1" ht="15">
      <c r="B167" s="713" t="str">
        <f>IF('SV Findings'!G241="Not Met", 'SV Findings'!Q241,"")</f>
        <v/>
      </c>
      <c r="C167" s="714"/>
      <c r="D167" s="710" t="str">
        <f>IF('SV Findings'!G241="Not Met", 'SV Findings'!J241,"")</f>
        <v/>
      </c>
      <c r="E167" s="711"/>
      <c r="F167" s="712"/>
      <c r="G167" s="241"/>
      <c r="Q167" s="49"/>
      <c r="R167" s="49"/>
      <c r="S167" s="49"/>
      <c r="T167" s="49"/>
      <c r="U167" s="49"/>
      <c r="V167" s="49"/>
      <c r="W167" s="49"/>
    </row>
    <row r="168" spans="2:23" s="2" customFormat="1" ht="15">
      <c r="B168" s="713" t="str">
        <f>IF('SV Findings'!G242="Not Met", 'SV Findings'!Q242,"")</f>
        <v/>
      </c>
      <c r="C168" s="714"/>
      <c r="D168" s="710" t="str">
        <f>IF('SV Findings'!G242="Not Met", 'SV Findings'!J242,"")</f>
        <v/>
      </c>
      <c r="E168" s="711"/>
      <c r="F168" s="712"/>
      <c r="G168" s="241"/>
      <c r="Q168" s="49"/>
      <c r="R168" s="49"/>
      <c r="S168" s="49"/>
      <c r="T168" s="49"/>
      <c r="U168" s="49"/>
      <c r="V168" s="49"/>
      <c r="W168" s="49"/>
    </row>
    <row r="169" spans="2:23" s="2" customFormat="1" ht="15">
      <c r="B169" s="713" t="str">
        <f>IF('SV Findings'!G243="Not Met", 'SV Findings'!Q243,"")</f>
        <v/>
      </c>
      <c r="C169" s="714"/>
      <c r="D169" s="710" t="str">
        <f>IF('SV Findings'!G243="Not Met", 'SV Findings'!J243,"")</f>
        <v/>
      </c>
      <c r="E169" s="711"/>
      <c r="F169" s="712"/>
      <c r="G169" s="241"/>
      <c r="Q169" s="49"/>
      <c r="R169" s="49"/>
      <c r="S169" s="49"/>
      <c r="T169" s="49"/>
      <c r="U169" s="49"/>
      <c r="V169" s="49"/>
      <c r="W169" s="49"/>
    </row>
    <row r="170" spans="2:23" s="2" customFormat="1" ht="15">
      <c r="B170" s="713" t="str">
        <f>IF('SV Findings'!G244="Not Met", 'SV Findings'!Q244,"")</f>
        <v/>
      </c>
      <c r="C170" s="714"/>
      <c r="D170" s="710" t="str">
        <f>IF('SV Findings'!G244="Not Met", 'SV Findings'!J244,"")</f>
        <v/>
      </c>
      <c r="E170" s="711"/>
      <c r="F170" s="712"/>
      <c r="G170" s="241"/>
      <c r="Q170" s="49"/>
      <c r="R170" s="49"/>
      <c r="S170" s="49"/>
      <c r="T170" s="49"/>
      <c r="U170" s="49"/>
      <c r="V170" s="49"/>
      <c r="W170" s="49"/>
    </row>
    <row r="171" spans="2:23" s="2" customFormat="1" ht="15">
      <c r="B171" s="713" t="str">
        <f>IF('SV Findings'!G245="Not Met", 'SV Findings'!Q245,"")</f>
        <v/>
      </c>
      <c r="C171" s="714"/>
      <c r="D171" s="710" t="str">
        <f>IF('SV Findings'!G245="Not Met", 'SV Findings'!J245,"")</f>
        <v/>
      </c>
      <c r="E171" s="711"/>
      <c r="F171" s="712"/>
      <c r="G171" s="241"/>
      <c r="Q171" s="49"/>
      <c r="R171" s="49"/>
      <c r="S171" s="49"/>
      <c r="T171" s="49"/>
      <c r="U171" s="49"/>
      <c r="V171" s="49"/>
      <c r="W171" s="49"/>
    </row>
    <row r="172" spans="2:23" s="2" customFormat="1" ht="15">
      <c r="B172" s="713" t="str">
        <f>IF('SV Findings'!G246="Not Met", 'SV Findings'!Q246,"")</f>
        <v/>
      </c>
      <c r="C172" s="714"/>
      <c r="D172" s="710" t="str">
        <f>IF('SV Findings'!G246="Not Met", 'SV Findings'!J246,"")</f>
        <v/>
      </c>
      <c r="E172" s="711"/>
      <c r="F172" s="712"/>
      <c r="G172" s="241"/>
      <c r="Q172" s="49"/>
      <c r="R172" s="49"/>
      <c r="S172" s="49"/>
      <c r="T172" s="49"/>
      <c r="U172" s="49"/>
      <c r="V172" s="49"/>
      <c r="W172" s="49"/>
    </row>
    <row r="173" spans="2:23" s="2" customFormat="1" ht="15">
      <c r="B173" s="713" t="str">
        <f>IF('SV Findings'!G247="Not Met", 'SV Findings'!Q247,"")</f>
        <v/>
      </c>
      <c r="C173" s="714"/>
      <c r="D173" s="710" t="str">
        <f>IF('SV Findings'!G247="Not Met", 'SV Findings'!J247,"")</f>
        <v/>
      </c>
      <c r="E173" s="711"/>
      <c r="F173" s="712"/>
      <c r="G173" s="241"/>
      <c r="Q173" s="49"/>
      <c r="R173" s="49"/>
      <c r="S173" s="49"/>
      <c r="T173" s="49"/>
      <c r="U173" s="49"/>
      <c r="V173" s="49"/>
      <c r="W173" s="49"/>
    </row>
    <row r="174" spans="2:23" s="2" customFormat="1" ht="15">
      <c r="B174" s="713" t="str">
        <f>IF('SV Findings'!G248="Not Met", 'SV Findings'!Q248,"")</f>
        <v/>
      </c>
      <c r="C174" s="714"/>
      <c r="D174" s="710" t="str">
        <f>IF('SV Findings'!G248="Not Met", 'SV Findings'!J248,"")</f>
        <v/>
      </c>
      <c r="E174" s="711"/>
      <c r="F174" s="712"/>
      <c r="G174" s="241"/>
      <c r="Q174" s="49"/>
      <c r="R174" s="49"/>
      <c r="S174" s="49"/>
      <c r="T174" s="49"/>
      <c r="U174" s="49"/>
      <c r="V174" s="49"/>
      <c r="W174" s="49"/>
    </row>
    <row r="175" spans="2:23" s="2" customFormat="1" ht="15">
      <c r="B175" s="713" t="str">
        <f>IF('SV Findings'!G249="Not Met", 'SV Findings'!Q249,"")</f>
        <v/>
      </c>
      <c r="C175" s="714"/>
      <c r="D175" s="710" t="str">
        <f>IF('SV Findings'!G249="Not Met", 'SV Findings'!J249,"")</f>
        <v/>
      </c>
      <c r="E175" s="711"/>
      <c r="F175" s="712"/>
      <c r="G175" s="241"/>
      <c r="Q175" s="49"/>
      <c r="R175" s="49"/>
      <c r="S175" s="49"/>
      <c r="T175" s="49"/>
      <c r="U175" s="49"/>
      <c r="V175" s="49"/>
      <c r="W175" s="49"/>
    </row>
    <row r="176" spans="2:23" s="2" customFormat="1" ht="15">
      <c r="B176" s="713" t="str">
        <f>IF('SV Findings'!G250="Not Met", 'SV Findings'!Q250,"")</f>
        <v/>
      </c>
      <c r="C176" s="714"/>
      <c r="D176" s="710" t="str">
        <f>IF('SV Findings'!G250="Not Met", 'SV Findings'!J250,"")</f>
        <v/>
      </c>
      <c r="E176" s="711"/>
      <c r="F176" s="712"/>
      <c r="G176" s="241"/>
      <c r="Q176" s="49"/>
      <c r="R176" s="49"/>
      <c r="S176" s="49"/>
      <c r="T176" s="49"/>
      <c r="U176" s="49"/>
      <c r="V176" s="49"/>
      <c r="W176" s="49"/>
    </row>
    <row r="177" spans="2:23" s="2" customFormat="1" ht="15">
      <c r="B177" s="713" t="str">
        <f>IF('SV Findings'!G251="Not Met", 'SV Findings'!Q251,"")</f>
        <v/>
      </c>
      <c r="C177" s="714"/>
      <c r="D177" s="710" t="str">
        <f>IF('SV Findings'!G251="Not Met", 'SV Findings'!J251,"")</f>
        <v/>
      </c>
      <c r="E177" s="711"/>
      <c r="F177" s="712"/>
      <c r="G177" s="241"/>
      <c r="Q177" s="49"/>
      <c r="R177" s="49"/>
      <c r="S177" s="49"/>
      <c r="T177" s="49"/>
      <c r="U177" s="49"/>
      <c r="V177" s="49"/>
      <c r="W177" s="49"/>
    </row>
    <row r="178" spans="2:23" s="2" customFormat="1" ht="15">
      <c r="B178" s="713" t="str">
        <f>IF('SV Findings'!G252="Not Met", 'SV Findings'!Q252,"")</f>
        <v/>
      </c>
      <c r="C178" s="714"/>
      <c r="D178" s="710" t="str">
        <f>IF('SV Findings'!G252="Not Met", 'SV Findings'!J252,"")</f>
        <v/>
      </c>
      <c r="E178" s="711"/>
      <c r="F178" s="712"/>
      <c r="G178" s="241"/>
      <c r="Q178" s="49"/>
      <c r="R178" s="49"/>
      <c r="S178" s="49"/>
      <c r="T178" s="49"/>
      <c r="U178" s="49"/>
      <c r="V178" s="49"/>
      <c r="W178" s="49"/>
    </row>
    <row r="179" spans="2:23" s="2" customFormat="1" ht="15">
      <c r="B179" s="713" t="str">
        <f>IF('SV Findings'!G253="Not Met", 'SV Findings'!Q253,"")</f>
        <v/>
      </c>
      <c r="C179" s="714"/>
      <c r="D179" s="710" t="str">
        <f>IF('SV Findings'!G253="Not Met", 'SV Findings'!J253,"")</f>
        <v/>
      </c>
      <c r="E179" s="711"/>
      <c r="F179" s="712"/>
      <c r="G179" s="241"/>
      <c r="Q179" s="49"/>
      <c r="R179" s="49"/>
      <c r="S179" s="49"/>
      <c r="T179" s="49"/>
      <c r="U179" s="49"/>
      <c r="V179" s="49"/>
      <c r="W179" s="49"/>
    </row>
    <row r="180" spans="2:23" s="2" customFormat="1" ht="15">
      <c r="B180" s="713" t="str">
        <f>IF('SV Findings'!G254="Not Met", 'SV Findings'!Q254,"")</f>
        <v/>
      </c>
      <c r="C180" s="714"/>
      <c r="D180" s="710" t="str">
        <f>IF('SV Findings'!G254="Not Met", 'SV Findings'!J254,"")</f>
        <v/>
      </c>
      <c r="E180" s="711"/>
      <c r="F180" s="712"/>
      <c r="G180" s="241"/>
      <c r="Q180" s="49"/>
      <c r="R180" s="49"/>
      <c r="S180" s="49"/>
      <c r="T180" s="49"/>
      <c r="U180" s="49"/>
      <c r="V180" s="49"/>
      <c r="W180" s="49"/>
    </row>
    <row r="181" spans="2:23" s="2" customFormat="1" ht="15">
      <c r="B181" s="713" t="str">
        <f>IF('SV Findings'!G256="Not Met", 'SV Findings'!Q256,"")</f>
        <v/>
      </c>
      <c r="C181" s="714"/>
      <c r="D181" s="710" t="str">
        <f>IF('SV Findings'!G256="Not Met", 'SV Findings'!J256,"")</f>
        <v/>
      </c>
      <c r="E181" s="711"/>
      <c r="F181" s="712"/>
      <c r="G181" s="241"/>
      <c r="Q181" s="49"/>
      <c r="R181" s="49"/>
      <c r="S181" s="49"/>
      <c r="T181" s="49"/>
      <c r="U181" s="49"/>
      <c r="V181" s="49"/>
      <c r="W181" s="49"/>
    </row>
    <row r="182" spans="2:23" s="2" customFormat="1" ht="32.1" customHeight="1">
      <c r="B182" s="713" t="str">
        <f>IF('SV Findings'!G257="Not Met", 'SV Findings'!Q257,"")</f>
        <v/>
      </c>
      <c r="C182" s="714"/>
      <c r="D182" s="710" t="str">
        <f>IF('SV Findings'!G257="Not Met", 'SV Findings'!J257,"")</f>
        <v/>
      </c>
      <c r="E182" s="711"/>
      <c r="F182" s="712"/>
      <c r="G182" s="241"/>
      <c r="Q182" s="49"/>
      <c r="R182" s="49"/>
      <c r="S182" s="49"/>
      <c r="T182" s="49"/>
      <c r="U182" s="49"/>
      <c r="V182" s="49"/>
      <c r="W182" s="49"/>
    </row>
    <row r="183" spans="2:23" s="2" customFormat="1" ht="32.1" customHeight="1">
      <c r="B183" s="713" t="str">
        <f>IF('SV Findings'!G258="Not Met", 'SV Findings'!Q258,"")</f>
        <v/>
      </c>
      <c r="C183" s="714"/>
      <c r="D183" s="710" t="str">
        <f>IF('SV Findings'!G258="Not Met", 'SV Findings'!J258,"")</f>
        <v/>
      </c>
      <c r="E183" s="711"/>
      <c r="F183" s="712"/>
      <c r="G183" s="241"/>
      <c r="Q183" s="49"/>
      <c r="R183" s="49"/>
      <c r="S183" s="49"/>
      <c r="T183" s="49"/>
      <c r="U183" s="49"/>
      <c r="V183" s="49"/>
      <c r="W183" s="49"/>
    </row>
    <row r="184" spans="2:23" s="2" customFormat="1" ht="32.1" customHeight="1">
      <c r="B184" s="713" t="str">
        <f>IF('SV Findings'!G259="Not Met", 'SV Findings'!Q259,"")</f>
        <v/>
      </c>
      <c r="C184" s="714"/>
      <c r="D184" s="710" t="str">
        <f>IF('SV Findings'!G259="Not Met", 'SV Findings'!J259,"")</f>
        <v/>
      </c>
      <c r="E184" s="711"/>
      <c r="F184" s="712"/>
      <c r="G184" s="241"/>
      <c r="Q184" s="49"/>
      <c r="R184" s="49"/>
      <c r="S184" s="49"/>
      <c r="T184" s="49"/>
      <c r="U184" s="49"/>
      <c r="V184" s="49"/>
      <c r="W184" s="49"/>
    </row>
    <row r="185" spans="2:23" s="2" customFormat="1" ht="15">
      <c r="B185" s="713" t="str">
        <f>IF('SV Findings'!G260="Not Met", 'SV Findings'!Q260,"")</f>
        <v/>
      </c>
      <c r="C185" s="714"/>
      <c r="D185" s="710" t="str">
        <f>IF('SV Findings'!G260="Not Met", 'SV Findings'!J260,"")</f>
        <v/>
      </c>
      <c r="E185" s="711"/>
      <c r="F185" s="712"/>
      <c r="G185" s="241"/>
      <c r="Q185" s="49"/>
      <c r="R185" s="49"/>
      <c r="S185" s="49"/>
      <c r="T185" s="49"/>
      <c r="U185" s="49"/>
      <c r="V185" s="49"/>
      <c r="W185" s="49"/>
    </row>
    <row r="186" spans="2:23" s="2" customFormat="1" ht="15">
      <c r="B186" s="713" t="str">
        <f>IF('SV Findings'!G262="Not Met", 'SV Findings'!Q262,"")</f>
        <v/>
      </c>
      <c r="C186" s="714"/>
      <c r="D186" s="710" t="str">
        <f>IF('SV Findings'!G262="Not Met", 'SV Findings'!J262,"")</f>
        <v/>
      </c>
      <c r="E186" s="711"/>
      <c r="F186" s="712"/>
      <c r="G186" s="241"/>
      <c r="Q186" s="49"/>
      <c r="R186" s="49"/>
      <c r="S186" s="49"/>
      <c r="T186" s="49"/>
      <c r="U186" s="49"/>
      <c r="V186" s="49"/>
      <c r="W186" s="49"/>
    </row>
    <row r="187" spans="2:23" s="2" customFormat="1" ht="15">
      <c r="B187" s="713" t="str">
        <f>IF('SV Findings'!G265="Not Met", 'SV Findings'!Q265,"")</f>
        <v/>
      </c>
      <c r="C187" s="714"/>
      <c r="D187" s="710" t="str">
        <f>IF('SV Findings'!G265="Not Met", 'SV Findings'!J265,"")</f>
        <v/>
      </c>
      <c r="E187" s="711"/>
      <c r="F187" s="712"/>
      <c r="G187" s="241"/>
      <c r="R187" s="49"/>
      <c r="S187" s="49"/>
      <c r="T187" s="49"/>
      <c r="U187" s="49"/>
      <c r="V187" s="49"/>
      <c r="W187" s="49"/>
    </row>
    <row r="188" spans="2:23" s="2" customFormat="1" ht="15">
      <c r="B188" s="713" t="str">
        <f>IF('SV Findings'!G267="Not Met", 'SV Findings'!Q267,"")</f>
        <v/>
      </c>
      <c r="C188" s="714"/>
      <c r="D188" s="710" t="str">
        <f>IF('SV Findings'!G267="Not Met", 'SV Findings'!J267,"")</f>
        <v/>
      </c>
      <c r="E188" s="711"/>
      <c r="F188" s="712"/>
      <c r="G188" s="241"/>
      <c r="R188" s="49"/>
      <c r="S188" s="49"/>
      <c r="T188" s="49"/>
      <c r="U188" s="49"/>
      <c r="V188" s="49"/>
      <c r="W188" s="49"/>
    </row>
    <row r="189" spans="2:23" s="2" customFormat="1" ht="15">
      <c r="B189" s="713" t="str">
        <f>IF('SV Findings'!G270="Not Met", 'SV Findings'!Q270,"")</f>
        <v/>
      </c>
      <c r="C189" s="714"/>
      <c r="D189" s="710" t="str">
        <f>IF('SV Findings'!G270="Not Met", 'SV Findings'!J270,"")</f>
        <v/>
      </c>
      <c r="E189" s="711"/>
      <c r="F189" s="712"/>
      <c r="G189" s="241"/>
      <c r="R189" s="49"/>
      <c r="S189" s="49"/>
      <c r="T189" s="49"/>
      <c r="U189" s="49"/>
      <c r="V189" s="49"/>
      <c r="W189" s="49"/>
    </row>
    <row r="190" spans="2:23" s="2" customFormat="1" ht="15">
      <c r="B190" s="713" t="str">
        <f>IF('SV Findings'!G272="Not Met", 'SV Findings'!Q272,"")</f>
        <v/>
      </c>
      <c r="C190" s="714"/>
      <c r="D190" s="710" t="str">
        <f>IF('SV Findings'!G272="Not Met", 'SV Findings'!J272,"")</f>
        <v/>
      </c>
      <c r="E190" s="711"/>
      <c r="F190" s="712"/>
      <c r="G190" s="241"/>
      <c r="R190" s="49"/>
      <c r="S190" s="49"/>
      <c r="T190" s="49"/>
      <c r="U190" s="49"/>
      <c r="V190" s="49"/>
      <c r="W190" s="49"/>
    </row>
    <row r="191" spans="2:23" s="2" customFormat="1" ht="15">
      <c r="B191" s="713" t="str">
        <f>IF('SV Findings'!G274="Not Met", 'SV Findings'!Q274,"")</f>
        <v/>
      </c>
      <c r="C191" s="714"/>
      <c r="D191" s="710" t="str">
        <f>IF('SV Findings'!G274="Not Met", 'SV Findings'!J274,"")</f>
        <v/>
      </c>
      <c r="E191" s="711"/>
      <c r="F191" s="712"/>
      <c r="G191" s="241"/>
      <c r="Q191" s="49"/>
      <c r="R191" s="49"/>
      <c r="S191" s="49"/>
      <c r="T191" s="49"/>
      <c r="U191" s="49"/>
      <c r="V191" s="49"/>
      <c r="W191" s="49"/>
    </row>
    <row r="192" spans="2:23" s="2" customFormat="1" ht="15">
      <c r="B192" s="713" t="str">
        <f>IF('SV Findings'!G275="Not Met", 'SV Findings'!Q275,"")</f>
        <v/>
      </c>
      <c r="C192" s="714"/>
      <c r="D192" s="710" t="str">
        <f>IF('SV Findings'!G275="Not Met", 'SV Findings'!J275,"")</f>
        <v/>
      </c>
      <c r="E192" s="711"/>
      <c r="F192" s="712"/>
      <c r="G192" s="241"/>
      <c r="Q192" s="49"/>
      <c r="R192" s="49"/>
      <c r="S192" s="49"/>
      <c r="T192" s="49"/>
      <c r="U192" s="49"/>
      <c r="V192" s="49"/>
      <c r="W192" s="49"/>
    </row>
    <row r="193" spans="2:70" s="2" customFormat="1" ht="15">
      <c r="B193" s="713" t="str">
        <f>IF('SV Findings'!G276="Not Met", 'SV Findings'!Q276,"")</f>
        <v/>
      </c>
      <c r="C193" s="714"/>
      <c r="D193" s="710" t="str">
        <f>IF('SV Findings'!G276="Not Met", 'SV Findings'!J276,"")</f>
        <v/>
      </c>
      <c r="E193" s="711"/>
      <c r="F193" s="712"/>
      <c r="G193" s="241"/>
      <c r="Q193" s="49"/>
      <c r="R193" s="49"/>
      <c r="S193" s="49"/>
      <c r="T193" s="49"/>
      <c r="U193" s="49"/>
      <c r="V193" s="49"/>
      <c r="W193" s="49"/>
    </row>
    <row r="194" spans="2:70" s="2" customFormat="1" ht="15">
      <c r="B194" s="713" t="str">
        <f>IF('SV Findings'!G277="Not Met", 'SV Findings'!Q277,"")</f>
        <v/>
      </c>
      <c r="C194" s="714"/>
      <c r="D194" s="710" t="str">
        <f>IF('SV Findings'!G277="Not Met", 'SV Findings'!J277,"")</f>
        <v/>
      </c>
      <c r="E194" s="711"/>
      <c r="F194" s="712"/>
      <c r="G194" s="241"/>
      <c r="Q194" s="49"/>
      <c r="R194" s="49"/>
      <c r="S194" s="49"/>
      <c r="T194" s="49"/>
      <c r="U194" s="49"/>
      <c r="V194" s="49"/>
      <c r="W194" s="49"/>
    </row>
    <row r="195" spans="2:70" s="2" customFormat="1" ht="15">
      <c r="B195" s="713" t="str">
        <f>IF('SV Findings'!G278="Not Met", 'SV Findings'!Q278,"")</f>
        <v/>
      </c>
      <c r="C195" s="714"/>
      <c r="D195" s="710" t="str">
        <f>IF('SV Findings'!G278="Not Met", 'SV Findings'!J278,"")</f>
        <v/>
      </c>
      <c r="E195" s="711"/>
      <c r="F195" s="712"/>
      <c r="G195" s="241"/>
      <c r="Q195" s="49"/>
      <c r="R195" s="49"/>
      <c r="S195" s="49"/>
      <c r="T195" s="49"/>
      <c r="U195" s="49"/>
      <c r="V195" s="49"/>
      <c r="W195" s="49"/>
    </row>
    <row r="196" spans="2:70" s="2" customFormat="1" ht="33.6" customHeight="1">
      <c r="B196" s="713" t="str">
        <f>IF('SV Findings'!G280="Not Met", 'SV Findings'!Q280,"")</f>
        <v/>
      </c>
      <c r="C196" s="714"/>
      <c r="D196" s="710" t="str">
        <f>IF('SV Findings'!G280="Not Met", 'SV Findings'!J280,"")</f>
        <v/>
      </c>
      <c r="E196" s="711"/>
      <c r="F196" s="712"/>
      <c r="G196" s="241"/>
      <c r="Q196" s="49"/>
      <c r="R196" s="49"/>
      <c r="S196" s="49"/>
      <c r="T196" s="49"/>
      <c r="U196" s="49"/>
      <c r="V196" s="49"/>
      <c r="W196" s="49"/>
    </row>
    <row r="197" spans="2:70" s="2" customFormat="1" ht="33.6" customHeight="1">
      <c r="B197" s="713" t="str">
        <f>IF('SV Findings'!G281="Not Met", 'SV Findings'!Q281,"")</f>
        <v/>
      </c>
      <c r="C197" s="714"/>
      <c r="D197" s="710" t="str">
        <f>IF('SV Findings'!G281="Not Met", 'SV Findings'!J281,"")</f>
        <v/>
      </c>
      <c r="E197" s="711"/>
      <c r="F197" s="712"/>
      <c r="G197" s="241"/>
      <c r="Q197" s="49"/>
      <c r="R197" s="49"/>
      <c r="S197" s="49"/>
      <c r="T197" s="49"/>
      <c r="U197" s="49"/>
      <c r="V197" s="49"/>
      <c r="W197" s="49"/>
    </row>
    <row r="198" spans="2:70" s="2" customFormat="1" ht="33.6" customHeight="1">
      <c r="B198" s="713" t="str">
        <f>IF('SV Findings'!G282="Not Met", 'SV Findings'!Q282,"")</f>
        <v/>
      </c>
      <c r="C198" s="714"/>
      <c r="D198" s="710" t="str">
        <f>IF('SV Findings'!G282="Not Met", 'SV Findings'!J282,"")</f>
        <v/>
      </c>
      <c r="E198" s="711"/>
      <c r="F198" s="712"/>
      <c r="G198" s="241"/>
      <c r="Q198" s="49"/>
      <c r="R198" s="49"/>
      <c r="S198" s="49"/>
      <c r="T198" s="49"/>
      <c r="U198" s="49"/>
      <c r="V198" s="49"/>
      <c r="W198" s="49"/>
    </row>
    <row r="199" spans="2:70" s="2" customFormat="1" ht="15">
      <c r="B199" s="713" t="str">
        <f>IF('SV Findings'!G284="Not Met", 'SV Findings'!Q284,"")</f>
        <v/>
      </c>
      <c r="C199" s="714"/>
      <c r="D199" s="710" t="str">
        <f>IF('SV Findings'!G284="Not Met", 'SV Findings'!J284,"")</f>
        <v/>
      </c>
      <c r="E199" s="711"/>
      <c r="F199" s="712"/>
      <c r="G199" s="241"/>
      <c r="Q199" s="49"/>
      <c r="R199" s="49"/>
      <c r="S199" s="49"/>
      <c r="T199" s="49"/>
      <c r="U199" s="49"/>
      <c r="V199" s="49"/>
      <c r="W199" s="49"/>
    </row>
    <row r="200" spans="2:70" s="2" customFormat="1" ht="15">
      <c r="B200" s="713" t="str">
        <f>IF('SV Findings'!G289="Not Met", 'SV Findings'!Q289,"")</f>
        <v/>
      </c>
      <c r="C200" s="714"/>
      <c r="D200" s="710" t="str">
        <f>IF('SV Findings'!G289="Not Met", 'SV Findings'!J289,"")</f>
        <v/>
      </c>
      <c r="E200" s="711"/>
      <c r="F200" s="712"/>
      <c r="G200" s="241"/>
      <c r="R200" s="49"/>
      <c r="S200" s="49"/>
      <c r="T200" s="49"/>
      <c r="U200" s="49"/>
      <c r="V200" s="49"/>
      <c r="W200" s="49"/>
    </row>
    <row r="201" spans="2:70" s="2" customFormat="1" ht="15">
      <c r="B201" s="773"/>
      <c r="C201" s="774"/>
      <c r="D201" s="710"/>
      <c r="E201" s="711"/>
      <c r="F201" s="712"/>
      <c r="G201" s="241"/>
      <c r="R201" s="49"/>
      <c r="S201" s="49"/>
      <c r="T201" s="49"/>
      <c r="U201" s="49"/>
      <c r="V201" s="49"/>
      <c r="W201" s="49"/>
    </row>
    <row r="202" spans="2:70" s="2" customFormat="1" ht="15">
      <c r="B202" s="773"/>
      <c r="C202" s="774"/>
      <c r="D202" s="710"/>
      <c r="E202" s="711"/>
      <c r="F202" s="712"/>
      <c r="G202" s="241"/>
      <c r="R202" s="49"/>
      <c r="S202" s="49"/>
      <c r="T202" s="49"/>
      <c r="U202" s="49"/>
      <c r="V202" s="49"/>
      <c r="W202" s="49"/>
    </row>
    <row r="203" spans="2:70" s="2" customFormat="1" ht="15">
      <c r="B203" s="792"/>
      <c r="C203" s="793"/>
      <c r="D203" s="794"/>
      <c r="E203" s="795"/>
      <c r="F203" s="796"/>
      <c r="G203" s="242"/>
      <c r="R203" s="49"/>
      <c r="S203" s="49"/>
      <c r="T203" s="49"/>
      <c r="U203" s="49"/>
      <c r="V203" s="49"/>
      <c r="W203" s="49"/>
    </row>
    <row r="204" spans="2:70" ht="14.45" hidden="1" customHeight="1">
      <c r="B204" s="745"/>
      <c r="C204" s="746"/>
      <c r="D204" s="746"/>
      <c r="E204" s="746"/>
      <c r="F204" s="746"/>
      <c r="G204" s="747"/>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row>
    <row r="205" spans="2:70" s="146" customFormat="1" ht="27" customHeight="1">
      <c r="B205" s="805" t="str">
        <f>IF('Cover Page'!$D$8&lt;&gt;"Please Select",'Cover Page'!$D$8, "")</f>
        <v/>
      </c>
      <c r="C205" s="806"/>
      <c r="D205" s="806"/>
      <c r="E205" s="806"/>
      <c r="F205" s="806"/>
      <c r="G205" s="807"/>
      <c r="H205"/>
      <c r="I205"/>
      <c r="J205"/>
      <c r="K205"/>
      <c r="L205"/>
    </row>
    <row r="206" spans="2:70" ht="27.75" customHeight="1">
      <c r="B206" s="718" t="s">
        <v>719</v>
      </c>
      <c r="C206" s="719"/>
      <c r="D206" s="719"/>
      <c r="E206" s="719"/>
      <c r="F206" s="719"/>
      <c r="G206" s="719"/>
      <c r="I206" s="53"/>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ht="36.950000000000003" customHeight="1">
      <c r="B207" s="802" t="s">
        <v>718</v>
      </c>
      <c r="C207" s="803"/>
      <c r="D207" s="803"/>
      <c r="E207" s="803"/>
      <c r="F207" s="803"/>
      <c r="G207" s="804"/>
      <c r="I207" s="53"/>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row>
    <row r="208" spans="2:70" s="2" customFormat="1" ht="15.75">
      <c r="B208" s="240" t="s">
        <v>226</v>
      </c>
      <c r="C208" s="778"/>
      <c r="D208" s="778"/>
      <c r="E208" s="778"/>
      <c r="F208" s="778"/>
      <c r="G208" s="779"/>
      <c r="I208" s="53"/>
    </row>
    <row r="209" spans="2:70" s="2" customFormat="1" ht="15.75">
      <c r="B209" s="240" t="s">
        <v>289</v>
      </c>
      <c r="C209" s="778"/>
      <c r="D209" s="778"/>
      <c r="E209" s="778"/>
      <c r="F209" s="778"/>
      <c r="G209" s="779"/>
      <c r="I209" s="53"/>
    </row>
    <row r="210" spans="2:70" s="2" customFormat="1" ht="15.75">
      <c r="B210" s="240" t="s">
        <v>227</v>
      </c>
      <c r="C210" s="778"/>
      <c r="D210" s="778"/>
      <c r="E210" s="778"/>
      <c r="F210" s="778"/>
      <c r="G210" s="779"/>
    </row>
    <row r="211" spans="2:70" s="2" customFormat="1" ht="15.75">
      <c r="B211" s="240" t="s">
        <v>228</v>
      </c>
      <c r="C211" s="778"/>
      <c r="D211" s="778"/>
      <c r="E211" s="778"/>
      <c r="F211" s="778"/>
      <c r="G211" s="779"/>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2:70" s="2" customFormat="1" ht="15.75">
      <c r="B212" s="240" t="s">
        <v>229</v>
      </c>
      <c r="C212" s="778"/>
      <c r="D212" s="778"/>
      <c r="E212" s="778"/>
      <c r="F212" s="778"/>
      <c r="G212" s="779"/>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2:70" s="2" customFormat="1" ht="15.75">
      <c r="B213" s="240" t="s">
        <v>230</v>
      </c>
      <c r="C213" s="778"/>
      <c r="D213" s="778"/>
      <c r="E213" s="778"/>
      <c r="F213" s="778"/>
      <c r="G213" s="779"/>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2:70" s="2" customFormat="1" ht="15.75">
      <c r="B214" s="240" t="s">
        <v>231</v>
      </c>
      <c r="C214" s="778"/>
      <c r="D214" s="778"/>
      <c r="E214" s="778"/>
      <c r="F214" s="778"/>
      <c r="G214" s="779"/>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2:70" s="2" customFormat="1" ht="15.75">
      <c r="B215" s="240" t="s">
        <v>232</v>
      </c>
      <c r="C215" s="778"/>
      <c r="D215" s="778"/>
      <c r="E215" s="778"/>
      <c r="F215" s="778"/>
      <c r="G215" s="779"/>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2:70" s="2" customFormat="1" ht="15.75">
      <c r="B216" s="240" t="s">
        <v>233</v>
      </c>
      <c r="C216" s="778"/>
      <c r="D216" s="778"/>
      <c r="E216" s="778"/>
      <c r="F216" s="778"/>
      <c r="G216" s="779"/>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2:70" s="2" customFormat="1" ht="15.75">
      <c r="B217" s="240" t="s">
        <v>234</v>
      </c>
      <c r="C217" s="778"/>
      <c r="D217" s="778"/>
      <c r="E217" s="778"/>
      <c r="F217" s="778"/>
      <c r="G217" s="779"/>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2:70" s="2" customFormat="1" ht="15.75">
      <c r="B218" s="240" t="s">
        <v>235</v>
      </c>
      <c r="C218" s="778"/>
      <c r="D218" s="778"/>
      <c r="E218" s="778"/>
      <c r="F218" s="778"/>
      <c r="G218" s="779"/>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2:70" s="2" customFormat="1" ht="15.75">
      <c r="B219" s="240" t="s">
        <v>236</v>
      </c>
      <c r="C219" s="778"/>
      <c r="D219" s="778"/>
      <c r="E219" s="778"/>
      <c r="F219" s="778"/>
      <c r="G219" s="77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2:70" s="2" customFormat="1" ht="15.75">
      <c r="B220" s="240" t="s">
        <v>237</v>
      </c>
      <c r="C220" s="778"/>
      <c r="D220" s="778"/>
      <c r="E220" s="778"/>
      <c r="F220" s="778"/>
      <c r="G220" s="779"/>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2:70" s="2" customFormat="1" ht="15.75">
      <c r="B221" s="240" t="s">
        <v>238</v>
      </c>
      <c r="C221" s="778"/>
      <c r="D221" s="778"/>
      <c r="E221" s="778"/>
      <c r="F221" s="778"/>
      <c r="G221" s="779"/>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2:70" s="2" customFormat="1" ht="15.75">
      <c r="B222" s="240" t="s">
        <v>239</v>
      </c>
      <c r="C222" s="778"/>
      <c r="D222" s="778"/>
      <c r="E222" s="778"/>
      <c r="F222" s="778"/>
      <c r="G222" s="779"/>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row>
    <row r="223" spans="2:70" s="146" customFormat="1" ht="27" customHeight="1">
      <c r="B223" s="730" t="str">
        <f>IF('Cover Page'!$D$8&lt;&gt;"Please Select",'Cover Page'!$D$8, "")</f>
        <v/>
      </c>
      <c r="C223" s="730"/>
      <c r="D223" s="730"/>
      <c r="E223" s="730"/>
      <c r="F223" s="730"/>
      <c r="G223" s="731"/>
      <c r="H223"/>
      <c r="I223"/>
      <c r="J223"/>
      <c r="K223"/>
      <c r="L223"/>
    </row>
    <row r="224" spans="2:70" ht="33" customHeight="1">
      <c r="B224" s="754" t="s">
        <v>241</v>
      </c>
      <c r="C224" s="755"/>
      <c r="D224" s="756"/>
      <c r="E224" s="756"/>
      <c r="F224" s="756"/>
      <c r="G224" s="757"/>
    </row>
    <row r="225" spans="1:16384" customFormat="1" ht="8.25" hidden="1" customHeight="1">
      <c r="A225" s="715"/>
      <c r="B225" s="716"/>
      <c r="C225" s="716"/>
      <c r="D225" s="716"/>
      <c r="E225" s="716"/>
      <c r="F225" s="717"/>
      <c r="G225" s="715"/>
      <c r="H225" s="716"/>
      <c r="I225" s="716"/>
      <c r="J225" s="716"/>
      <c r="K225" s="716"/>
      <c r="L225" s="717"/>
      <c r="M225" s="715"/>
      <c r="N225" s="716"/>
      <c r="O225" s="716"/>
      <c r="P225" s="716"/>
      <c r="Q225" s="716"/>
      <c r="R225" s="717"/>
      <c r="S225" s="715"/>
      <c r="T225" s="716"/>
      <c r="U225" s="716"/>
      <c r="V225" s="716"/>
      <c r="W225" s="716"/>
      <c r="X225" s="717"/>
      <c r="Y225" s="715"/>
      <c r="Z225" s="716"/>
      <c r="AA225" s="716"/>
      <c r="AB225" s="716"/>
      <c r="AC225" s="716"/>
      <c r="AD225" s="717"/>
      <c r="AE225" s="715"/>
      <c r="AF225" s="716"/>
      <c r="AG225" s="716"/>
      <c r="AH225" s="716"/>
      <c r="AI225" s="716"/>
      <c r="AJ225" s="717"/>
      <c r="AK225" s="715"/>
      <c r="AL225" s="716"/>
      <c r="AM225" s="716"/>
      <c r="AN225" s="716"/>
      <c r="AO225" s="716"/>
      <c r="AP225" s="717"/>
      <c r="AQ225" s="715"/>
      <c r="AR225" s="716"/>
      <c r="AS225" s="716"/>
      <c r="AT225" s="716"/>
      <c r="AU225" s="716"/>
      <c r="AV225" s="717"/>
      <c r="AW225" s="715"/>
      <c r="AX225" s="716"/>
      <c r="AY225" s="716"/>
      <c r="AZ225" s="716"/>
      <c r="BA225" s="716"/>
      <c r="BB225" s="717"/>
      <c r="BC225" s="715"/>
      <c r="BD225" s="716"/>
      <c r="BE225" s="716"/>
      <c r="BF225" s="716"/>
      <c r="BG225" s="716"/>
      <c r="BH225" s="717"/>
      <c r="BI225" s="715"/>
      <c r="BJ225" s="716"/>
      <c r="BK225" s="716"/>
      <c r="BL225" s="716"/>
      <c r="BM225" s="716"/>
      <c r="BN225" s="717"/>
      <c r="BO225" s="715"/>
      <c r="BP225" s="716"/>
      <c r="BQ225" s="716"/>
      <c r="BR225" s="716"/>
      <c r="BS225" s="716"/>
      <c r="BT225" s="717"/>
      <c r="BU225" s="715"/>
      <c r="BV225" s="716"/>
      <c r="BW225" s="716"/>
      <c r="BX225" s="716"/>
      <c r="BY225" s="716"/>
      <c r="BZ225" s="717"/>
      <c r="CA225" s="715"/>
      <c r="CB225" s="716"/>
      <c r="CC225" s="716"/>
      <c r="CD225" s="716"/>
      <c r="CE225" s="716"/>
      <c r="CF225" s="717"/>
      <c r="CG225" s="715"/>
      <c r="CH225" s="716"/>
      <c r="CI225" s="716"/>
      <c r="CJ225" s="716"/>
      <c r="CK225" s="716"/>
      <c r="CL225" s="717"/>
      <c r="CM225" s="715"/>
      <c r="CN225" s="716"/>
      <c r="CO225" s="716"/>
      <c r="CP225" s="716"/>
      <c r="CQ225" s="716"/>
      <c r="CR225" s="717"/>
      <c r="CS225" s="715"/>
      <c r="CT225" s="716"/>
      <c r="CU225" s="716"/>
      <c r="CV225" s="716"/>
      <c r="CW225" s="716"/>
      <c r="CX225" s="717"/>
      <c r="CY225" s="715"/>
      <c r="CZ225" s="716"/>
      <c r="DA225" s="716"/>
      <c r="DB225" s="716"/>
      <c r="DC225" s="716"/>
      <c r="DD225" s="717"/>
      <c r="DE225" s="715"/>
      <c r="DF225" s="716"/>
      <c r="DG225" s="716"/>
      <c r="DH225" s="716"/>
      <c r="DI225" s="716"/>
      <c r="DJ225" s="717"/>
      <c r="DK225" s="715"/>
      <c r="DL225" s="716"/>
      <c r="DM225" s="716"/>
      <c r="DN225" s="716"/>
      <c r="DO225" s="716"/>
      <c r="DP225" s="717"/>
      <c r="DQ225" s="715"/>
      <c r="DR225" s="716"/>
      <c r="DS225" s="716"/>
      <c r="DT225" s="716"/>
      <c r="DU225" s="716"/>
      <c r="DV225" s="717"/>
      <c r="DW225" s="715"/>
      <c r="DX225" s="716"/>
      <c r="DY225" s="716"/>
      <c r="DZ225" s="716"/>
      <c r="EA225" s="716"/>
      <c r="EB225" s="717"/>
      <c r="EC225" s="715"/>
      <c r="ED225" s="716"/>
      <c r="EE225" s="716"/>
      <c r="EF225" s="716"/>
      <c r="EG225" s="716"/>
      <c r="EH225" s="717"/>
      <c r="EI225" s="715"/>
      <c r="EJ225" s="716"/>
      <c r="EK225" s="716"/>
      <c r="EL225" s="716"/>
      <c r="EM225" s="716"/>
      <c r="EN225" s="717"/>
      <c r="EO225" s="715"/>
      <c r="EP225" s="716"/>
      <c r="EQ225" s="716"/>
      <c r="ER225" s="716"/>
      <c r="ES225" s="716"/>
      <c r="ET225" s="717"/>
      <c r="EU225" s="715"/>
      <c r="EV225" s="716"/>
      <c r="EW225" s="716"/>
      <c r="EX225" s="716"/>
      <c r="EY225" s="716"/>
      <c r="EZ225" s="717"/>
      <c r="FA225" s="715"/>
      <c r="FB225" s="716"/>
      <c r="FC225" s="716"/>
      <c r="FD225" s="716"/>
      <c r="FE225" s="716"/>
      <c r="FF225" s="717"/>
      <c r="FG225" s="715"/>
      <c r="FH225" s="716"/>
      <c r="FI225" s="716"/>
      <c r="FJ225" s="716"/>
      <c r="FK225" s="716"/>
      <c r="FL225" s="717"/>
      <c r="FM225" s="715"/>
      <c r="FN225" s="716"/>
      <c r="FO225" s="716"/>
      <c r="FP225" s="716"/>
      <c r="FQ225" s="716"/>
      <c r="FR225" s="717"/>
      <c r="FS225" s="715"/>
      <c r="FT225" s="716"/>
      <c r="FU225" s="716"/>
      <c r="FV225" s="716"/>
      <c r="FW225" s="716"/>
      <c r="FX225" s="717"/>
      <c r="FY225" s="715"/>
      <c r="FZ225" s="716"/>
      <c r="GA225" s="716"/>
      <c r="GB225" s="716"/>
      <c r="GC225" s="716"/>
      <c r="GD225" s="717"/>
      <c r="GE225" s="715"/>
      <c r="GF225" s="716"/>
      <c r="GG225" s="716"/>
      <c r="GH225" s="716"/>
      <c r="GI225" s="716"/>
      <c r="GJ225" s="717"/>
      <c r="GK225" s="715"/>
      <c r="GL225" s="716"/>
      <c r="GM225" s="716"/>
      <c r="GN225" s="716"/>
      <c r="GO225" s="716"/>
      <c r="GP225" s="717"/>
      <c r="GQ225" s="715"/>
      <c r="GR225" s="716"/>
      <c r="GS225" s="716"/>
      <c r="GT225" s="716"/>
      <c r="GU225" s="716"/>
      <c r="GV225" s="717"/>
      <c r="GW225" s="715"/>
      <c r="GX225" s="716"/>
      <c r="GY225" s="716"/>
      <c r="GZ225" s="716"/>
      <c r="HA225" s="716"/>
      <c r="HB225" s="717"/>
      <c r="HC225" s="715"/>
      <c r="HD225" s="716"/>
      <c r="HE225" s="716"/>
      <c r="HF225" s="716"/>
      <c r="HG225" s="716"/>
      <c r="HH225" s="717"/>
      <c r="HI225" s="715"/>
      <c r="HJ225" s="716"/>
      <c r="HK225" s="716"/>
      <c r="HL225" s="716"/>
      <c r="HM225" s="716"/>
      <c r="HN225" s="717"/>
      <c r="HO225" s="715"/>
      <c r="HP225" s="716"/>
      <c r="HQ225" s="716"/>
      <c r="HR225" s="716"/>
      <c r="HS225" s="716"/>
      <c r="HT225" s="717"/>
      <c r="HU225" s="715"/>
      <c r="HV225" s="716"/>
      <c r="HW225" s="716"/>
      <c r="HX225" s="716"/>
      <c r="HY225" s="716"/>
      <c r="HZ225" s="717"/>
      <c r="IA225" s="715"/>
      <c r="IB225" s="716"/>
      <c r="IC225" s="716"/>
      <c r="ID225" s="716"/>
      <c r="IE225" s="716"/>
      <c r="IF225" s="717"/>
      <c r="IG225" s="715"/>
      <c r="IH225" s="716"/>
      <c r="II225" s="716"/>
      <c r="IJ225" s="716"/>
      <c r="IK225" s="716"/>
      <c r="IL225" s="717"/>
      <c r="IM225" s="715"/>
      <c r="IN225" s="716"/>
      <c r="IO225" s="716"/>
      <c r="IP225" s="716"/>
      <c r="IQ225" s="716"/>
      <c r="IR225" s="717"/>
      <c r="IS225" s="715"/>
      <c r="IT225" s="716"/>
      <c r="IU225" s="716"/>
      <c r="IV225" s="716"/>
      <c r="IW225" s="716"/>
      <c r="IX225" s="717"/>
      <c r="IY225" s="715"/>
      <c r="IZ225" s="716"/>
      <c r="JA225" s="716"/>
      <c r="JB225" s="716"/>
      <c r="JC225" s="716"/>
      <c r="JD225" s="717"/>
      <c r="JE225" s="715"/>
      <c r="JF225" s="716"/>
      <c r="JG225" s="716"/>
      <c r="JH225" s="716"/>
      <c r="JI225" s="716"/>
      <c r="JJ225" s="717"/>
      <c r="JK225" s="715"/>
      <c r="JL225" s="716"/>
      <c r="JM225" s="716"/>
      <c r="JN225" s="716"/>
      <c r="JO225" s="716"/>
      <c r="JP225" s="717"/>
      <c r="JQ225" s="715"/>
      <c r="JR225" s="716"/>
      <c r="JS225" s="716"/>
      <c r="JT225" s="716"/>
      <c r="JU225" s="716"/>
      <c r="JV225" s="717"/>
      <c r="JW225" s="715"/>
      <c r="JX225" s="716"/>
      <c r="JY225" s="716"/>
      <c r="JZ225" s="716"/>
      <c r="KA225" s="716"/>
      <c r="KB225" s="717"/>
      <c r="KC225" s="715"/>
      <c r="KD225" s="716"/>
      <c r="KE225" s="716"/>
      <c r="KF225" s="716"/>
      <c r="KG225" s="716"/>
      <c r="KH225" s="717"/>
      <c r="KI225" s="715"/>
      <c r="KJ225" s="716"/>
      <c r="KK225" s="716"/>
      <c r="KL225" s="716"/>
      <c r="KM225" s="716"/>
      <c r="KN225" s="717"/>
      <c r="KO225" s="715"/>
      <c r="KP225" s="716"/>
      <c r="KQ225" s="716"/>
      <c r="KR225" s="716"/>
      <c r="KS225" s="716"/>
      <c r="KT225" s="717"/>
      <c r="KU225" s="715"/>
      <c r="KV225" s="716"/>
      <c r="KW225" s="716"/>
      <c r="KX225" s="716"/>
      <c r="KY225" s="716"/>
      <c r="KZ225" s="717"/>
      <c r="LA225" s="715"/>
      <c r="LB225" s="716"/>
      <c r="LC225" s="716"/>
      <c r="LD225" s="716"/>
      <c r="LE225" s="716"/>
      <c r="LF225" s="717"/>
      <c r="LG225" s="715"/>
      <c r="LH225" s="716"/>
      <c r="LI225" s="716"/>
      <c r="LJ225" s="716"/>
      <c r="LK225" s="716"/>
      <c r="LL225" s="717"/>
      <c r="LM225" s="715"/>
      <c r="LN225" s="716"/>
      <c r="LO225" s="716"/>
      <c r="LP225" s="716"/>
      <c r="LQ225" s="716"/>
      <c r="LR225" s="717"/>
      <c r="LS225" s="715"/>
      <c r="LT225" s="716"/>
      <c r="LU225" s="716"/>
      <c r="LV225" s="716"/>
      <c r="LW225" s="716"/>
      <c r="LX225" s="717"/>
      <c r="LY225" s="715"/>
      <c r="LZ225" s="716"/>
      <c r="MA225" s="716"/>
      <c r="MB225" s="716"/>
      <c r="MC225" s="716"/>
      <c r="MD225" s="717"/>
      <c r="ME225" s="715"/>
      <c r="MF225" s="716"/>
      <c r="MG225" s="716"/>
      <c r="MH225" s="716"/>
      <c r="MI225" s="716"/>
      <c r="MJ225" s="717"/>
      <c r="MK225" s="715"/>
      <c r="ML225" s="716"/>
      <c r="MM225" s="716"/>
      <c r="MN225" s="716"/>
      <c r="MO225" s="716"/>
      <c r="MP225" s="717"/>
      <c r="MQ225" s="715"/>
      <c r="MR225" s="716"/>
      <c r="MS225" s="716"/>
      <c r="MT225" s="716"/>
      <c r="MU225" s="716"/>
      <c r="MV225" s="717"/>
      <c r="MW225" s="715"/>
      <c r="MX225" s="716"/>
      <c r="MY225" s="716"/>
      <c r="MZ225" s="716"/>
      <c r="NA225" s="716"/>
      <c r="NB225" s="717"/>
      <c r="NC225" s="715"/>
      <c r="ND225" s="716"/>
      <c r="NE225" s="716"/>
      <c r="NF225" s="716"/>
      <c r="NG225" s="716"/>
      <c r="NH225" s="717"/>
      <c r="NI225" s="715"/>
      <c r="NJ225" s="716"/>
      <c r="NK225" s="716"/>
      <c r="NL225" s="716"/>
      <c r="NM225" s="716"/>
      <c r="NN225" s="717"/>
      <c r="NO225" s="715"/>
      <c r="NP225" s="716"/>
      <c r="NQ225" s="716"/>
      <c r="NR225" s="716"/>
      <c r="NS225" s="716"/>
      <c r="NT225" s="717"/>
      <c r="NU225" s="715"/>
      <c r="NV225" s="716"/>
      <c r="NW225" s="716"/>
      <c r="NX225" s="716"/>
      <c r="NY225" s="716"/>
      <c r="NZ225" s="717"/>
      <c r="OA225" s="715"/>
      <c r="OB225" s="716"/>
      <c r="OC225" s="716"/>
      <c r="OD225" s="716"/>
      <c r="OE225" s="716"/>
      <c r="OF225" s="717"/>
      <c r="OG225" s="715"/>
      <c r="OH225" s="716"/>
      <c r="OI225" s="716"/>
      <c r="OJ225" s="716"/>
      <c r="OK225" s="716"/>
      <c r="OL225" s="717"/>
      <c r="OM225" s="715"/>
      <c r="ON225" s="716"/>
      <c r="OO225" s="716"/>
      <c r="OP225" s="716"/>
      <c r="OQ225" s="716"/>
      <c r="OR225" s="717"/>
      <c r="OS225" s="715"/>
      <c r="OT225" s="716"/>
      <c r="OU225" s="716"/>
      <c r="OV225" s="716"/>
      <c r="OW225" s="716"/>
      <c r="OX225" s="717"/>
      <c r="OY225" s="715"/>
      <c r="OZ225" s="716"/>
      <c r="PA225" s="716"/>
      <c r="PB225" s="716"/>
      <c r="PC225" s="716"/>
      <c r="PD225" s="717"/>
      <c r="PE225" s="715"/>
      <c r="PF225" s="716"/>
      <c r="PG225" s="716"/>
      <c r="PH225" s="716"/>
      <c r="PI225" s="716"/>
      <c r="PJ225" s="717"/>
      <c r="PK225" s="715"/>
      <c r="PL225" s="716"/>
      <c r="PM225" s="716"/>
      <c r="PN225" s="716"/>
      <c r="PO225" s="716"/>
      <c r="PP225" s="717"/>
      <c r="PQ225" s="715"/>
      <c r="PR225" s="716"/>
      <c r="PS225" s="716"/>
      <c r="PT225" s="716"/>
      <c r="PU225" s="716"/>
      <c r="PV225" s="717"/>
      <c r="PW225" s="715"/>
      <c r="PX225" s="716"/>
      <c r="PY225" s="716"/>
      <c r="PZ225" s="716"/>
      <c r="QA225" s="716"/>
      <c r="QB225" s="717"/>
      <c r="QC225" s="715"/>
      <c r="QD225" s="716"/>
      <c r="QE225" s="716"/>
      <c r="QF225" s="716"/>
      <c r="QG225" s="716"/>
      <c r="QH225" s="717"/>
      <c r="QI225" s="715"/>
      <c r="QJ225" s="716"/>
      <c r="QK225" s="716"/>
      <c r="QL225" s="716"/>
      <c r="QM225" s="716"/>
      <c r="QN225" s="717"/>
      <c r="QO225" s="715"/>
      <c r="QP225" s="716"/>
      <c r="QQ225" s="716"/>
      <c r="QR225" s="716"/>
      <c r="QS225" s="716"/>
      <c r="QT225" s="717"/>
      <c r="QU225" s="715"/>
      <c r="QV225" s="716"/>
      <c r="QW225" s="716"/>
      <c r="QX225" s="716"/>
      <c r="QY225" s="716"/>
      <c r="QZ225" s="717"/>
      <c r="RA225" s="715"/>
      <c r="RB225" s="716"/>
      <c r="RC225" s="716"/>
      <c r="RD225" s="716"/>
      <c r="RE225" s="716"/>
      <c r="RF225" s="717"/>
      <c r="RG225" s="715"/>
      <c r="RH225" s="716"/>
      <c r="RI225" s="716"/>
      <c r="RJ225" s="716"/>
      <c r="RK225" s="716"/>
      <c r="RL225" s="717"/>
      <c r="RM225" s="715"/>
      <c r="RN225" s="716"/>
      <c r="RO225" s="716"/>
      <c r="RP225" s="716"/>
      <c r="RQ225" s="716"/>
      <c r="RR225" s="717"/>
      <c r="RS225" s="715"/>
      <c r="RT225" s="716"/>
      <c r="RU225" s="716"/>
      <c r="RV225" s="716"/>
      <c r="RW225" s="716"/>
      <c r="RX225" s="717"/>
      <c r="RY225" s="715"/>
      <c r="RZ225" s="716"/>
      <c r="SA225" s="716"/>
      <c r="SB225" s="716"/>
      <c r="SC225" s="716"/>
      <c r="SD225" s="717"/>
      <c r="SE225" s="715"/>
      <c r="SF225" s="716"/>
      <c r="SG225" s="716"/>
      <c r="SH225" s="716"/>
      <c r="SI225" s="716"/>
      <c r="SJ225" s="717"/>
      <c r="SK225" s="715"/>
      <c r="SL225" s="716"/>
      <c r="SM225" s="716"/>
      <c r="SN225" s="716"/>
      <c r="SO225" s="716"/>
      <c r="SP225" s="717"/>
      <c r="SQ225" s="715"/>
      <c r="SR225" s="716"/>
      <c r="SS225" s="716"/>
      <c r="ST225" s="716"/>
      <c r="SU225" s="716"/>
      <c r="SV225" s="717"/>
      <c r="SW225" s="715"/>
      <c r="SX225" s="716"/>
      <c r="SY225" s="716"/>
      <c r="SZ225" s="716"/>
      <c r="TA225" s="716"/>
      <c r="TB225" s="717"/>
      <c r="TC225" s="715"/>
      <c r="TD225" s="716"/>
      <c r="TE225" s="716"/>
      <c r="TF225" s="716"/>
      <c r="TG225" s="716"/>
      <c r="TH225" s="717"/>
      <c r="TI225" s="715"/>
      <c r="TJ225" s="716"/>
      <c r="TK225" s="716"/>
      <c r="TL225" s="716"/>
      <c r="TM225" s="716"/>
      <c r="TN225" s="717"/>
      <c r="TO225" s="715"/>
      <c r="TP225" s="716"/>
      <c r="TQ225" s="716"/>
      <c r="TR225" s="716"/>
      <c r="TS225" s="716"/>
      <c r="TT225" s="717"/>
      <c r="TU225" s="715"/>
      <c r="TV225" s="716"/>
      <c r="TW225" s="716"/>
      <c r="TX225" s="716"/>
      <c r="TY225" s="716"/>
      <c r="TZ225" s="717"/>
      <c r="UA225" s="715"/>
      <c r="UB225" s="716"/>
      <c r="UC225" s="716"/>
      <c r="UD225" s="716"/>
      <c r="UE225" s="716"/>
      <c r="UF225" s="717"/>
      <c r="UG225" s="715"/>
      <c r="UH225" s="716"/>
      <c r="UI225" s="716"/>
      <c r="UJ225" s="716"/>
      <c r="UK225" s="716"/>
      <c r="UL225" s="717"/>
      <c r="UM225" s="715"/>
      <c r="UN225" s="716"/>
      <c r="UO225" s="716"/>
      <c r="UP225" s="716"/>
      <c r="UQ225" s="716"/>
      <c r="UR225" s="717"/>
      <c r="US225" s="715"/>
      <c r="UT225" s="716"/>
      <c r="UU225" s="716"/>
      <c r="UV225" s="716"/>
      <c r="UW225" s="716"/>
      <c r="UX225" s="717"/>
      <c r="UY225" s="715"/>
      <c r="UZ225" s="716"/>
      <c r="VA225" s="716"/>
      <c r="VB225" s="716"/>
      <c r="VC225" s="716"/>
      <c r="VD225" s="717"/>
      <c r="VE225" s="715"/>
      <c r="VF225" s="716"/>
      <c r="VG225" s="716"/>
      <c r="VH225" s="716"/>
      <c r="VI225" s="716"/>
      <c r="VJ225" s="717"/>
      <c r="VK225" s="715"/>
      <c r="VL225" s="716"/>
      <c r="VM225" s="716"/>
      <c r="VN225" s="716"/>
      <c r="VO225" s="716"/>
      <c r="VP225" s="717"/>
      <c r="VQ225" s="715"/>
      <c r="VR225" s="716"/>
      <c r="VS225" s="716"/>
      <c r="VT225" s="716"/>
      <c r="VU225" s="716"/>
      <c r="VV225" s="717"/>
      <c r="VW225" s="715"/>
      <c r="VX225" s="716"/>
      <c r="VY225" s="716"/>
      <c r="VZ225" s="716"/>
      <c r="WA225" s="716"/>
      <c r="WB225" s="717"/>
      <c r="WC225" s="715"/>
      <c r="WD225" s="716"/>
      <c r="WE225" s="716"/>
      <c r="WF225" s="716"/>
      <c r="WG225" s="716"/>
      <c r="WH225" s="717"/>
      <c r="WI225" s="715"/>
      <c r="WJ225" s="716"/>
      <c r="WK225" s="716"/>
      <c r="WL225" s="716"/>
      <c r="WM225" s="716"/>
      <c r="WN225" s="717"/>
      <c r="WO225" s="715"/>
      <c r="WP225" s="716"/>
      <c r="WQ225" s="716"/>
      <c r="WR225" s="716"/>
      <c r="WS225" s="716"/>
      <c r="WT225" s="717"/>
      <c r="WU225" s="715"/>
      <c r="WV225" s="716"/>
      <c r="WW225" s="716"/>
      <c r="WX225" s="716"/>
      <c r="WY225" s="716"/>
      <c r="WZ225" s="717"/>
      <c r="XA225" s="715"/>
      <c r="XB225" s="716"/>
      <c r="XC225" s="716"/>
      <c r="XD225" s="716"/>
      <c r="XE225" s="716"/>
      <c r="XF225" s="717"/>
      <c r="XG225" s="715"/>
      <c r="XH225" s="716"/>
      <c r="XI225" s="716"/>
      <c r="XJ225" s="716"/>
      <c r="XK225" s="716"/>
      <c r="XL225" s="717"/>
      <c r="XM225" s="715"/>
      <c r="XN225" s="716"/>
      <c r="XO225" s="716"/>
      <c r="XP225" s="716"/>
      <c r="XQ225" s="716"/>
      <c r="XR225" s="717"/>
      <c r="XS225" s="715"/>
      <c r="XT225" s="716"/>
      <c r="XU225" s="716"/>
      <c r="XV225" s="716"/>
      <c r="XW225" s="716"/>
      <c r="XX225" s="717"/>
      <c r="XY225" s="715"/>
      <c r="XZ225" s="716"/>
      <c r="YA225" s="716"/>
      <c r="YB225" s="716"/>
      <c r="YC225" s="716"/>
      <c r="YD225" s="717"/>
      <c r="YE225" s="715"/>
      <c r="YF225" s="716"/>
      <c r="YG225" s="716"/>
      <c r="YH225" s="716"/>
      <c r="YI225" s="716"/>
      <c r="YJ225" s="717"/>
      <c r="YK225" s="715"/>
      <c r="YL225" s="716"/>
      <c r="YM225" s="716"/>
      <c r="YN225" s="716"/>
      <c r="YO225" s="716"/>
      <c r="YP225" s="717"/>
      <c r="YQ225" s="715"/>
      <c r="YR225" s="716"/>
      <c r="YS225" s="716"/>
      <c r="YT225" s="716"/>
      <c r="YU225" s="716"/>
      <c r="YV225" s="717"/>
      <c r="YW225" s="715"/>
      <c r="YX225" s="716"/>
      <c r="YY225" s="716"/>
      <c r="YZ225" s="716"/>
      <c r="ZA225" s="716"/>
      <c r="ZB225" s="717"/>
      <c r="ZC225" s="715"/>
      <c r="ZD225" s="716"/>
      <c r="ZE225" s="716"/>
      <c r="ZF225" s="716"/>
      <c r="ZG225" s="716"/>
      <c r="ZH225" s="717"/>
      <c r="ZI225" s="715"/>
      <c r="ZJ225" s="716"/>
      <c r="ZK225" s="716"/>
      <c r="ZL225" s="716"/>
      <c r="ZM225" s="716"/>
      <c r="ZN225" s="717"/>
      <c r="ZO225" s="715"/>
      <c r="ZP225" s="716"/>
      <c r="ZQ225" s="716"/>
      <c r="ZR225" s="716"/>
      <c r="ZS225" s="716"/>
      <c r="ZT225" s="717"/>
      <c r="ZU225" s="715"/>
      <c r="ZV225" s="716"/>
      <c r="ZW225" s="716"/>
      <c r="ZX225" s="716"/>
      <c r="ZY225" s="716"/>
      <c r="ZZ225" s="717"/>
      <c r="AAA225" s="715"/>
      <c r="AAB225" s="716"/>
      <c r="AAC225" s="716"/>
      <c r="AAD225" s="716"/>
      <c r="AAE225" s="716"/>
      <c r="AAF225" s="717"/>
      <c r="AAG225" s="715"/>
      <c r="AAH225" s="716"/>
      <c r="AAI225" s="716"/>
      <c r="AAJ225" s="716"/>
      <c r="AAK225" s="716"/>
      <c r="AAL225" s="717"/>
      <c r="AAM225" s="715"/>
      <c r="AAN225" s="716"/>
      <c r="AAO225" s="716"/>
      <c r="AAP225" s="716"/>
      <c r="AAQ225" s="716"/>
      <c r="AAR225" s="717"/>
      <c r="AAS225" s="715"/>
      <c r="AAT225" s="716"/>
      <c r="AAU225" s="716"/>
      <c r="AAV225" s="716"/>
      <c r="AAW225" s="716"/>
      <c r="AAX225" s="717"/>
      <c r="AAY225" s="715"/>
      <c r="AAZ225" s="716"/>
      <c r="ABA225" s="716"/>
      <c r="ABB225" s="716"/>
      <c r="ABC225" s="716"/>
      <c r="ABD225" s="717"/>
      <c r="ABE225" s="715"/>
      <c r="ABF225" s="716"/>
      <c r="ABG225" s="716"/>
      <c r="ABH225" s="716"/>
      <c r="ABI225" s="716"/>
      <c r="ABJ225" s="717"/>
      <c r="ABK225" s="715"/>
      <c r="ABL225" s="716"/>
      <c r="ABM225" s="716"/>
      <c r="ABN225" s="716"/>
      <c r="ABO225" s="716"/>
      <c r="ABP225" s="717"/>
      <c r="ABQ225" s="715"/>
      <c r="ABR225" s="716"/>
      <c r="ABS225" s="716"/>
      <c r="ABT225" s="716"/>
      <c r="ABU225" s="716"/>
      <c r="ABV225" s="717"/>
      <c r="ABW225" s="715"/>
      <c r="ABX225" s="716"/>
      <c r="ABY225" s="716"/>
      <c r="ABZ225" s="716"/>
      <c r="ACA225" s="716"/>
      <c r="ACB225" s="717"/>
      <c r="ACC225" s="715"/>
      <c r="ACD225" s="716"/>
      <c r="ACE225" s="716"/>
      <c r="ACF225" s="716"/>
      <c r="ACG225" s="716"/>
      <c r="ACH225" s="717"/>
      <c r="ACI225" s="715"/>
      <c r="ACJ225" s="716"/>
      <c r="ACK225" s="716"/>
      <c r="ACL225" s="716"/>
      <c r="ACM225" s="716"/>
      <c r="ACN225" s="717"/>
      <c r="ACO225" s="715"/>
      <c r="ACP225" s="716"/>
      <c r="ACQ225" s="716"/>
      <c r="ACR225" s="716"/>
      <c r="ACS225" s="716"/>
      <c r="ACT225" s="717"/>
      <c r="ACU225" s="715"/>
      <c r="ACV225" s="716"/>
      <c r="ACW225" s="716"/>
      <c r="ACX225" s="716"/>
      <c r="ACY225" s="716"/>
      <c r="ACZ225" s="717"/>
      <c r="ADA225" s="715"/>
      <c r="ADB225" s="716"/>
      <c r="ADC225" s="716"/>
      <c r="ADD225" s="716"/>
      <c r="ADE225" s="716"/>
      <c r="ADF225" s="717"/>
      <c r="ADG225" s="715"/>
      <c r="ADH225" s="716"/>
      <c r="ADI225" s="716"/>
      <c r="ADJ225" s="716"/>
      <c r="ADK225" s="716"/>
      <c r="ADL225" s="717"/>
      <c r="ADM225" s="715"/>
      <c r="ADN225" s="716"/>
      <c r="ADO225" s="716"/>
      <c r="ADP225" s="716"/>
      <c r="ADQ225" s="716"/>
      <c r="ADR225" s="717"/>
      <c r="ADS225" s="715"/>
      <c r="ADT225" s="716"/>
      <c r="ADU225" s="716"/>
      <c r="ADV225" s="716"/>
      <c r="ADW225" s="716"/>
      <c r="ADX225" s="717"/>
      <c r="ADY225" s="715"/>
      <c r="ADZ225" s="716"/>
      <c r="AEA225" s="716"/>
      <c r="AEB225" s="716"/>
      <c r="AEC225" s="716"/>
      <c r="AED225" s="717"/>
      <c r="AEE225" s="715"/>
      <c r="AEF225" s="716"/>
      <c r="AEG225" s="716"/>
      <c r="AEH225" s="716"/>
      <c r="AEI225" s="716"/>
      <c r="AEJ225" s="717"/>
      <c r="AEK225" s="715"/>
      <c r="AEL225" s="716"/>
      <c r="AEM225" s="716"/>
      <c r="AEN225" s="716"/>
      <c r="AEO225" s="716"/>
      <c r="AEP225" s="717"/>
      <c r="AEQ225" s="715"/>
      <c r="AER225" s="716"/>
      <c r="AES225" s="716"/>
      <c r="AET225" s="716"/>
      <c r="AEU225" s="716"/>
      <c r="AEV225" s="717"/>
      <c r="AEW225" s="715"/>
      <c r="AEX225" s="716"/>
      <c r="AEY225" s="716"/>
      <c r="AEZ225" s="716"/>
      <c r="AFA225" s="716"/>
      <c r="AFB225" s="717"/>
      <c r="AFC225" s="715"/>
      <c r="AFD225" s="716"/>
      <c r="AFE225" s="716"/>
      <c r="AFF225" s="716"/>
      <c r="AFG225" s="716"/>
      <c r="AFH225" s="717"/>
      <c r="AFI225" s="715"/>
      <c r="AFJ225" s="716"/>
      <c r="AFK225" s="716"/>
      <c r="AFL225" s="716"/>
      <c r="AFM225" s="716"/>
      <c r="AFN225" s="717"/>
      <c r="AFO225" s="715"/>
      <c r="AFP225" s="716"/>
      <c r="AFQ225" s="716"/>
      <c r="AFR225" s="716"/>
      <c r="AFS225" s="716"/>
      <c r="AFT225" s="717"/>
      <c r="AFU225" s="715"/>
      <c r="AFV225" s="716"/>
      <c r="AFW225" s="716"/>
      <c r="AFX225" s="716"/>
      <c r="AFY225" s="716"/>
      <c r="AFZ225" s="717"/>
      <c r="AGA225" s="715"/>
      <c r="AGB225" s="716"/>
      <c r="AGC225" s="716"/>
      <c r="AGD225" s="716"/>
      <c r="AGE225" s="716"/>
      <c r="AGF225" s="717"/>
      <c r="AGG225" s="715"/>
      <c r="AGH225" s="716"/>
      <c r="AGI225" s="716"/>
      <c r="AGJ225" s="716"/>
      <c r="AGK225" s="716"/>
      <c r="AGL225" s="717"/>
      <c r="AGM225" s="715"/>
      <c r="AGN225" s="716"/>
      <c r="AGO225" s="716"/>
      <c r="AGP225" s="716"/>
      <c r="AGQ225" s="716"/>
      <c r="AGR225" s="717"/>
      <c r="AGS225" s="715"/>
      <c r="AGT225" s="716"/>
      <c r="AGU225" s="716"/>
      <c r="AGV225" s="716"/>
      <c r="AGW225" s="716"/>
      <c r="AGX225" s="717"/>
      <c r="AGY225" s="715"/>
      <c r="AGZ225" s="716"/>
      <c r="AHA225" s="716"/>
      <c r="AHB225" s="716"/>
      <c r="AHC225" s="716"/>
      <c r="AHD225" s="717"/>
      <c r="AHE225" s="715"/>
      <c r="AHF225" s="716"/>
      <c r="AHG225" s="716"/>
      <c r="AHH225" s="716"/>
      <c r="AHI225" s="716"/>
      <c r="AHJ225" s="717"/>
      <c r="AHK225" s="715"/>
      <c r="AHL225" s="716"/>
      <c r="AHM225" s="716"/>
      <c r="AHN225" s="716"/>
      <c r="AHO225" s="716"/>
      <c r="AHP225" s="717"/>
      <c r="AHQ225" s="715"/>
      <c r="AHR225" s="716"/>
      <c r="AHS225" s="716"/>
      <c r="AHT225" s="716"/>
      <c r="AHU225" s="716"/>
      <c r="AHV225" s="717"/>
      <c r="AHW225" s="715"/>
      <c r="AHX225" s="716"/>
      <c r="AHY225" s="716"/>
      <c r="AHZ225" s="716"/>
      <c r="AIA225" s="716"/>
      <c r="AIB225" s="717"/>
      <c r="AIC225" s="715"/>
      <c r="AID225" s="716"/>
      <c r="AIE225" s="716"/>
      <c r="AIF225" s="716"/>
      <c r="AIG225" s="716"/>
      <c r="AIH225" s="717"/>
      <c r="AII225" s="715"/>
      <c r="AIJ225" s="716"/>
      <c r="AIK225" s="716"/>
      <c r="AIL225" s="716"/>
      <c r="AIM225" s="716"/>
      <c r="AIN225" s="717"/>
      <c r="AIO225" s="715"/>
      <c r="AIP225" s="716"/>
      <c r="AIQ225" s="716"/>
      <c r="AIR225" s="716"/>
      <c r="AIS225" s="716"/>
      <c r="AIT225" s="717"/>
      <c r="AIU225" s="715"/>
      <c r="AIV225" s="716"/>
      <c r="AIW225" s="716"/>
      <c r="AIX225" s="716"/>
      <c r="AIY225" s="716"/>
      <c r="AIZ225" s="717"/>
      <c r="AJA225" s="715"/>
      <c r="AJB225" s="716"/>
      <c r="AJC225" s="716"/>
      <c r="AJD225" s="716"/>
      <c r="AJE225" s="716"/>
      <c r="AJF225" s="717"/>
      <c r="AJG225" s="715"/>
      <c r="AJH225" s="716"/>
      <c r="AJI225" s="716"/>
      <c r="AJJ225" s="716"/>
      <c r="AJK225" s="716"/>
      <c r="AJL225" s="717"/>
      <c r="AJM225" s="715"/>
      <c r="AJN225" s="716"/>
      <c r="AJO225" s="716"/>
      <c r="AJP225" s="716"/>
      <c r="AJQ225" s="716"/>
      <c r="AJR225" s="717"/>
      <c r="AJS225" s="715"/>
      <c r="AJT225" s="716"/>
      <c r="AJU225" s="716"/>
      <c r="AJV225" s="716"/>
      <c r="AJW225" s="716"/>
      <c r="AJX225" s="717"/>
      <c r="AJY225" s="715"/>
      <c r="AJZ225" s="716"/>
      <c r="AKA225" s="716"/>
      <c r="AKB225" s="716"/>
      <c r="AKC225" s="716"/>
      <c r="AKD225" s="717"/>
      <c r="AKE225" s="715"/>
      <c r="AKF225" s="716"/>
      <c r="AKG225" s="716"/>
      <c r="AKH225" s="716"/>
      <c r="AKI225" s="716"/>
      <c r="AKJ225" s="717"/>
      <c r="AKK225" s="715"/>
      <c r="AKL225" s="716"/>
      <c r="AKM225" s="716"/>
      <c r="AKN225" s="716"/>
      <c r="AKO225" s="716"/>
      <c r="AKP225" s="717"/>
      <c r="AKQ225" s="715"/>
      <c r="AKR225" s="716"/>
      <c r="AKS225" s="716"/>
      <c r="AKT225" s="716"/>
      <c r="AKU225" s="716"/>
      <c r="AKV225" s="717"/>
      <c r="AKW225" s="715"/>
      <c r="AKX225" s="716"/>
      <c r="AKY225" s="716"/>
      <c r="AKZ225" s="716"/>
      <c r="ALA225" s="716"/>
      <c r="ALB225" s="717"/>
      <c r="ALC225" s="715"/>
      <c r="ALD225" s="716"/>
      <c r="ALE225" s="716"/>
      <c r="ALF225" s="716"/>
      <c r="ALG225" s="716"/>
      <c r="ALH225" s="717"/>
      <c r="ALI225" s="715"/>
      <c r="ALJ225" s="716"/>
      <c r="ALK225" s="716"/>
      <c r="ALL225" s="716"/>
      <c r="ALM225" s="716"/>
      <c r="ALN225" s="717"/>
      <c r="ALO225" s="715"/>
      <c r="ALP225" s="716"/>
      <c r="ALQ225" s="716"/>
      <c r="ALR225" s="716"/>
      <c r="ALS225" s="716"/>
      <c r="ALT225" s="717"/>
      <c r="ALU225" s="715"/>
      <c r="ALV225" s="716"/>
      <c r="ALW225" s="716"/>
      <c r="ALX225" s="716"/>
      <c r="ALY225" s="716"/>
      <c r="ALZ225" s="717"/>
      <c r="AMA225" s="715"/>
      <c r="AMB225" s="716"/>
      <c r="AMC225" s="716"/>
      <c r="AMD225" s="716"/>
      <c r="AME225" s="716"/>
      <c r="AMF225" s="717"/>
      <c r="AMG225" s="715"/>
      <c r="AMH225" s="716"/>
      <c r="AMI225" s="716"/>
      <c r="AMJ225" s="716"/>
      <c r="AMK225" s="716"/>
      <c r="AML225" s="717"/>
      <c r="AMM225" s="715"/>
      <c r="AMN225" s="716"/>
      <c r="AMO225" s="716"/>
      <c r="AMP225" s="716"/>
      <c r="AMQ225" s="716"/>
      <c r="AMR225" s="717"/>
      <c r="AMS225" s="715"/>
      <c r="AMT225" s="716"/>
      <c r="AMU225" s="716"/>
      <c r="AMV225" s="716"/>
      <c r="AMW225" s="716"/>
      <c r="AMX225" s="717"/>
      <c r="AMY225" s="715"/>
      <c r="AMZ225" s="716"/>
      <c r="ANA225" s="716"/>
      <c r="ANB225" s="716"/>
      <c r="ANC225" s="716"/>
      <c r="AND225" s="717"/>
      <c r="ANE225" s="715"/>
      <c r="ANF225" s="716"/>
      <c r="ANG225" s="716"/>
      <c r="ANH225" s="716"/>
      <c r="ANI225" s="716"/>
      <c r="ANJ225" s="717"/>
      <c r="ANK225" s="715"/>
      <c r="ANL225" s="716"/>
      <c r="ANM225" s="716"/>
      <c r="ANN225" s="716"/>
      <c r="ANO225" s="716"/>
      <c r="ANP225" s="717"/>
      <c r="ANQ225" s="715"/>
      <c r="ANR225" s="716"/>
      <c r="ANS225" s="716"/>
      <c r="ANT225" s="716"/>
      <c r="ANU225" s="716"/>
      <c r="ANV225" s="717"/>
      <c r="ANW225" s="715"/>
      <c r="ANX225" s="716"/>
      <c r="ANY225" s="716"/>
      <c r="ANZ225" s="716"/>
      <c r="AOA225" s="716"/>
      <c r="AOB225" s="717"/>
      <c r="AOC225" s="715"/>
      <c r="AOD225" s="716"/>
      <c r="AOE225" s="716"/>
      <c r="AOF225" s="716"/>
      <c r="AOG225" s="716"/>
      <c r="AOH225" s="717"/>
      <c r="AOI225" s="715"/>
      <c r="AOJ225" s="716"/>
      <c r="AOK225" s="716"/>
      <c r="AOL225" s="716"/>
      <c r="AOM225" s="716"/>
      <c r="AON225" s="717"/>
      <c r="AOO225" s="715"/>
      <c r="AOP225" s="716"/>
      <c r="AOQ225" s="716"/>
      <c r="AOR225" s="716"/>
      <c r="AOS225" s="716"/>
      <c r="AOT225" s="717"/>
      <c r="AOU225" s="715"/>
      <c r="AOV225" s="716"/>
      <c r="AOW225" s="716"/>
      <c r="AOX225" s="716"/>
      <c r="AOY225" s="716"/>
      <c r="AOZ225" s="717"/>
      <c r="APA225" s="715"/>
      <c r="APB225" s="716"/>
      <c r="APC225" s="716"/>
      <c r="APD225" s="716"/>
      <c r="APE225" s="716"/>
      <c r="APF225" s="717"/>
      <c r="APG225" s="715"/>
      <c r="APH225" s="716"/>
      <c r="API225" s="716"/>
      <c r="APJ225" s="716"/>
      <c r="APK225" s="716"/>
      <c r="APL225" s="717"/>
      <c r="APM225" s="715"/>
      <c r="APN225" s="716"/>
      <c r="APO225" s="716"/>
      <c r="APP225" s="716"/>
      <c r="APQ225" s="716"/>
      <c r="APR225" s="717"/>
      <c r="APS225" s="715"/>
      <c r="APT225" s="716"/>
      <c r="APU225" s="716"/>
      <c r="APV225" s="716"/>
      <c r="APW225" s="716"/>
      <c r="APX225" s="717"/>
      <c r="APY225" s="715"/>
      <c r="APZ225" s="716"/>
      <c r="AQA225" s="716"/>
      <c r="AQB225" s="716"/>
      <c r="AQC225" s="716"/>
      <c r="AQD225" s="717"/>
      <c r="AQE225" s="715"/>
      <c r="AQF225" s="716"/>
      <c r="AQG225" s="716"/>
      <c r="AQH225" s="716"/>
      <c r="AQI225" s="716"/>
      <c r="AQJ225" s="717"/>
      <c r="AQK225" s="715"/>
      <c r="AQL225" s="716"/>
      <c r="AQM225" s="716"/>
      <c r="AQN225" s="716"/>
      <c r="AQO225" s="716"/>
      <c r="AQP225" s="717"/>
      <c r="AQQ225" s="715"/>
      <c r="AQR225" s="716"/>
      <c r="AQS225" s="716"/>
      <c r="AQT225" s="716"/>
      <c r="AQU225" s="716"/>
      <c r="AQV225" s="717"/>
      <c r="AQW225" s="715"/>
      <c r="AQX225" s="716"/>
      <c r="AQY225" s="716"/>
      <c r="AQZ225" s="716"/>
      <c r="ARA225" s="716"/>
      <c r="ARB225" s="717"/>
      <c r="ARC225" s="715"/>
      <c r="ARD225" s="716"/>
      <c r="ARE225" s="716"/>
      <c r="ARF225" s="716"/>
      <c r="ARG225" s="716"/>
      <c r="ARH225" s="717"/>
      <c r="ARI225" s="715"/>
      <c r="ARJ225" s="716"/>
      <c r="ARK225" s="716"/>
      <c r="ARL225" s="716"/>
      <c r="ARM225" s="716"/>
      <c r="ARN225" s="717"/>
      <c r="ARO225" s="715"/>
      <c r="ARP225" s="716"/>
      <c r="ARQ225" s="716"/>
      <c r="ARR225" s="716"/>
      <c r="ARS225" s="716"/>
      <c r="ART225" s="717"/>
      <c r="ARU225" s="715"/>
      <c r="ARV225" s="716"/>
      <c r="ARW225" s="716"/>
      <c r="ARX225" s="716"/>
      <c r="ARY225" s="716"/>
      <c r="ARZ225" s="717"/>
      <c r="ASA225" s="715"/>
      <c r="ASB225" s="716"/>
      <c r="ASC225" s="716"/>
      <c r="ASD225" s="716"/>
      <c r="ASE225" s="716"/>
      <c r="ASF225" s="717"/>
      <c r="ASG225" s="715"/>
      <c r="ASH225" s="716"/>
      <c r="ASI225" s="716"/>
      <c r="ASJ225" s="716"/>
      <c r="ASK225" s="716"/>
      <c r="ASL225" s="717"/>
      <c r="ASM225" s="715"/>
      <c r="ASN225" s="716"/>
      <c r="ASO225" s="716"/>
      <c r="ASP225" s="716"/>
      <c r="ASQ225" s="716"/>
      <c r="ASR225" s="717"/>
      <c r="ASS225" s="715"/>
      <c r="AST225" s="716"/>
      <c r="ASU225" s="716"/>
      <c r="ASV225" s="716"/>
      <c r="ASW225" s="716"/>
      <c r="ASX225" s="717"/>
      <c r="ASY225" s="715"/>
      <c r="ASZ225" s="716"/>
      <c r="ATA225" s="716"/>
      <c r="ATB225" s="716"/>
      <c r="ATC225" s="716"/>
      <c r="ATD225" s="717"/>
      <c r="ATE225" s="715"/>
      <c r="ATF225" s="716"/>
      <c r="ATG225" s="716"/>
      <c r="ATH225" s="716"/>
      <c r="ATI225" s="716"/>
      <c r="ATJ225" s="717"/>
      <c r="ATK225" s="715"/>
      <c r="ATL225" s="716"/>
      <c r="ATM225" s="716"/>
      <c r="ATN225" s="716"/>
      <c r="ATO225" s="716"/>
      <c r="ATP225" s="717"/>
      <c r="ATQ225" s="715"/>
      <c r="ATR225" s="716"/>
      <c r="ATS225" s="716"/>
      <c r="ATT225" s="716"/>
      <c r="ATU225" s="716"/>
      <c r="ATV225" s="717"/>
      <c r="ATW225" s="715"/>
      <c r="ATX225" s="716"/>
      <c r="ATY225" s="716"/>
      <c r="ATZ225" s="716"/>
      <c r="AUA225" s="716"/>
      <c r="AUB225" s="717"/>
      <c r="AUC225" s="715"/>
      <c r="AUD225" s="716"/>
      <c r="AUE225" s="716"/>
      <c r="AUF225" s="716"/>
      <c r="AUG225" s="716"/>
      <c r="AUH225" s="717"/>
      <c r="AUI225" s="715"/>
      <c r="AUJ225" s="716"/>
      <c r="AUK225" s="716"/>
      <c r="AUL225" s="716"/>
      <c r="AUM225" s="716"/>
      <c r="AUN225" s="717"/>
      <c r="AUO225" s="715"/>
      <c r="AUP225" s="716"/>
      <c r="AUQ225" s="716"/>
      <c r="AUR225" s="716"/>
      <c r="AUS225" s="716"/>
      <c r="AUT225" s="717"/>
      <c r="AUU225" s="715"/>
      <c r="AUV225" s="716"/>
      <c r="AUW225" s="716"/>
      <c r="AUX225" s="716"/>
      <c r="AUY225" s="716"/>
      <c r="AUZ225" s="717"/>
      <c r="AVA225" s="715"/>
      <c r="AVB225" s="716"/>
      <c r="AVC225" s="716"/>
      <c r="AVD225" s="716"/>
      <c r="AVE225" s="716"/>
      <c r="AVF225" s="717"/>
      <c r="AVG225" s="715"/>
      <c r="AVH225" s="716"/>
      <c r="AVI225" s="716"/>
      <c r="AVJ225" s="716"/>
      <c r="AVK225" s="716"/>
      <c r="AVL225" s="717"/>
      <c r="AVM225" s="715"/>
      <c r="AVN225" s="716"/>
      <c r="AVO225" s="716"/>
      <c r="AVP225" s="716"/>
      <c r="AVQ225" s="716"/>
      <c r="AVR225" s="717"/>
      <c r="AVS225" s="715"/>
      <c r="AVT225" s="716"/>
      <c r="AVU225" s="716"/>
      <c r="AVV225" s="716"/>
      <c r="AVW225" s="716"/>
      <c r="AVX225" s="717"/>
      <c r="AVY225" s="715"/>
      <c r="AVZ225" s="716"/>
      <c r="AWA225" s="716"/>
      <c r="AWB225" s="716"/>
      <c r="AWC225" s="716"/>
      <c r="AWD225" s="717"/>
      <c r="AWE225" s="715"/>
      <c r="AWF225" s="716"/>
      <c r="AWG225" s="716"/>
      <c r="AWH225" s="716"/>
      <c r="AWI225" s="716"/>
      <c r="AWJ225" s="717"/>
      <c r="AWK225" s="715"/>
      <c r="AWL225" s="716"/>
      <c r="AWM225" s="716"/>
      <c r="AWN225" s="716"/>
      <c r="AWO225" s="716"/>
      <c r="AWP225" s="717"/>
      <c r="AWQ225" s="715"/>
      <c r="AWR225" s="716"/>
      <c r="AWS225" s="716"/>
      <c r="AWT225" s="716"/>
      <c r="AWU225" s="716"/>
      <c r="AWV225" s="717"/>
      <c r="AWW225" s="715"/>
      <c r="AWX225" s="716"/>
      <c r="AWY225" s="716"/>
      <c r="AWZ225" s="716"/>
      <c r="AXA225" s="716"/>
      <c r="AXB225" s="717"/>
      <c r="AXC225" s="715"/>
      <c r="AXD225" s="716"/>
      <c r="AXE225" s="716"/>
      <c r="AXF225" s="716"/>
      <c r="AXG225" s="716"/>
      <c r="AXH225" s="717"/>
      <c r="AXI225" s="715"/>
      <c r="AXJ225" s="716"/>
      <c r="AXK225" s="716"/>
      <c r="AXL225" s="716"/>
      <c r="AXM225" s="716"/>
      <c r="AXN225" s="717"/>
      <c r="AXO225" s="715"/>
      <c r="AXP225" s="716"/>
      <c r="AXQ225" s="716"/>
      <c r="AXR225" s="716"/>
      <c r="AXS225" s="716"/>
      <c r="AXT225" s="717"/>
      <c r="AXU225" s="715"/>
      <c r="AXV225" s="716"/>
      <c r="AXW225" s="716"/>
      <c r="AXX225" s="716"/>
      <c r="AXY225" s="716"/>
      <c r="AXZ225" s="717"/>
      <c r="AYA225" s="715"/>
      <c r="AYB225" s="716"/>
      <c r="AYC225" s="716"/>
      <c r="AYD225" s="716"/>
      <c r="AYE225" s="716"/>
      <c r="AYF225" s="717"/>
      <c r="AYG225" s="715"/>
      <c r="AYH225" s="716"/>
      <c r="AYI225" s="716"/>
      <c r="AYJ225" s="716"/>
      <c r="AYK225" s="716"/>
      <c r="AYL225" s="717"/>
      <c r="AYM225" s="715"/>
      <c r="AYN225" s="716"/>
      <c r="AYO225" s="716"/>
      <c r="AYP225" s="716"/>
      <c r="AYQ225" s="716"/>
      <c r="AYR225" s="717"/>
      <c r="AYS225" s="715"/>
      <c r="AYT225" s="716"/>
      <c r="AYU225" s="716"/>
      <c r="AYV225" s="716"/>
      <c r="AYW225" s="716"/>
      <c r="AYX225" s="717"/>
      <c r="AYY225" s="715"/>
      <c r="AYZ225" s="716"/>
      <c r="AZA225" s="716"/>
      <c r="AZB225" s="716"/>
      <c r="AZC225" s="716"/>
      <c r="AZD225" s="717"/>
      <c r="AZE225" s="715"/>
      <c r="AZF225" s="716"/>
      <c r="AZG225" s="716"/>
      <c r="AZH225" s="716"/>
      <c r="AZI225" s="716"/>
      <c r="AZJ225" s="717"/>
      <c r="AZK225" s="715"/>
      <c r="AZL225" s="716"/>
      <c r="AZM225" s="716"/>
      <c r="AZN225" s="716"/>
      <c r="AZO225" s="716"/>
      <c r="AZP225" s="717"/>
      <c r="AZQ225" s="715"/>
      <c r="AZR225" s="716"/>
      <c r="AZS225" s="716"/>
      <c r="AZT225" s="716"/>
      <c r="AZU225" s="716"/>
      <c r="AZV225" s="717"/>
      <c r="AZW225" s="715"/>
      <c r="AZX225" s="716"/>
      <c r="AZY225" s="716"/>
      <c r="AZZ225" s="716"/>
      <c r="BAA225" s="716"/>
      <c r="BAB225" s="717"/>
      <c r="BAC225" s="715"/>
      <c r="BAD225" s="716"/>
      <c r="BAE225" s="716"/>
      <c r="BAF225" s="716"/>
      <c r="BAG225" s="716"/>
      <c r="BAH225" s="717"/>
      <c r="BAI225" s="715"/>
      <c r="BAJ225" s="716"/>
      <c r="BAK225" s="716"/>
      <c r="BAL225" s="716"/>
      <c r="BAM225" s="716"/>
      <c r="BAN225" s="717"/>
      <c r="BAO225" s="715"/>
      <c r="BAP225" s="716"/>
      <c r="BAQ225" s="716"/>
      <c r="BAR225" s="716"/>
      <c r="BAS225" s="716"/>
      <c r="BAT225" s="717"/>
      <c r="BAU225" s="715"/>
      <c r="BAV225" s="716"/>
      <c r="BAW225" s="716"/>
      <c r="BAX225" s="716"/>
      <c r="BAY225" s="716"/>
      <c r="BAZ225" s="717"/>
      <c r="BBA225" s="715"/>
      <c r="BBB225" s="716"/>
      <c r="BBC225" s="716"/>
      <c r="BBD225" s="716"/>
      <c r="BBE225" s="716"/>
      <c r="BBF225" s="717"/>
      <c r="BBG225" s="715"/>
      <c r="BBH225" s="716"/>
      <c r="BBI225" s="716"/>
      <c r="BBJ225" s="716"/>
      <c r="BBK225" s="716"/>
      <c r="BBL225" s="717"/>
      <c r="BBM225" s="715"/>
      <c r="BBN225" s="716"/>
      <c r="BBO225" s="716"/>
      <c r="BBP225" s="716"/>
      <c r="BBQ225" s="716"/>
      <c r="BBR225" s="717"/>
      <c r="BBS225" s="715"/>
      <c r="BBT225" s="716"/>
      <c r="BBU225" s="716"/>
      <c r="BBV225" s="716"/>
      <c r="BBW225" s="716"/>
      <c r="BBX225" s="717"/>
      <c r="BBY225" s="715"/>
      <c r="BBZ225" s="716"/>
      <c r="BCA225" s="716"/>
      <c r="BCB225" s="716"/>
      <c r="BCC225" s="716"/>
      <c r="BCD225" s="717"/>
      <c r="BCE225" s="715"/>
      <c r="BCF225" s="716"/>
      <c r="BCG225" s="716"/>
      <c r="BCH225" s="716"/>
      <c r="BCI225" s="716"/>
      <c r="BCJ225" s="717"/>
      <c r="BCK225" s="715"/>
      <c r="BCL225" s="716"/>
      <c r="BCM225" s="716"/>
      <c r="BCN225" s="716"/>
      <c r="BCO225" s="716"/>
      <c r="BCP225" s="717"/>
      <c r="BCQ225" s="715"/>
      <c r="BCR225" s="716"/>
      <c r="BCS225" s="716"/>
      <c r="BCT225" s="716"/>
      <c r="BCU225" s="716"/>
      <c r="BCV225" s="717"/>
      <c r="BCW225" s="715"/>
      <c r="BCX225" s="716"/>
      <c r="BCY225" s="716"/>
      <c r="BCZ225" s="716"/>
      <c r="BDA225" s="716"/>
      <c r="BDB225" s="717"/>
      <c r="BDC225" s="715"/>
      <c r="BDD225" s="716"/>
      <c r="BDE225" s="716"/>
      <c r="BDF225" s="716"/>
      <c r="BDG225" s="716"/>
      <c r="BDH225" s="717"/>
      <c r="BDI225" s="715"/>
      <c r="BDJ225" s="716"/>
      <c r="BDK225" s="716"/>
      <c r="BDL225" s="716"/>
      <c r="BDM225" s="716"/>
      <c r="BDN225" s="717"/>
      <c r="BDO225" s="715"/>
      <c r="BDP225" s="716"/>
      <c r="BDQ225" s="716"/>
      <c r="BDR225" s="716"/>
      <c r="BDS225" s="716"/>
      <c r="BDT225" s="717"/>
      <c r="BDU225" s="715"/>
      <c r="BDV225" s="716"/>
      <c r="BDW225" s="716"/>
      <c r="BDX225" s="716"/>
      <c r="BDY225" s="716"/>
      <c r="BDZ225" s="717"/>
      <c r="BEA225" s="715"/>
      <c r="BEB225" s="716"/>
      <c r="BEC225" s="716"/>
      <c r="BED225" s="716"/>
      <c r="BEE225" s="716"/>
      <c r="BEF225" s="717"/>
      <c r="BEG225" s="715"/>
      <c r="BEH225" s="716"/>
      <c r="BEI225" s="716"/>
      <c r="BEJ225" s="716"/>
      <c r="BEK225" s="716"/>
      <c r="BEL225" s="717"/>
      <c r="BEM225" s="715"/>
      <c r="BEN225" s="716"/>
      <c r="BEO225" s="716"/>
      <c r="BEP225" s="716"/>
      <c r="BEQ225" s="716"/>
      <c r="BER225" s="717"/>
      <c r="BES225" s="715"/>
      <c r="BET225" s="716"/>
      <c r="BEU225" s="716"/>
      <c r="BEV225" s="716"/>
      <c r="BEW225" s="716"/>
      <c r="BEX225" s="717"/>
      <c r="BEY225" s="715"/>
      <c r="BEZ225" s="716"/>
      <c r="BFA225" s="716"/>
      <c r="BFB225" s="716"/>
      <c r="BFC225" s="716"/>
      <c r="BFD225" s="717"/>
      <c r="BFE225" s="715"/>
      <c r="BFF225" s="716"/>
      <c r="BFG225" s="716"/>
      <c r="BFH225" s="716"/>
      <c r="BFI225" s="716"/>
      <c r="BFJ225" s="717"/>
      <c r="BFK225" s="715"/>
      <c r="BFL225" s="716"/>
      <c r="BFM225" s="716"/>
      <c r="BFN225" s="716"/>
      <c r="BFO225" s="716"/>
      <c r="BFP225" s="717"/>
      <c r="BFQ225" s="715"/>
      <c r="BFR225" s="716"/>
      <c r="BFS225" s="716"/>
      <c r="BFT225" s="716"/>
      <c r="BFU225" s="716"/>
      <c r="BFV225" s="717"/>
      <c r="BFW225" s="715"/>
      <c r="BFX225" s="716"/>
      <c r="BFY225" s="716"/>
      <c r="BFZ225" s="716"/>
      <c r="BGA225" s="716"/>
      <c r="BGB225" s="717"/>
      <c r="BGC225" s="715"/>
      <c r="BGD225" s="716"/>
      <c r="BGE225" s="716"/>
      <c r="BGF225" s="716"/>
      <c r="BGG225" s="716"/>
      <c r="BGH225" s="717"/>
      <c r="BGI225" s="715"/>
      <c r="BGJ225" s="716"/>
      <c r="BGK225" s="716"/>
      <c r="BGL225" s="716"/>
      <c r="BGM225" s="716"/>
      <c r="BGN225" s="717"/>
      <c r="BGO225" s="715"/>
      <c r="BGP225" s="716"/>
      <c r="BGQ225" s="716"/>
      <c r="BGR225" s="716"/>
      <c r="BGS225" s="716"/>
      <c r="BGT225" s="717"/>
      <c r="BGU225" s="715"/>
      <c r="BGV225" s="716"/>
      <c r="BGW225" s="716"/>
      <c r="BGX225" s="716"/>
      <c r="BGY225" s="716"/>
      <c r="BGZ225" s="717"/>
      <c r="BHA225" s="715"/>
      <c r="BHB225" s="716"/>
      <c r="BHC225" s="716"/>
      <c r="BHD225" s="716"/>
      <c r="BHE225" s="716"/>
      <c r="BHF225" s="717"/>
      <c r="BHG225" s="715"/>
      <c r="BHH225" s="716"/>
      <c r="BHI225" s="716"/>
      <c r="BHJ225" s="716"/>
      <c r="BHK225" s="716"/>
      <c r="BHL225" s="717"/>
      <c r="BHM225" s="715"/>
      <c r="BHN225" s="716"/>
      <c r="BHO225" s="716"/>
      <c r="BHP225" s="716"/>
      <c r="BHQ225" s="716"/>
      <c r="BHR225" s="717"/>
      <c r="BHS225" s="715"/>
      <c r="BHT225" s="716"/>
      <c r="BHU225" s="716"/>
      <c r="BHV225" s="716"/>
      <c r="BHW225" s="716"/>
      <c r="BHX225" s="717"/>
      <c r="BHY225" s="715"/>
      <c r="BHZ225" s="716"/>
      <c r="BIA225" s="716"/>
      <c r="BIB225" s="716"/>
      <c r="BIC225" s="716"/>
      <c r="BID225" s="717"/>
      <c r="BIE225" s="715"/>
      <c r="BIF225" s="716"/>
      <c r="BIG225" s="716"/>
      <c r="BIH225" s="716"/>
      <c r="BII225" s="716"/>
      <c r="BIJ225" s="717"/>
      <c r="BIK225" s="715"/>
      <c r="BIL225" s="716"/>
      <c r="BIM225" s="716"/>
      <c r="BIN225" s="716"/>
      <c r="BIO225" s="716"/>
      <c r="BIP225" s="717"/>
      <c r="BIQ225" s="715"/>
      <c r="BIR225" s="716"/>
      <c r="BIS225" s="716"/>
      <c r="BIT225" s="716"/>
      <c r="BIU225" s="716"/>
      <c r="BIV225" s="717"/>
      <c r="BIW225" s="715"/>
      <c r="BIX225" s="716"/>
      <c r="BIY225" s="716"/>
      <c r="BIZ225" s="716"/>
      <c r="BJA225" s="716"/>
      <c r="BJB225" s="717"/>
      <c r="BJC225" s="715"/>
      <c r="BJD225" s="716"/>
      <c r="BJE225" s="716"/>
      <c r="BJF225" s="716"/>
      <c r="BJG225" s="716"/>
      <c r="BJH225" s="717"/>
      <c r="BJI225" s="715"/>
      <c r="BJJ225" s="716"/>
      <c r="BJK225" s="716"/>
      <c r="BJL225" s="716"/>
      <c r="BJM225" s="716"/>
      <c r="BJN225" s="717"/>
      <c r="BJO225" s="715"/>
      <c r="BJP225" s="716"/>
      <c r="BJQ225" s="716"/>
      <c r="BJR225" s="716"/>
      <c r="BJS225" s="716"/>
      <c r="BJT225" s="717"/>
      <c r="BJU225" s="715"/>
      <c r="BJV225" s="716"/>
      <c r="BJW225" s="716"/>
      <c r="BJX225" s="716"/>
      <c r="BJY225" s="716"/>
      <c r="BJZ225" s="717"/>
      <c r="BKA225" s="715"/>
      <c r="BKB225" s="716"/>
      <c r="BKC225" s="716"/>
      <c r="BKD225" s="716"/>
      <c r="BKE225" s="716"/>
      <c r="BKF225" s="717"/>
      <c r="BKG225" s="715"/>
      <c r="BKH225" s="716"/>
      <c r="BKI225" s="716"/>
      <c r="BKJ225" s="716"/>
      <c r="BKK225" s="716"/>
      <c r="BKL225" s="717"/>
      <c r="BKM225" s="715"/>
      <c r="BKN225" s="716"/>
      <c r="BKO225" s="716"/>
      <c r="BKP225" s="716"/>
      <c r="BKQ225" s="716"/>
      <c r="BKR225" s="717"/>
      <c r="BKS225" s="715"/>
      <c r="BKT225" s="716"/>
      <c r="BKU225" s="716"/>
      <c r="BKV225" s="716"/>
      <c r="BKW225" s="716"/>
      <c r="BKX225" s="717"/>
      <c r="BKY225" s="715"/>
      <c r="BKZ225" s="716"/>
      <c r="BLA225" s="716"/>
      <c r="BLB225" s="716"/>
      <c r="BLC225" s="716"/>
      <c r="BLD225" s="717"/>
      <c r="BLE225" s="715"/>
      <c r="BLF225" s="716"/>
      <c r="BLG225" s="716"/>
      <c r="BLH225" s="716"/>
      <c r="BLI225" s="716"/>
      <c r="BLJ225" s="717"/>
      <c r="BLK225" s="715"/>
      <c r="BLL225" s="716"/>
      <c r="BLM225" s="716"/>
      <c r="BLN225" s="716"/>
      <c r="BLO225" s="716"/>
      <c r="BLP225" s="717"/>
      <c r="BLQ225" s="715"/>
      <c r="BLR225" s="716"/>
      <c r="BLS225" s="716"/>
      <c r="BLT225" s="716"/>
      <c r="BLU225" s="716"/>
      <c r="BLV225" s="717"/>
      <c r="BLW225" s="715"/>
      <c r="BLX225" s="716"/>
      <c r="BLY225" s="716"/>
      <c r="BLZ225" s="716"/>
      <c r="BMA225" s="716"/>
      <c r="BMB225" s="717"/>
      <c r="BMC225" s="715"/>
      <c r="BMD225" s="716"/>
      <c r="BME225" s="716"/>
      <c r="BMF225" s="716"/>
      <c r="BMG225" s="716"/>
      <c r="BMH225" s="717"/>
      <c r="BMI225" s="715"/>
      <c r="BMJ225" s="716"/>
      <c r="BMK225" s="716"/>
      <c r="BML225" s="716"/>
      <c r="BMM225" s="716"/>
      <c r="BMN225" s="717"/>
      <c r="BMO225" s="715"/>
      <c r="BMP225" s="716"/>
      <c r="BMQ225" s="716"/>
      <c r="BMR225" s="716"/>
      <c r="BMS225" s="716"/>
      <c r="BMT225" s="717"/>
      <c r="BMU225" s="715"/>
      <c r="BMV225" s="716"/>
      <c r="BMW225" s="716"/>
      <c r="BMX225" s="716"/>
      <c r="BMY225" s="716"/>
      <c r="BMZ225" s="717"/>
      <c r="BNA225" s="715"/>
      <c r="BNB225" s="716"/>
      <c r="BNC225" s="716"/>
      <c r="BND225" s="716"/>
      <c r="BNE225" s="716"/>
      <c r="BNF225" s="717"/>
      <c r="BNG225" s="715"/>
      <c r="BNH225" s="716"/>
      <c r="BNI225" s="716"/>
      <c r="BNJ225" s="716"/>
      <c r="BNK225" s="716"/>
      <c r="BNL225" s="717"/>
      <c r="BNM225" s="715"/>
      <c r="BNN225" s="716"/>
      <c r="BNO225" s="716"/>
      <c r="BNP225" s="716"/>
      <c r="BNQ225" s="716"/>
      <c r="BNR225" s="717"/>
      <c r="BNS225" s="715"/>
      <c r="BNT225" s="716"/>
      <c r="BNU225" s="716"/>
      <c r="BNV225" s="716"/>
      <c r="BNW225" s="716"/>
      <c r="BNX225" s="717"/>
      <c r="BNY225" s="715"/>
      <c r="BNZ225" s="716"/>
      <c r="BOA225" s="716"/>
      <c r="BOB225" s="716"/>
      <c r="BOC225" s="716"/>
      <c r="BOD225" s="717"/>
      <c r="BOE225" s="715"/>
      <c r="BOF225" s="716"/>
      <c r="BOG225" s="716"/>
      <c r="BOH225" s="716"/>
      <c r="BOI225" s="716"/>
      <c r="BOJ225" s="717"/>
      <c r="BOK225" s="715"/>
      <c r="BOL225" s="716"/>
      <c r="BOM225" s="716"/>
      <c r="BON225" s="716"/>
      <c r="BOO225" s="716"/>
      <c r="BOP225" s="717"/>
      <c r="BOQ225" s="715"/>
      <c r="BOR225" s="716"/>
      <c r="BOS225" s="716"/>
      <c r="BOT225" s="716"/>
      <c r="BOU225" s="716"/>
      <c r="BOV225" s="717"/>
      <c r="BOW225" s="715"/>
      <c r="BOX225" s="716"/>
      <c r="BOY225" s="716"/>
      <c r="BOZ225" s="716"/>
      <c r="BPA225" s="716"/>
      <c r="BPB225" s="717"/>
      <c r="BPC225" s="715"/>
      <c r="BPD225" s="716"/>
      <c r="BPE225" s="716"/>
      <c r="BPF225" s="716"/>
      <c r="BPG225" s="716"/>
      <c r="BPH225" s="717"/>
      <c r="BPI225" s="715"/>
      <c r="BPJ225" s="716"/>
      <c r="BPK225" s="716"/>
      <c r="BPL225" s="716"/>
      <c r="BPM225" s="716"/>
      <c r="BPN225" s="717"/>
      <c r="BPO225" s="715"/>
      <c r="BPP225" s="716"/>
      <c r="BPQ225" s="716"/>
      <c r="BPR225" s="716"/>
      <c r="BPS225" s="716"/>
      <c r="BPT225" s="717"/>
      <c r="BPU225" s="715"/>
      <c r="BPV225" s="716"/>
      <c r="BPW225" s="716"/>
      <c r="BPX225" s="716"/>
      <c r="BPY225" s="716"/>
      <c r="BPZ225" s="717"/>
      <c r="BQA225" s="715"/>
      <c r="BQB225" s="716"/>
      <c r="BQC225" s="716"/>
      <c r="BQD225" s="716"/>
      <c r="BQE225" s="716"/>
      <c r="BQF225" s="717"/>
      <c r="BQG225" s="715"/>
      <c r="BQH225" s="716"/>
      <c r="BQI225" s="716"/>
      <c r="BQJ225" s="716"/>
      <c r="BQK225" s="716"/>
      <c r="BQL225" s="717"/>
      <c r="BQM225" s="715"/>
      <c r="BQN225" s="716"/>
      <c r="BQO225" s="716"/>
      <c r="BQP225" s="716"/>
      <c r="BQQ225" s="716"/>
      <c r="BQR225" s="717"/>
      <c r="BQS225" s="715"/>
      <c r="BQT225" s="716"/>
      <c r="BQU225" s="716"/>
      <c r="BQV225" s="716"/>
      <c r="BQW225" s="716"/>
      <c r="BQX225" s="717"/>
      <c r="BQY225" s="715"/>
      <c r="BQZ225" s="716"/>
      <c r="BRA225" s="716"/>
      <c r="BRB225" s="716"/>
      <c r="BRC225" s="716"/>
      <c r="BRD225" s="717"/>
      <c r="BRE225" s="715"/>
      <c r="BRF225" s="716"/>
      <c r="BRG225" s="716"/>
      <c r="BRH225" s="716"/>
      <c r="BRI225" s="716"/>
      <c r="BRJ225" s="717"/>
      <c r="BRK225" s="715"/>
      <c r="BRL225" s="716"/>
      <c r="BRM225" s="716"/>
      <c r="BRN225" s="716"/>
      <c r="BRO225" s="716"/>
      <c r="BRP225" s="717"/>
      <c r="BRQ225" s="715"/>
      <c r="BRR225" s="716"/>
      <c r="BRS225" s="716"/>
      <c r="BRT225" s="716"/>
      <c r="BRU225" s="716"/>
      <c r="BRV225" s="717"/>
      <c r="BRW225" s="715"/>
      <c r="BRX225" s="716"/>
      <c r="BRY225" s="716"/>
      <c r="BRZ225" s="716"/>
      <c r="BSA225" s="716"/>
      <c r="BSB225" s="717"/>
      <c r="BSC225" s="715"/>
      <c r="BSD225" s="716"/>
      <c r="BSE225" s="716"/>
      <c r="BSF225" s="716"/>
      <c r="BSG225" s="716"/>
      <c r="BSH225" s="717"/>
      <c r="BSI225" s="715"/>
      <c r="BSJ225" s="716"/>
      <c r="BSK225" s="716"/>
      <c r="BSL225" s="716"/>
      <c r="BSM225" s="716"/>
      <c r="BSN225" s="717"/>
      <c r="BSO225" s="715"/>
      <c r="BSP225" s="716"/>
      <c r="BSQ225" s="716"/>
      <c r="BSR225" s="716"/>
      <c r="BSS225" s="716"/>
      <c r="BST225" s="717"/>
      <c r="BSU225" s="715"/>
      <c r="BSV225" s="716"/>
      <c r="BSW225" s="716"/>
      <c r="BSX225" s="716"/>
      <c r="BSY225" s="716"/>
      <c r="BSZ225" s="717"/>
      <c r="BTA225" s="715"/>
      <c r="BTB225" s="716"/>
      <c r="BTC225" s="716"/>
      <c r="BTD225" s="716"/>
      <c r="BTE225" s="716"/>
      <c r="BTF225" s="717"/>
      <c r="BTG225" s="715"/>
      <c r="BTH225" s="716"/>
      <c r="BTI225" s="716"/>
      <c r="BTJ225" s="716"/>
      <c r="BTK225" s="716"/>
      <c r="BTL225" s="717"/>
      <c r="BTM225" s="715"/>
      <c r="BTN225" s="716"/>
      <c r="BTO225" s="716"/>
      <c r="BTP225" s="716"/>
      <c r="BTQ225" s="716"/>
      <c r="BTR225" s="717"/>
      <c r="BTS225" s="715"/>
      <c r="BTT225" s="716"/>
      <c r="BTU225" s="716"/>
      <c r="BTV225" s="716"/>
      <c r="BTW225" s="716"/>
      <c r="BTX225" s="717"/>
      <c r="BTY225" s="715"/>
      <c r="BTZ225" s="716"/>
      <c r="BUA225" s="716"/>
      <c r="BUB225" s="716"/>
      <c r="BUC225" s="716"/>
      <c r="BUD225" s="717"/>
      <c r="BUE225" s="715"/>
      <c r="BUF225" s="716"/>
      <c r="BUG225" s="716"/>
      <c r="BUH225" s="716"/>
      <c r="BUI225" s="716"/>
      <c r="BUJ225" s="717"/>
      <c r="BUK225" s="715"/>
      <c r="BUL225" s="716"/>
      <c r="BUM225" s="716"/>
      <c r="BUN225" s="716"/>
      <c r="BUO225" s="716"/>
      <c r="BUP225" s="717"/>
      <c r="BUQ225" s="715"/>
      <c r="BUR225" s="716"/>
      <c r="BUS225" s="716"/>
      <c r="BUT225" s="716"/>
      <c r="BUU225" s="716"/>
      <c r="BUV225" s="717"/>
      <c r="BUW225" s="715"/>
      <c r="BUX225" s="716"/>
      <c r="BUY225" s="716"/>
      <c r="BUZ225" s="716"/>
      <c r="BVA225" s="716"/>
      <c r="BVB225" s="717"/>
      <c r="BVC225" s="715"/>
      <c r="BVD225" s="716"/>
      <c r="BVE225" s="716"/>
      <c r="BVF225" s="716"/>
      <c r="BVG225" s="716"/>
      <c r="BVH225" s="717"/>
      <c r="BVI225" s="715"/>
      <c r="BVJ225" s="716"/>
      <c r="BVK225" s="716"/>
      <c r="BVL225" s="716"/>
      <c r="BVM225" s="716"/>
      <c r="BVN225" s="717"/>
      <c r="BVO225" s="715"/>
      <c r="BVP225" s="716"/>
      <c r="BVQ225" s="716"/>
      <c r="BVR225" s="716"/>
      <c r="BVS225" s="716"/>
      <c r="BVT225" s="717"/>
      <c r="BVU225" s="715"/>
      <c r="BVV225" s="716"/>
      <c r="BVW225" s="716"/>
      <c r="BVX225" s="716"/>
      <c r="BVY225" s="716"/>
      <c r="BVZ225" s="717"/>
      <c r="BWA225" s="715"/>
      <c r="BWB225" s="716"/>
      <c r="BWC225" s="716"/>
      <c r="BWD225" s="716"/>
      <c r="BWE225" s="716"/>
      <c r="BWF225" s="717"/>
      <c r="BWG225" s="715"/>
      <c r="BWH225" s="716"/>
      <c r="BWI225" s="716"/>
      <c r="BWJ225" s="716"/>
      <c r="BWK225" s="716"/>
      <c r="BWL225" s="717"/>
      <c r="BWM225" s="715"/>
      <c r="BWN225" s="716"/>
      <c r="BWO225" s="716"/>
      <c r="BWP225" s="716"/>
      <c r="BWQ225" s="716"/>
      <c r="BWR225" s="717"/>
      <c r="BWS225" s="715"/>
      <c r="BWT225" s="716"/>
      <c r="BWU225" s="716"/>
      <c r="BWV225" s="716"/>
      <c r="BWW225" s="716"/>
      <c r="BWX225" s="717"/>
      <c r="BWY225" s="715"/>
      <c r="BWZ225" s="716"/>
      <c r="BXA225" s="716"/>
      <c r="BXB225" s="716"/>
      <c r="BXC225" s="716"/>
      <c r="BXD225" s="717"/>
      <c r="BXE225" s="715"/>
      <c r="BXF225" s="716"/>
      <c r="BXG225" s="716"/>
      <c r="BXH225" s="716"/>
      <c r="BXI225" s="716"/>
      <c r="BXJ225" s="717"/>
      <c r="BXK225" s="715"/>
      <c r="BXL225" s="716"/>
      <c r="BXM225" s="716"/>
      <c r="BXN225" s="716"/>
      <c r="BXO225" s="716"/>
      <c r="BXP225" s="717"/>
      <c r="BXQ225" s="715"/>
      <c r="BXR225" s="716"/>
      <c r="BXS225" s="716"/>
      <c r="BXT225" s="716"/>
      <c r="BXU225" s="716"/>
      <c r="BXV225" s="717"/>
      <c r="BXW225" s="715"/>
      <c r="BXX225" s="716"/>
      <c r="BXY225" s="716"/>
      <c r="BXZ225" s="716"/>
      <c r="BYA225" s="716"/>
      <c r="BYB225" s="717"/>
      <c r="BYC225" s="715"/>
      <c r="BYD225" s="716"/>
      <c r="BYE225" s="716"/>
      <c r="BYF225" s="716"/>
      <c r="BYG225" s="716"/>
      <c r="BYH225" s="717"/>
      <c r="BYI225" s="715"/>
      <c r="BYJ225" s="716"/>
      <c r="BYK225" s="716"/>
      <c r="BYL225" s="716"/>
      <c r="BYM225" s="716"/>
      <c r="BYN225" s="717"/>
      <c r="BYO225" s="715"/>
      <c r="BYP225" s="716"/>
      <c r="BYQ225" s="716"/>
      <c r="BYR225" s="716"/>
      <c r="BYS225" s="716"/>
      <c r="BYT225" s="717"/>
      <c r="BYU225" s="715"/>
      <c r="BYV225" s="716"/>
      <c r="BYW225" s="716"/>
      <c r="BYX225" s="716"/>
      <c r="BYY225" s="716"/>
      <c r="BYZ225" s="717"/>
      <c r="BZA225" s="715"/>
      <c r="BZB225" s="716"/>
      <c r="BZC225" s="716"/>
      <c r="BZD225" s="716"/>
      <c r="BZE225" s="716"/>
      <c r="BZF225" s="717"/>
      <c r="BZG225" s="715"/>
      <c r="BZH225" s="716"/>
      <c r="BZI225" s="716"/>
      <c r="BZJ225" s="716"/>
      <c r="BZK225" s="716"/>
      <c r="BZL225" s="717"/>
      <c r="BZM225" s="715"/>
      <c r="BZN225" s="716"/>
      <c r="BZO225" s="716"/>
      <c r="BZP225" s="716"/>
      <c r="BZQ225" s="716"/>
      <c r="BZR225" s="717"/>
      <c r="BZS225" s="715"/>
      <c r="BZT225" s="716"/>
      <c r="BZU225" s="716"/>
      <c r="BZV225" s="716"/>
      <c r="BZW225" s="716"/>
      <c r="BZX225" s="717"/>
      <c r="BZY225" s="715"/>
      <c r="BZZ225" s="716"/>
      <c r="CAA225" s="716"/>
      <c r="CAB225" s="716"/>
      <c r="CAC225" s="716"/>
      <c r="CAD225" s="717"/>
      <c r="CAE225" s="715"/>
      <c r="CAF225" s="716"/>
      <c r="CAG225" s="716"/>
      <c r="CAH225" s="716"/>
      <c r="CAI225" s="716"/>
      <c r="CAJ225" s="717"/>
      <c r="CAK225" s="715"/>
      <c r="CAL225" s="716"/>
      <c r="CAM225" s="716"/>
      <c r="CAN225" s="716"/>
      <c r="CAO225" s="716"/>
      <c r="CAP225" s="717"/>
      <c r="CAQ225" s="715"/>
      <c r="CAR225" s="716"/>
      <c r="CAS225" s="716"/>
      <c r="CAT225" s="716"/>
      <c r="CAU225" s="716"/>
      <c r="CAV225" s="717"/>
      <c r="CAW225" s="715"/>
      <c r="CAX225" s="716"/>
      <c r="CAY225" s="716"/>
      <c r="CAZ225" s="716"/>
      <c r="CBA225" s="716"/>
      <c r="CBB225" s="717"/>
      <c r="CBC225" s="715"/>
      <c r="CBD225" s="716"/>
      <c r="CBE225" s="716"/>
      <c r="CBF225" s="716"/>
      <c r="CBG225" s="716"/>
      <c r="CBH225" s="717"/>
      <c r="CBI225" s="715"/>
      <c r="CBJ225" s="716"/>
      <c r="CBK225" s="716"/>
      <c r="CBL225" s="716"/>
      <c r="CBM225" s="716"/>
      <c r="CBN225" s="717"/>
      <c r="CBO225" s="715"/>
      <c r="CBP225" s="716"/>
      <c r="CBQ225" s="716"/>
      <c r="CBR225" s="716"/>
      <c r="CBS225" s="716"/>
      <c r="CBT225" s="717"/>
      <c r="CBU225" s="715"/>
      <c r="CBV225" s="716"/>
      <c r="CBW225" s="716"/>
      <c r="CBX225" s="716"/>
      <c r="CBY225" s="716"/>
      <c r="CBZ225" s="717"/>
      <c r="CCA225" s="715"/>
      <c r="CCB225" s="716"/>
      <c r="CCC225" s="716"/>
      <c r="CCD225" s="716"/>
      <c r="CCE225" s="716"/>
      <c r="CCF225" s="717"/>
      <c r="CCG225" s="715"/>
      <c r="CCH225" s="716"/>
      <c r="CCI225" s="716"/>
      <c r="CCJ225" s="716"/>
      <c r="CCK225" s="716"/>
      <c r="CCL225" s="717"/>
      <c r="CCM225" s="715"/>
      <c r="CCN225" s="716"/>
      <c r="CCO225" s="716"/>
      <c r="CCP225" s="716"/>
      <c r="CCQ225" s="716"/>
      <c r="CCR225" s="717"/>
      <c r="CCS225" s="715"/>
      <c r="CCT225" s="716"/>
      <c r="CCU225" s="716"/>
      <c r="CCV225" s="716"/>
      <c r="CCW225" s="716"/>
      <c r="CCX225" s="717"/>
      <c r="CCY225" s="715"/>
      <c r="CCZ225" s="716"/>
      <c r="CDA225" s="716"/>
      <c r="CDB225" s="716"/>
      <c r="CDC225" s="716"/>
      <c r="CDD225" s="717"/>
      <c r="CDE225" s="715"/>
      <c r="CDF225" s="716"/>
      <c r="CDG225" s="716"/>
      <c r="CDH225" s="716"/>
      <c r="CDI225" s="716"/>
      <c r="CDJ225" s="717"/>
      <c r="CDK225" s="715"/>
      <c r="CDL225" s="716"/>
      <c r="CDM225" s="716"/>
      <c r="CDN225" s="716"/>
      <c r="CDO225" s="716"/>
      <c r="CDP225" s="717"/>
      <c r="CDQ225" s="715"/>
      <c r="CDR225" s="716"/>
      <c r="CDS225" s="716"/>
      <c r="CDT225" s="716"/>
      <c r="CDU225" s="716"/>
      <c r="CDV225" s="717"/>
      <c r="CDW225" s="715"/>
      <c r="CDX225" s="716"/>
      <c r="CDY225" s="716"/>
      <c r="CDZ225" s="716"/>
      <c r="CEA225" s="716"/>
      <c r="CEB225" s="717"/>
      <c r="CEC225" s="715"/>
      <c r="CED225" s="716"/>
      <c r="CEE225" s="716"/>
      <c r="CEF225" s="716"/>
      <c r="CEG225" s="716"/>
      <c r="CEH225" s="717"/>
      <c r="CEI225" s="715"/>
      <c r="CEJ225" s="716"/>
      <c r="CEK225" s="716"/>
      <c r="CEL225" s="716"/>
      <c r="CEM225" s="716"/>
      <c r="CEN225" s="717"/>
      <c r="CEO225" s="715"/>
      <c r="CEP225" s="716"/>
      <c r="CEQ225" s="716"/>
      <c r="CER225" s="716"/>
      <c r="CES225" s="716"/>
      <c r="CET225" s="717"/>
      <c r="CEU225" s="715"/>
      <c r="CEV225" s="716"/>
      <c r="CEW225" s="716"/>
      <c r="CEX225" s="716"/>
      <c r="CEY225" s="716"/>
      <c r="CEZ225" s="717"/>
      <c r="CFA225" s="715"/>
      <c r="CFB225" s="716"/>
      <c r="CFC225" s="716"/>
      <c r="CFD225" s="716"/>
      <c r="CFE225" s="716"/>
      <c r="CFF225" s="717"/>
      <c r="CFG225" s="715"/>
      <c r="CFH225" s="716"/>
      <c r="CFI225" s="716"/>
      <c r="CFJ225" s="716"/>
      <c r="CFK225" s="716"/>
      <c r="CFL225" s="717"/>
      <c r="CFM225" s="715"/>
      <c r="CFN225" s="716"/>
      <c r="CFO225" s="716"/>
      <c r="CFP225" s="716"/>
      <c r="CFQ225" s="716"/>
      <c r="CFR225" s="717"/>
      <c r="CFS225" s="715"/>
      <c r="CFT225" s="716"/>
      <c r="CFU225" s="716"/>
      <c r="CFV225" s="716"/>
      <c r="CFW225" s="716"/>
      <c r="CFX225" s="717"/>
      <c r="CFY225" s="715"/>
      <c r="CFZ225" s="716"/>
      <c r="CGA225" s="716"/>
      <c r="CGB225" s="716"/>
      <c r="CGC225" s="716"/>
      <c r="CGD225" s="717"/>
      <c r="CGE225" s="715"/>
      <c r="CGF225" s="716"/>
      <c r="CGG225" s="716"/>
      <c r="CGH225" s="716"/>
      <c r="CGI225" s="716"/>
      <c r="CGJ225" s="717"/>
      <c r="CGK225" s="715"/>
      <c r="CGL225" s="716"/>
      <c r="CGM225" s="716"/>
      <c r="CGN225" s="716"/>
      <c r="CGO225" s="716"/>
      <c r="CGP225" s="717"/>
      <c r="CGQ225" s="715"/>
      <c r="CGR225" s="716"/>
      <c r="CGS225" s="716"/>
      <c r="CGT225" s="716"/>
      <c r="CGU225" s="716"/>
      <c r="CGV225" s="717"/>
      <c r="CGW225" s="715"/>
      <c r="CGX225" s="716"/>
      <c r="CGY225" s="716"/>
      <c r="CGZ225" s="716"/>
      <c r="CHA225" s="716"/>
      <c r="CHB225" s="717"/>
      <c r="CHC225" s="715"/>
      <c r="CHD225" s="716"/>
      <c r="CHE225" s="716"/>
      <c r="CHF225" s="716"/>
      <c r="CHG225" s="716"/>
      <c r="CHH225" s="717"/>
      <c r="CHI225" s="715"/>
      <c r="CHJ225" s="716"/>
      <c r="CHK225" s="716"/>
      <c r="CHL225" s="716"/>
      <c r="CHM225" s="716"/>
      <c r="CHN225" s="717"/>
      <c r="CHO225" s="715"/>
      <c r="CHP225" s="716"/>
      <c r="CHQ225" s="716"/>
      <c r="CHR225" s="716"/>
      <c r="CHS225" s="716"/>
      <c r="CHT225" s="717"/>
      <c r="CHU225" s="715"/>
      <c r="CHV225" s="716"/>
      <c r="CHW225" s="716"/>
      <c r="CHX225" s="716"/>
      <c r="CHY225" s="716"/>
      <c r="CHZ225" s="717"/>
      <c r="CIA225" s="715"/>
      <c r="CIB225" s="716"/>
      <c r="CIC225" s="716"/>
      <c r="CID225" s="716"/>
      <c r="CIE225" s="716"/>
      <c r="CIF225" s="717"/>
      <c r="CIG225" s="715"/>
      <c r="CIH225" s="716"/>
      <c r="CII225" s="716"/>
      <c r="CIJ225" s="716"/>
      <c r="CIK225" s="716"/>
      <c r="CIL225" s="717"/>
      <c r="CIM225" s="715"/>
      <c r="CIN225" s="716"/>
      <c r="CIO225" s="716"/>
      <c r="CIP225" s="716"/>
      <c r="CIQ225" s="716"/>
      <c r="CIR225" s="717"/>
      <c r="CIS225" s="715"/>
      <c r="CIT225" s="716"/>
      <c r="CIU225" s="716"/>
      <c r="CIV225" s="716"/>
      <c r="CIW225" s="716"/>
      <c r="CIX225" s="717"/>
      <c r="CIY225" s="715"/>
      <c r="CIZ225" s="716"/>
      <c r="CJA225" s="716"/>
      <c r="CJB225" s="716"/>
      <c r="CJC225" s="716"/>
      <c r="CJD225" s="717"/>
      <c r="CJE225" s="715"/>
      <c r="CJF225" s="716"/>
      <c r="CJG225" s="716"/>
      <c r="CJH225" s="716"/>
      <c r="CJI225" s="716"/>
      <c r="CJJ225" s="717"/>
      <c r="CJK225" s="715"/>
      <c r="CJL225" s="716"/>
      <c r="CJM225" s="716"/>
      <c r="CJN225" s="716"/>
      <c r="CJO225" s="716"/>
      <c r="CJP225" s="717"/>
      <c r="CJQ225" s="715"/>
      <c r="CJR225" s="716"/>
      <c r="CJS225" s="716"/>
      <c r="CJT225" s="716"/>
      <c r="CJU225" s="716"/>
      <c r="CJV225" s="717"/>
      <c r="CJW225" s="715"/>
      <c r="CJX225" s="716"/>
      <c r="CJY225" s="716"/>
      <c r="CJZ225" s="716"/>
      <c r="CKA225" s="716"/>
      <c r="CKB225" s="717"/>
      <c r="CKC225" s="715"/>
      <c r="CKD225" s="716"/>
      <c r="CKE225" s="716"/>
      <c r="CKF225" s="716"/>
      <c r="CKG225" s="716"/>
      <c r="CKH225" s="717"/>
      <c r="CKI225" s="715"/>
      <c r="CKJ225" s="716"/>
      <c r="CKK225" s="716"/>
      <c r="CKL225" s="716"/>
      <c r="CKM225" s="716"/>
      <c r="CKN225" s="717"/>
      <c r="CKO225" s="715"/>
      <c r="CKP225" s="716"/>
      <c r="CKQ225" s="716"/>
      <c r="CKR225" s="716"/>
      <c r="CKS225" s="716"/>
      <c r="CKT225" s="717"/>
      <c r="CKU225" s="715"/>
      <c r="CKV225" s="716"/>
      <c r="CKW225" s="716"/>
      <c r="CKX225" s="716"/>
      <c r="CKY225" s="716"/>
      <c r="CKZ225" s="717"/>
      <c r="CLA225" s="715"/>
      <c r="CLB225" s="716"/>
      <c r="CLC225" s="716"/>
      <c r="CLD225" s="716"/>
      <c r="CLE225" s="716"/>
      <c r="CLF225" s="717"/>
      <c r="CLG225" s="715"/>
      <c r="CLH225" s="716"/>
      <c r="CLI225" s="716"/>
      <c r="CLJ225" s="716"/>
      <c r="CLK225" s="716"/>
      <c r="CLL225" s="717"/>
      <c r="CLM225" s="715"/>
      <c r="CLN225" s="716"/>
      <c r="CLO225" s="716"/>
      <c r="CLP225" s="716"/>
      <c r="CLQ225" s="716"/>
      <c r="CLR225" s="717"/>
      <c r="CLS225" s="715"/>
      <c r="CLT225" s="716"/>
      <c r="CLU225" s="716"/>
      <c r="CLV225" s="716"/>
      <c r="CLW225" s="716"/>
      <c r="CLX225" s="717"/>
      <c r="CLY225" s="715"/>
      <c r="CLZ225" s="716"/>
      <c r="CMA225" s="716"/>
      <c r="CMB225" s="716"/>
      <c r="CMC225" s="716"/>
      <c r="CMD225" s="717"/>
      <c r="CME225" s="715"/>
      <c r="CMF225" s="716"/>
      <c r="CMG225" s="716"/>
      <c r="CMH225" s="716"/>
      <c r="CMI225" s="716"/>
      <c r="CMJ225" s="717"/>
      <c r="CMK225" s="715"/>
      <c r="CML225" s="716"/>
      <c r="CMM225" s="716"/>
      <c r="CMN225" s="716"/>
      <c r="CMO225" s="716"/>
      <c r="CMP225" s="717"/>
      <c r="CMQ225" s="715"/>
      <c r="CMR225" s="716"/>
      <c r="CMS225" s="716"/>
      <c r="CMT225" s="716"/>
      <c r="CMU225" s="716"/>
      <c r="CMV225" s="717"/>
      <c r="CMW225" s="715"/>
      <c r="CMX225" s="716"/>
      <c r="CMY225" s="716"/>
      <c r="CMZ225" s="716"/>
      <c r="CNA225" s="716"/>
      <c r="CNB225" s="717"/>
      <c r="CNC225" s="715"/>
      <c r="CND225" s="716"/>
      <c r="CNE225" s="716"/>
      <c r="CNF225" s="716"/>
      <c r="CNG225" s="716"/>
      <c r="CNH225" s="717"/>
      <c r="CNI225" s="715"/>
      <c r="CNJ225" s="716"/>
      <c r="CNK225" s="716"/>
      <c r="CNL225" s="716"/>
      <c r="CNM225" s="716"/>
      <c r="CNN225" s="717"/>
      <c r="CNO225" s="715"/>
      <c r="CNP225" s="716"/>
      <c r="CNQ225" s="716"/>
      <c r="CNR225" s="716"/>
      <c r="CNS225" s="716"/>
      <c r="CNT225" s="717"/>
      <c r="CNU225" s="715"/>
      <c r="CNV225" s="716"/>
      <c r="CNW225" s="716"/>
      <c r="CNX225" s="716"/>
      <c r="CNY225" s="716"/>
      <c r="CNZ225" s="717"/>
      <c r="COA225" s="715"/>
      <c r="COB225" s="716"/>
      <c r="COC225" s="716"/>
      <c r="COD225" s="716"/>
      <c r="COE225" s="716"/>
      <c r="COF225" s="717"/>
      <c r="COG225" s="715"/>
      <c r="COH225" s="716"/>
      <c r="COI225" s="716"/>
      <c r="COJ225" s="716"/>
      <c r="COK225" s="716"/>
      <c r="COL225" s="717"/>
      <c r="COM225" s="715"/>
      <c r="CON225" s="716"/>
      <c r="COO225" s="716"/>
      <c r="COP225" s="716"/>
      <c r="COQ225" s="716"/>
      <c r="COR225" s="717"/>
      <c r="COS225" s="715"/>
      <c r="COT225" s="716"/>
      <c r="COU225" s="716"/>
      <c r="COV225" s="716"/>
      <c r="COW225" s="716"/>
      <c r="COX225" s="717"/>
      <c r="COY225" s="715"/>
      <c r="COZ225" s="716"/>
      <c r="CPA225" s="716"/>
      <c r="CPB225" s="716"/>
      <c r="CPC225" s="716"/>
      <c r="CPD225" s="717"/>
      <c r="CPE225" s="715"/>
      <c r="CPF225" s="716"/>
      <c r="CPG225" s="716"/>
      <c r="CPH225" s="716"/>
      <c r="CPI225" s="716"/>
      <c r="CPJ225" s="717"/>
      <c r="CPK225" s="715"/>
      <c r="CPL225" s="716"/>
      <c r="CPM225" s="716"/>
      <c r="CPN225" s="716"/>
      <c r="CPO225" s="716"/>
      <c r="CPP225" s="717"/>
      <c r="CPQ225" s="715"/>
      <c r="CPR225" s="716"/>
      <c r="CPS225" s="716"/>
      <c r="CPT225" s="716"/>
      <c r="CPU225" s="716"/>
      <c r="CPV225" s="717"/>
      <c r="CPW225" s="715"/>
      <c r="CPX225" s="716"/>
      <c r="CPY225" s="716"/>
      <c r="CPZ225" s="716"/>
      <c r="CQA225" s="716"/>
      <c r="CQB225" s="717"/>
      <c r="CQC225" s="715"/>
      <c r="CQD225" s="716"/>
      <c r="CQE225" s="716"/>
      <c r="CQF225" s="716"/>
      <c r="CQG225" s="716"/>
      <c r="CQH225" s="717"/>
      <c r="CQI225" s="715"/>
      <c r="CQJ225" s="716"/>
      <c r="CQK225" s="716"/>
      <c r="CQL225" s="716"/>
      <c r="CQM225" s="716"/>
      <c r="CQN225" s="717"/>
      <c r="CQO225" s="715"/>
      <c r="CQP225" s="716"/>
      <c r="CQQ225" s="716"/>
      <c r="CQR225" s="716"/>
      <c r="CQS225" s="716"/>
      <c r="CQT225" s="717"/>
      <c r="CQU225" s="715"/>
      <c r="CQV225" s="716"/>
      <c r="CQW225" s="716"/>
      <c r="CQX225" s="716"/>
      <c r="CQY225" s="716"/>
      <c r="CQZ225" s="717"/>
      <c r="CRA225" s="715"/>
      <c r="CRB225" s="716"/>
      <c r="CRC225" s="716"/>
      <c r="CRD225" s="716"/>
      <c r="CRE225" s="716"/>
      <c r="CRF225" s="717"/>
      <c r="CRG225" s="715"/>
      <c r="CRH225" s="716"/>
      <c r="CRI225" s="716"/>
      <c r="CRJ225" s="716"/>
      <c r="CRK225" s="716"/>
      <c r="CRL225" s="717"/>
      <c r="CRM225" s="715"/>
      <c r="CRN225" s="716"/>
      <c r="CRO225" s="716"/>
      <c r="CRP225" s="716"/>
      <c r="CRQ225" s="716"/>
      <c r="CRR225" s="717"/>
      <c r="CRS225" s="715"/>
      <c r="CRT225" s="716"/>
      <c r="CRU225" s="716"/>
      <c r="CRV225" s="716"/>
      <c r="CRW225" s="716"/>
      <c r="CRX225" s="717"/>
      <c r="CRY225" s="715"/>
      <c r="CRZ225" s="716"/>
      <c r="CSA225" s="716"/>
      <c r="CSB225" s="716"/>
      <c r="CSC225" s="716"/>
      <c r="CSD225" s="717"/>
      <c r="CSE225" s="715"/>
      <c r="CSF225" s="716"/>
      <c r="CSG225" s="716"/>
      <c r="CSH225" s="716"/>
      <c r="CSI225" s="716"/>
      <c r="CSJ225" s="717"/>
      <c r="CSK225" s="715"/>
      <c r="CSL225" s="716"/>
      <c r="CSM225" s="716"/>
      <c r="CSN225" s="716"/>
      <c r="CSO225" s="716"/>
      <c r="CSP225" s="717"/>
      <c r="CSQ225" s="715"/>
      <c r="CSR225" s="716"/>
      <c r="CSS225" s="716"/>
      <c r="CST225" s="716"/>
      <c r="CSU225" s="716"/>
      <c r="CSV225" s="717"/>
      <c r="CSW225" s="715"/>
      <c r="CSX225" s="716"/>
      <c r="CSY225" s="716"/>
      <c r="CSZ225" s="716"/>
      <c r="CTA225" s="716"/>
      <c r="CTB225" s="717"/>
      <c r="CTC225" s="715"/>
      <c r="CTD225" s="716"/>
      <c r="CTE225" s="716"/>
      <c r="CTF225" s="716"/>
      <c r="CTG225" s="716"/>
      <c r="CTH225" s="717"/>
      <c r="CTI225" s="715"/>
      <c r="CTJ225" s="716"/>
      <c r="CTK225" s="716"/>
      <c r="CTL225" s="716"/>
      <c r="CTM225" s="716"/>
      <c r="CTN225" s="717"/>
      <c r="CTO225" s="715"/>
      <c r="CTP225" s="716"/>
      <c r="CTQ225" s="716"/>
      <c r="CTR225" s="716"/>
      <c r="CTS225" s="716"/>
      <c r="CTT225" s="717"/>
      <c r="CTU225" s="715"/>
      <c r="CTV225" s="716"/>
      <c r="CTW225" s="716"/>
      <c r="CTX225" s="716"/>
      <c r="CTY225" s="716"/>
      <c r="CTZ225" s="717"/>
      <c r="CUA225" s="715"/>
      <c r="CUB225" s="716"/>
      <c r="CUC225" s="716"/>
      <c r="CUD225" s="716"/>
      <c r="CUE225" s="716"/>
      <c r="CUF225" s="717"/>
      <c r="CUG225" s="715"/>
      <c r="CUH225" s="716"/>
      <c r="CUI225" s="716"/>
      <c r="CUJ225" s="716"/>
      <c r="CUK225" s="716"/>
      <c r="CUL225" s="717"/>
      <c r="CUM225" s="715"/>
      <c r="CUN225" s="716"/>
      <c r="CUO225" s="716"/>
      <c r="CUP225" s="716"/>
      <c r="CUQ225" s="716"/>
      <c r="CUR225" s="717"/>
      <c r="CUS225" s="715"/>
      <c r="CUT225" s="716"/>
      <c r="CUU225" s="716"/>
      <c r="CUV225" s="716"/>
      <c r="CUW225" s="716"/>
      <c r="CUX225" s="717"/>
      <c r="CUY225" s="715"/>
      <c r="CUZ225" s="716"/>
      <c r="CVA225" s="716"/>
      <c r="CVB225" s="716"/>
      <c r="CVC225" s="716"/>
      <c r="CVD225" s="717"/>
      <c r="CVE225" s="715"/>
      <c r="CVF225" s="716"/>
      <c r="CVG225" s="716"/>
      <c r="CVH225" s="716"/>
      <c r="CVI225" s="716"/>
      <c r="CVJ225" s="717"/>
      <c r="CVK225" s="715"/>
      <c r="CVL225" s="716"/>
      <c r="CVM225" s="716"/>
      <c r="CVN225" s="716"/>
      <c r="CVO225" s="716"/>
      <c r="CVP225" s="717"/>
      <c r="CVQ225" s="715"/>
      <c r="CVR225" s="716"/>
      <c r="CVS225" s="716"/>
      <c r="CVT225" s="716"/>
      <c r="CVU225" s="716"/>
      <c r="CVV225" s="717"/>
      <c r="CVW225" s="715"/>
      <c r="CVX225" s="716"/>
      <c r="CVY225" s="716"/>
      <c r="CVZ225" s="716"/>
      <c r="CWA225" s="716"/>
      <c r="CWB225" s="717"/>
      <c r="CWC225" s="715"/>
      <c r="CWD225" s="716"/>
      <c r="CWE225" s="716"/>
      <c r="CWF225" s="716"/>
      <c r="CWG225" s="716"/>
      <c r="CWH225" s="717"/>
      <c r="CWI225" s="715"/>
      <c r="CWJ225" s="716"/>
      <c r="CWK225" s="716"/>
      <c r="CWL225" s="716"/>
      <c r="CWM225" s="716"/>
      <c r="CWN225" s="717"/>
      <c r="CWO225" s="715"/>
      <c r="CWP225" s="716"/>
      <c r="CWQ225" s="716"/>
      <c r="CWR225" s="716"/>
      <c r="CWS225" s="716"/>
      <c r="CWT225" s="717"/>
      <c r="CWU225" s="715"/>
      <c r="CWV225" s="716"/>
      <c r="CWW225" s="716"/>
      <c r="CWX225" s="716"/>
      <c r="CWY225" s="716"/>
      <c r="CWZ225" s="717"/>
      <c r="CXA225" s="715"/>
      <c r="CXB225" s="716"/>
      <c r="CXC225" s="716"/>
      <c r="CXD225" s="716"/>
      <c r="CXE225" s="716"/>
      <c r="CXF225" s="717"/>
      <c r="CXG225" s="715"/>
      <c r="CXH225" s="716"/>
      <c r="CXI225" s="716"/>
      <c r="CXJ225" s="716"/>
      <c r="CXK225" s="716"/>
      <c r="CXL225" s="717"/>
      <c r="CXM225" s="715"/>
      <c r="CXN225" s="716"/>
      <c r="CXO225" s="716"/>
      <c r="CXP225" s="716"/>
      <c r="CXQ225" s="716"/>
      <c r="CXR225" s="717"/>
      <c r="CXS225" s="715"/>
      <c r="CXT225" s="716"/>
      <c r="CXU225" s="716"/>
      <c r="CXV225" s="716"/>
      <c r="CXW225" s="716"/>
      <c r="CXX225" s="717"/>
      <c r="CXY225" s="715"/>
      <c r="CXZ225" s="716"/>
      <c r="CYA225" s="716"/>
      <c r="CYB225" s="716"/>
      <c r="CYC225" s="716"/>
      <c r="CYD225" s="717"/>
      <c r="CYE225" s="715"/>
      <c r="CYF225" s="716"/>
      <c r="CYG225" s="716"/>
      <c r="CYH225" s="716"/>
      <c r="CYI225" s="716"/>
      <c r="CYJ225" s="717"/>
      <c r="CYK225" s="715"/>
      <c r="CYL225" s="716"/>
      <c r="CYM225" s="716"/>
      <c r="CYN225" s="716"/>
      <c r="CYO225" s="716"/>
      <c r="CYP225" s="717"/>
      <c r="CYQ225" s="715"/>
      <c r="CYR225" s="716"/>
      <c r="CYS225" s="716"/>
      <c r="CYT225" s="716"/>
      <c r="CYU225" s="716"/>
      <c r="CYV225" s="717"/>
      <c r="CYW225" s="715"/>
      <c r="CYX225" s="716"/>
      <c r="CYY225" s="716"/>
      <c r="CYZ225" s="716"/>
      <c r="CZA225" s="716"/>
      <c r="CZB225" s="717"/>
      <c r="CZC225" s="715"/>
      <c r="CZD225" s="716"/>
      <c r="CZE225" s="716"/>
      <c r="CZF225" s="716"/>
      <c r="CZG225" s="716"/>
      <c r="CZH225" s="717"/>
      <c r="CZI225" s="715"/>
      <c r="CZJ225" s="716"/>
      <c r="CZK225" s="716"/>
      <c r="CZL225" s="716"/>
      <c r="CZM225" s="716"/>
      <c r="CZN225" s="717"/>
      <c r="CZO225" s="715"/>
      <c r="CZP225" s="716"/>
      <c r="CZQ225" s="716"/>
      <c r="CZR225" s="716"/>
      <c r="CZS225" s="716"/>
      <c r="CZT225" s="717"/>
      <c r="CZU225" s="715"/>
      <c r="CZV225" s="716"/>
      <c r="CZW225" s="716"/>
      <c r="CZX225" s="716"/>
      <c r="CZY225" s="716"/>
      <c r="CZZ225" s="717"/>
      <c r="DAA225" s="715"/>
      <c r="DAB225" s="716"/>
      <c r="DAC225" s="716"/>
      <c r="DAD225" s="716"/>
      <c r="DAE225" s="716"/>
      <c r="DAF225" s="717"/>
      <c r="DAG225" s="715"/>
      <c r="DAH225" s="716"/>
      <c r="DAI225" s="716"/>
      <c r="DAJ225" s="716"/>
      <c r="DAK225" s="716"/>
      <c r="DAL225" s="717"/>
      <c r="DAM225" s="715"/>
      <c r="DAN225" s="716"/>
      <c r="DAO225" s="716"/>
      <c r="DAP225" s="716"/>
      <c r="DAQ225" s="716"/>
      <c r="DAR225" s="717"/>
      <c r="DAS225" s="715"/>
      <c r="DAT225" s="716"/>
      <c r="DAU225" s="716"/>
      <c r="DAV225" s="716"/>
      <c r="DAW225" s="716"/>
      <c r="DAX225" s="717"/>
      <c r="DAY225" s="715"/>
      <c r="DAZ225" s="716"/>
      <c r="DBA225" s="716"/>
      <c r="DBB225" s="716"/>
      <c r="DBC225" s="716"/>
      <c r="DBD225" s="717"/>
      <c r="DBE225" s="715"/>
      <c r="DBF225" s="716"/>
      <c r="DBG225" s="716"/>
      <c r="DBH225" s="716"/>
      <c r="DBI225" s="716"/>
      <c r="DBJ225" s="717"/>
      <c r="DBK225" s="715"/>
      <c r="DBL225" s="716"/>
      <c r="DBM225" s="716"/>
      <c r="DBN225" s="716"/>
      <c r="DBO225" s="716"/>
      <c r="DBP225" s="717"/>
      <c r="DBQ225" s="715"/>
      <c r="DBR225" s="716"/>
      <c r="DBS225" s="716"/>
      <c r="DBT225" s="716"/>
      <c r="DBU225" s="716"/>
      <c r="DBV225" s="717"/>
      <c r="DBW225" s="715"/>
      <c r="DBX225" s="716"/>
      <c r="DBY225" s="716"/>
      <c r="DBZ225" s="716"/>
      <c r="DCA225" s="716"/>
      <c r="DCB225" s="717"/>
      <c r="DCC225" s="715"/>
      <c r="DCD225" s="716"/>
      <c r="DCE225" s="716"/>
      <c r="DCF225" s="716"/>
      <c r="DCG225" s="716"/>
      <c r="DCH225" s="717"/>
      <c r="DCI225" s="715"/>
      <c r="DCJ225" s="716"/>
      <c r="DCK225" s="716"/>
      <c r="DCL225" s="716"/>
      <c r="DCM225" s="716"/>
      <c r="DCN225" s="717"/>
      <c r="DCO225" s="715"/>
      <c r="DCP225" s="716"/>
      <c r="DCQ225" s="716"/>
      <c r="DCR225" s="716"/>
      <c r="DCS225" s="716"/>
      <c r="DCT225" s="717"/>
      <c r="DCU225" s="715"/>
      <c r="DCV225" s="716"/>
      <c r="DCW225" s="716"/>
      <c r="DCX225" s="716"/>
      <c r="DCY225" s="716"/>
      <c r="DCZ225" s="717"/>
      <c r="DDA225" s="715"/>
      <c r="DDB225" s="716"/>
      <c r="DDC225" s="716"/>
      <c r="DDD225" s="716"/>
      <c r="DDE225" s="716"/>
      <c r="DDF225" s="717"/>
      <c r="DDG225" s="715"/>
      <c r="DDH225" s="716"/>
      <c r="DDI225" s="716"/>
      <c r="DDJ225" s="716"/>
      <c r="DDK225" s="716"/>
      <c r="DDL225" s="717"/>
      <c r="DDM225" s="715"/>
      <c r="DDN225" s="716"/>
      <c r="DDO225" s="716"/>
      <c r="DDP225" s="716"/>
      <c r="DDQ225" s="716"/>
      <c r="DDR225" s="717"/>
      <c r="DDS225" s="715"/>
      <c r="DDT225" s="716"/>
      <c r="DDU225" s="716"/>
      <c r="DDV225" s="716"/>
      <c r="DDW225" s="716"/>
      <c r="DDX225" s="717"/>
      <c r="DDY225" s="715"/>
      <c r="DDZ225" s="716"/>
      <c r="DEA225" s="716"/>
      <c r="DEB225" s="716"/>
      <c r="DEC225" s="716"/>
      <c r="DED225" s="717"/>
      <c r="DEE225" s="715"/>
      <c r="DEF225" s="716"/>
      <c r="DEG225" s="716"/>
      <c r="DEH225" s="716"/>
      <c r="DEI225" s="716"/>
      <c r="DEJ225" s="717"/>
      <c r="DEK225" s="715"/>
      <c r="DEL225" s="716"/>
      <c r="DEM225" s="716"/>
      <c r="DEN225" s="716"/>
      <c r="DEO225" s="716"/>
      <c r="DEP225" s="717"/>
      <c r="DEQ225" s="715"/>
      <c r="DER225" s="716"/>
      <c r="DES225" s="716"/>
      <c r="DET225" s="716"/>
      <c r="DEU225" s="716"/>
      <c r="DEV225" s="717"/>
      <c r="DEW225" s="715"/>
      <c r="DEX225" s="716"/>
      <c r="DEY225" s="716"/>
      <c r="DEZ225" s="716"/>
      <c r="DFA225" s="716"/>
      <c r="DFB225" s="717"/>
      <c r="DFC225" s="715"/>
      <c r="DFD225" s="716"/>
      <c r="DFE225" s="716"/>
      <c r="DFF225" s="716"/>
      <c r="DFG225" s="716"/>
      <c r="DFH225" s="717"/>
      <c r="DFI225" s="715"/>
      <c r="DFJ225" s="716"/>
      <c r="DFK225" s="716"/>
      <c r="DFL225" s="716"/>
      <c r="DFM225" s="716"/>
      <c r="DFN225" s="717"/>
      <c r="DFO225" s="715"/>
      <c r="DFP225" s="716"/>
      <c r="DFQ225" s="716"/>
      <c r="DFR225" s="716"/>
      <c r="DFS225" s="716"/>
      <c r="DFT225" s="717"/>
      <c r="DFU225" s="715"/>
      <c r="DFV225" s="716"/>
      <c r="DFW225" s="716"/>
      <c r="DFX225" s="716"/>
      <c r="DFY225" s="716"/>
      <c r="DFZ225" s="717"/>
      <c r="DGA225" s="715"/>
      <c r="DGB225" s="716"/>
      <c r="DGC225" s="716"/>
      <c r="DGD225" s="716"/>
      <c r="DGE225" s="716"/>
      <c r="DGF225" s="717"/>
      <c r="DGG225" s="715"/>
      <c r="DGH225" s="716"/>
      <c r="DGI225" s="716"/>
      <c r="DGJ225" s="716"/>
      <c r="DGK225" s="716"/>
      <c r="DGL225" s="717"/>
      <c r="DGM225" s="715"/>
      <c r="DGN225" s="716"/>
      <c r="DGO225" s="716"/>
      <c r="DGP225" s="716"/>
      <c r="DGQ225" s="716"/>
      <c r="DGR225" s="717"/>
      <c r="DGS225" s="715"/>
      <c r="DGT225" s="716"/>
      <c r="DGU225" s="716"/>
      <c r="DGV225" s="716"/>
      <c r="DGW225" s="716"/>
      <c r="DGX225" s="717"/>
      <c r="DGY225" s="715"/>
      <c r="DGZ225" s="716"/>
      <c r="DHA225" s="716"/>
      <c r="DHB225" s="716"/>
      <c r="DHC225" s="716"/>
      <c r="DHD225" s="717"/>
      <c r="DHE225" s="715"/>
      <c r="DHF225" s="716"/>
      <c r="DHG225" s="716"/>
      <c r="DHH225" s="716"/>
      <c r="DHI225" s="716"/>
      <c r="DHJ225" s="717"/>
      <c r="DHK225" s="715"/>
      <c r="DHL225" s="716"/>
      <c r="DHM225" s="716"/>
      <c r="DHN225" s="716"/>
      <c r="DHO225" s="716"/>
      <c r="DHP225" s="717"/>
      <c r="DHQ225" s="715"/>
      <c r="DHR225" s="716"/>
      <c r="DHS225" s="716"/>
      <c r="DHT225" s="716"/>
      <c r="DHU225" s="716"/>
      <c r="DHV225" s="717"/>
      <c r="DHW225" s="715"/>
      <c r="DHX225" s="716"/>
      <c r="DHY225" s="716"/>
      <c r="DHZ225" s="716"/>
      <c r="DIA225" s="716"/>
      <c r="DIB225" s="717"/>
      <c r="DIC225" s="715"/>
      <c r="DID225" s="716"/>
      <c r="DIE225" s="716"/>
      <c r="DIF225" s="716"/>
      <c r="DIG225" s="716"/>
      <c r="DIH225" s="717"/>
      <c r="DII225" s="715"/>
      <c r="DIJ225" s="716"/>
      <c r="DIK225" s="716"/>
      <c r="DIL225" s="716"/>
      <c r="DIM225" s="716"/>
      <c r="DIN225" s="717"/>
      <c r="DIO225" s="715"/>
      <c r="DIP225" s="716"/>
      <c r="DIQ225" s="716"/>
      <c r="DIR225" s="716"/>
      <c r="DIS225" s="716"/>
      <c r="DIT225" s="717"/>
      <c r="DIU225" s="715"/>
      <c r="DIV225" s="716"/>
      <c r="DIW225" s="716"/>
      <c r="DIX225" s="716"/>
      <c r="DIY225" s="716"/>
      <c r="DIZ225" s="717"/>
      <c r="DJA225" s="715"/>
      <c r="DJB225" s="716"/>
      <c r="DJC225" s="716"/>
      <c r="DJD225" s="716"/>
      <c r="DJE225" s="716"/>
      <c r="DJF225" s="717"/>
      <c r="DJG225" s="715"/>
      <c r="DJH225" s="716"/>
      <c r="DJI225" s="716"/>
      <c r="DJJ225" s="716"/>
      <c r="DJK225" s="716"/>
      <c r="DJL225" s="717"/>
      <c r="DJM225" s="715"/>
      <c r="DJN225" s="716"/>
      <c r="DJO225" s="716"/>
      <c r="DJP225" s="716"/>
      <c r="DJQ225" s="716"/>
      <c r="DJR225" s="717"/>
      <c r="DJS225" s="715"/>
      <c r="DJT225" s="716"/>
      <c r="DJU225" s="716"/>
      <c r="DJV225" s="716"/>
      <c r="DJW225" s="716"/>
      <c r="DJX225" s="717"/>
      <c r="DJY225" s="715"/>
      <c r="DJZ225" s="716"/>
      <c r="DKA225" s="716"/>
      <c r="DKB225" s="716"/>
      <c r="DKC225" s="716"/>
      <c r="DKD225" s="717"/>
      <c r="DKE225" s="715"/>
      <c r="DKF225" s="716"/>
      <c r="DKG225" s="716"/>
      <c r="DKH225" s="716"/>
      <c r="DKI225" s="716"/>
      <c r="DKJ225" s="717"/>
      <c r="DKK225" s="715"/>
      <c r="DKL225" s="716"/>
      <c r="DKM225" s="716"/>
      <c r="DKN225" s="716"/>
      <c r="DKO225" s="716"/>
      <c r="DKP225" s="717"/>
      <c r="DKQ225" s="715"/>
      <c r="DKR225" s="716"/>
      <c r="DKS225" s="716"/>
      <c r="DKT225" s="716"/>
      <c r="DKU225" s="716"/>
      <c r="DKV225" s="717"/>
      <c r="DKW225" s="715"/>
      <c r="DKX225" s="716"/>
      <c r="DKY225" s="716"/>
      <c r="DKZ225" s="716"/>
      <c r="DLA225" s="716"/>
      <c r="DLB225" s="717"/>
      <c r="DLC225" s="715"/>
      <c r="DLD225" s="716"/>
      <c r="DLE225" s="716"/>
      <c r="DLF225" s="716"/>
      <c r="DLG225" s="716"/>
      <c r="DLH225" s="717"/>
      <c r="DLI225" s="715"/>
      <c r="DLJ225" s="716"/>
      <c r="DLK225" s="716"/>
      <c r="DLL225" s="716"/>
      <c r="DLM225" s="716"/>
      <c r="DLN225" s="717"/>
      <c r="DLO225" s="715"/>
      <c r="DLP225" s="716"/>
      <c r="DLQ225" s="716"/>
      <c r="DLR225" s="716"/>
      <c r="DLS225" s="716"/>
      <c r="DLT225" s="717"/>
      <c r="DLU225" s="715"/>
      <c r="DLV225" s="716"/>
      <c r="DLW225" s="716"/>
      <c r="DLX225" s="716"/>
      <c r="DLY225" s="716"/>
      <c r="DLZ225" s="717"/>
      <c r="DMA225" s="715"/>
      <c r="DMB225" s="716"/>
      <c r="DMC225" s="716"/>
      <c r="DMD225" s="716"/>
      <c r="DME225" s="716"/>
      <c r="DMF225" s="717"/>
      <c r="DMG225" s="715"/>
      <c r="DMH225" s="716"/>
      <c r="DMI225" s="716"/>
      <c r="DMJ225" s="716"/>
      <c r="DMK225" s="716"/>
      <c r="DML225" s="717"/>
      <c r="DMM225" s="715"/>
      <c r="DMN225" s="716"/>
      <c r="DMO225" s="716"/>
      <c r="DMP225" s="716"/>
      <c r="DMQ225" s="716"/>
      <c r="DMR225" s="717"/>
      <c r="DMS225" s="715"/>
      <c r="DMT225" s="716"/>
      <c r="DMU225" s="716"/>
      <c r="DMV225" s="716"/>
      <c r="DMW225" s="716"/>
      <c r="DMX225" s="717"/>
      <c r="DMY225" s="715"/>
      <c r="DMZ225" s="716"/>
      <c r="DNA225" s="716"/>
      <c r="DNB225" s="716"/>
      <c r="DNC225" s="716"/>
      <c r="DND225" s="717"/>
      <c r="DNE225" s="715"/>
      <c r="DNF225" s="716"/>
      <c r="DNG225" s="716"/>
      <c r="DNH225" s="716"/>
      <c r="DNI225" s="716"/>
      <c r="DNJ225" s="717"/>
      <c r="DNK225" s="715"/>
      <c r="DNL225" s="716"/>
      <c r="DNM225" s="716"/>
      <c r="DNN225" s="716"/>
      <c r="DNO225" s="716"/>
      <c r="DNP225" s="717"/>
      <c r="DNQ225" s="715"/>
      <c r="DNR225" s="716"/>
      <c r="DNS225" s="716"/>
      <c r="DNT225" s="716"/>
      <c r="DNU225" s="716"/>
      <c r="DNV225" s="717"/>
      <c r="DNW225" s="715"/>
      <c r="DNX225" s="716"/>
      <c r="DNY225" s="716"/>
      <c r="DNZ225" s="716"/>
      <c r="DOA225" s="716"/>
      <c r="DOB225" s="717"/>
      <c r="DOC225" s="715"/>
      <c r="DOD225" s="716"/>
      <c r="DOE225" s="716"/>
      <c r="DOF225" s="716"/>
      <c r="DOG225" s="716"/>
      <c r="DOH225" s="717"/>
      <c r="DOI225" s="715"/>
      <c r="DOJ225" s="716"/>
      <c r="DOK225" s="716"/>
      <c r="DOL225" s="716"/>
      <c r="DOM225" s="716"/>
      <c r="DON225" s="717"/>
      <c r="DOO225" s="715"/>
      <c r="DOP225" s="716"/>
      <c r="DOQ225" s="716"/>
      <c r="DOR225" s="716"/>
      <c r="DOS225" s="716"/>
      <c r="DOT225" s="717"/>
      <c r="DOU225" s="715"/>
      <c r="DOV225" s="716"/>
      <c r="DOW225" s="716"/>
      <c r="DOX225" s="716"/>
      <c r="DOY225" s="716"/>
      <c r="DOZ225" s="717"/>
      <c r="DPA225" s="715"/>
      <c r="DPB225" s="716"/>
      <c r="DPC225" s="716"/>
      <c r="DPD225" s="716"/>
      <c r="DPE225" s="716"/>
      <c r="DPF225" s="717"/>
      <c r="DPG225" s="715"/>
      <c r="DPH225" s="716"/>
      <c r="DPI225" s="716"/>
      <c r="DPJ225" s="716"/>
      <c r="DPK225" s="716"/>
      <c r="DPL225" s="717"/>
      <c r="DPM225" s="715"/>
      <c r="DPN225" s="716"/>
      <c r="DPO225" s="716"/>
      <c r="DPP225" s="716"/>
      <c r="DPQ225" s="716"/>
      <c r="DPR225" s="717"/>
      <c r="DPS225" s="715"/>
      <c r="DPT225" s="716"/>
      <c r="DPU225" s="716"/>
      <c r="DPV225" s="716"/>
      <c r="DPW225" s="716"/>
      <c r="DPX225" s="717"/>
      <c r="DPY225" s="715"/>
      <c r="DPZ225" s="716"/>
      <c r="DQA225" s="716"/>
      <c r="DQB225" s="716"/>
      <c r="DQC225" s="716"/>
      <c r="DQD225" s="717"/>
      <c r="DQE225" s="715"/>
      <c r="DQF225" s="716"/>
      <c r="DQG225" s="716"/>
      <c r="DQH225" s="716"/>
      <c r="DQI225" s="716"/>
      <c r="DQJ225" s="717"/>
      <c r="DQK225" s="715"/>
      <c r="DQL225" s="716"/>
      <c r="DQM225" s="716"/>
      <c r="DQN225" s="716"/>
      <c r="DQO225" s="716"/>
      <c r="DQP225" s="717"/>
      <c r="DQQ225" s="715"/>
      <c r="DQR225" s="716"/>
      <c r="DQS225" s="716"/>
      <c r="DQT225" s="716"/>
      <c r="DQU225" s="716"/>
      <c r="DQV225" s="717"/>
      <c r="DQW225" s="715"/>
      <c r="DQX225" s="716"/>
      <c r="DQY225" s="716"/>
      <c r="DQZ225" s="716"/>
      <c r="DRA225" s="716"/>
      <c r="DRB225" s="717"/>
      <c r="DRC225" s="715"/>
      <c r="DRD225" s="716"/>
      <c r="DRE225" s="716"/>
      <c r="DRF225" s="716"/>
      <c r="DRG225" s="716"/>
      <c r="DRH225" s="717"/>
      <c r="DRI225" s="715"/>
      <c r="DRJ225" s="716"/>
      <c r="DRK225" s="716"/>
      <c r="DRL225" s="716"/>
      <c r="DRM225" s="716"/>
      <c r="DRN225" s="717"/>
      <c r="DRO225" s="715"/>
      <c r="DRP225" s="716"/>
      <c r="DRQ225" s="716"/>
      <c r="DRR225" s="716"/>
      <c r="DRS225" s="716"/>
      <c r="DRT225" s="717"/>
      <c r="DRU225" s="715"/>
      <c r="DRV225" s="716"/>
      <c r="DRW225" s="716"/>
      <c r="DRX225" s="716"/>
      <c r="DRY225" s="716"/>
      <c r="DRZ225" s="717"/>
      <c r="DSA225" s="715"/>
      <c r="DSB225" s="716"/>
      <c r="DSC225" s="716"/>
      <c r="DSD225" s="716"/>
      <c r="DSE225" s="716"/>
      <c r="DSF225" s="717"/>
      <c r="DSG225" s="715"/>
      <c r="DSH225" s="716"/>
      <c r="DSI225" s="716"/>
      <c r="DSJ225" s="716"/>
      <c r="DSK225" s="716"/>
      <c r="DSL225" s="717"/>
      <c r="DSM225" s="715"/>
      <c r="DSN225" s="716"/>
      <c r="DSO225" s="716"/>
      <c r="DSP225" s="716"/>
      <c r="DSQ225" s="716"/>
      <c r="DSR225" s="717"/>
      <c r="DSS225" s="715"/>
      <c r="DST225" s="716"/>
      <c r="DSU225" s="716"/>
      <c r="DSV225" s="716"/>
      <c r="DSW225" s="716"/>
      <c r="DSX225" s="717"/>
      <c r="DSY225" s="715"/>
      <c r="DSZ225" s="716"/>
      <c r="DTA225" s="716"/>
      <c r="DTB225" s="716"/>
      <c r="DTC225" s="716"/>
      <c r="DTD225" s="717"/>
      <c r="DTE225" s="715"/>
      <c r="DTF225" s="716"/>
      <c r="DTG225" s="716"/>
      <c r="DTH225" s="716"/>
      <c r="DTI225" s="716"/>
      <c r="DTJ225" s="717"/>
      <c r="DTK225" s="715"/>
      <c r="DTL225" s="716"/>
      <c r="DTM225" s="716"/>
      <c r="DTN225" s="716"/>
      <c r="DTO225" s="716"/>
      <c r="DTP225" s="717"/>
      <c r="DTQ225" s="715"/>
      <c r="DTR225" s="716"/>
      <c r="DTS225" s="716"/>
      <c r="DTT225" s="716"/>
      <c r="DTU225" s="716"/>
      <c r="DTV225" s="717"/>
      <c r="DTW225" s="715"/>
      <c r="DTX225" s="716"/>
      <c r="DTY225" s="716"/>
      <c r="DTZ225" s="716"/>
      <c r="DUA225" s="716"/>
      <c r="DUB225" s="717"/>
      <c r="DUC225" s="715"/>
      <c r="DUD225" s="716"/>
      <c r="DUE225" s="716"/>
      <c r="DUF225" s="716"/>
      <c r="DUG225" s="716"/>
      <c r="DUH225" s="717"/>
      <c r="DUI225" s="715"/>
      <c r="DUJ225" s="716"/>
      <c r="DUK225" s="716"/>
      <c r="DUL225" s="716"/>
      <c r="DUM225" s="716"/>
      <c r="DUN225" s="717"/>
      <c r="DUO225" s="715"/>
      <c r="DUP225" s="716"/>
      <c r="DUQ225" s="716"/>
      <c r="DUR225" s="716"/>
      <c r="DUS225" s="716"/>
      <c r="DUT225" s="717"/>
      <c r="DUU225" s="715"/>
      <c r="DUV225" s="716"/>
      <c r="DUW225" s="716"/>
      <c r="DUX225" s="716"/>
      <c r="DUY225" s="716"/>
      <c r="DUZ225" s="717"/>
      <c r="DVA225" s="715"/>
      <c r="DVB225" s="716"/>
      <c r="DVC225" s="716"/>
      <c r="DVD225" s="716"/>
      <c r="DVE225" s="716"/>
      <c r="DVF225" s="717"/>
      <c r="DVG225" s="715"/>
      <c r="DVH225" s="716"/>
      <c r="DVI225" s="716"/>
      <c r="DVJ225" s="716"/>
      <c r="DVK225" s="716"/>
      <c r="DVL225" s="717"/>
      <c r="DVM225" s="715"/>
      <c r="DVN225" s="716"/>
      <c r="DVO225" s="716"/>
      <c r="DVP225" s="716"/>
      <c r="DVQ225" s="716"/>
      <c r="DVR225" s="717"/>
      <c r="DVS225" s="715"/>
      <c r="DVT225" s="716"/>
      <c r="DVU225" s="716"/>
      <c r="DVV225" s="716"/>
      <c r="DVW225" s="716"/>
      <c r="DVX225" s="717"/>
      <c r="DVY225" s="715"/>
      <c r="DVZ225" s="716"/>
      <c r="DWA225" s="716"/>
      <c r="DWB225" s="716"/>
      <c r="DWC225" s="716"/>
      <c r="DWD225" s="717"/>
      <c r="DWE225" s="715"/>
      <c r="DWF225" s="716"/>
      <c r="DWG225" s="716"/>
      <c r="DWH225" s="716"/>
      <c r="DWI225" s="716"/>
      <c r="DWJ225" s="717"/>
      <c r="DWK225" s="715"/>
      <c r="DWL225" s="716"/>
      <c r="DWM225" s="716"/>
      <c r="DWN225" s="716"/>
      <c r="DWO225" s="716"/>
      <c r="DWP225" s="717"/>
      <c r="DWQ225" s="715"/>
      <c r="DWR225" s="716"/>
      <c r="DWS225" s="716"/>
      <c r="DWT225" s="716"/>
      <c r="DWU225" s="716"/>
      <c r="DWV225" s="717"/>
      <c r="DWW225" s="715"/>
      <c r="DWX225" s="716"/>
      <c r="DWY225" s="716"/>
      <c r="DWZ225" s="716"/>
      <c r="DXA225" s="716"/>
      <c r="DXB225" s="717"/>
      <c r="DXC225" s="715"/>
      <c r="DXD225" s="716"/>
      <c r="DXE225" s="716"/>
      <c r="DXF225" s="716"/>
      <c r="DXG225" s="716"/>
      <c r="DXH225" s="717"/>
      <c r="DXI225" s="715"/>
      <c r="DXJ225" s="716"/>
      <c r="DXK225" s="716"/>
      <c r="DXL225" s="716"/>
      <c r="DXM225" s="716"/>
      <c r="DXN225" s="717"/>
      <c r="DXO225" s="715"/>
      <c r="DXP225" s="716"/>
      <c r="DXQ225" s="716"/>
      <c r="DXR225" s="716"/>
      <c r="DXS225" s="716"/>
      <c r="DXT225" s="717"/>
      <c r="DXU225" s="715"/>
      <c r="DXV225" s="716"/>
      <c r="DXW225" s="716"/>
      <c r="DXX225" s="716"/>
      <c r="DXY225" s="716"/>
      <c r="DXZ225" s="717"/>
      <c r="DYA225" s="715"/>
      <c r="DYB225" s="716"/>
      <c r="DYC225" s="716"/>
      <c r="DYD225" s="716"/>
      <c r="DYE225" s="716"/>
      <c r="DYF225" s="717"/>
      <c r="DYG225" s="715"/>
      <c r="DYH225" s="716"/>
      <c r="DYI225" s="716"/>
      <c r="DYJ225" s="716"/>
      <c r="DYK225" s="716"/>
      <c r="DYL225" s="717"/>
      <c r="DYM225" s="715"/>
      <c r="DYN225" s="716"/>
      <c r="DYO225" s="716"/>
      <c r="DYP225" s="716"/>
      <c r="DYQ225" s="716"/>
      <c r="DYR225" s="717"/>
      <c r="DYS225" s="715"/>
      <c r="DYT225" s="716"/>
      <c r="DYU225" s="716"/>
      <c r="DYV225" s="716"/>
      <c r="DYW225" s="716"/>
      <c r="DYX225" s="717"/>
      <c r="DYY225" s="715"/>
      <c r="DYZ225" s="716"/>
      <c r="DZA225" s="716"/>
      <c r="DZB225" s="716"/>
      <c r="DZC225" s="716"/>
      <c r="DZD225" s="717"/>
      <c r="DZE225" s="715"/>
      <c r="DZF225" s="716"/>
      <c r="DZG225" s="716"/>
      <c r="DZH225" s="716"/>
      <c r="DZI225" s="716"/>
      <c r="DZJ225" s="717"/>
      <c r="DZK225" s="715"/>
      <c r="DZL225" s="716"/>
      <c r="DZM225" s="716"/>
      <c r="DZN225" s="716"/>
      <c r="DZO225" s="716"/>
      <c r="DZP225" s="717"/>
      <c r="DZQ225" s="715"/>
      <c r="DZR225" s="716"/>
      <c r="DZS225" s="716"/>
      <c r="DZT225" s="716"/>
      <c r="DZU225" s="716"/>
      <c r="DZV225" s="717"/>
      <c r="DZW225" s="715"/>
      <c r="DZX225" s="716"/>
      <c r="DZY225" s="716"/>
      <c r="DZZ225" s="716"/>
      <c r="EAA225" s="716"/>
      <c r="EAB225" s="717"/>
      <c r="EAC225" s="715"/>
      <c r="EAD225" s="716"/>
      <c r="EAE225" s="716"/>
      <c r="EAF225" s="716"/>
      <c r="EAG225" s="716"/>
      <c r="EAH225" s="717"/>
      <c r="EAI225" s="715"/>
      <c r="EAJ225" s="716"/>
      <c r="EAK225" s="716"/>
      <c r="EAL225" s="716"/>
      <c r="EAM225" s="716"/>
      <c r="EAN225" s="717"/>
      <c r="EAO225" s="715"/>
      <c r="EAP225" s="716"/>
      <c r="EAQ225" s="716"/>
      <c r="EAR225" s="716"/>
      <c r="EAS225" s="716"/>
      <c r="EAT225" s="717"/>
      <c r="EAU225" s="715"/>
      <c r="EAV225" s="716"/>
      <c r="EAW225" s="716"/>
      <c r="EAX225" s="716"/>
      <c r="EAY225" s="716"/>
      <c r="EAZ225" s="717"/>
      <c r="EBA225" s="715"/>
      <c r="EBB225" s="716"/>
      <c r="EBC225" s="716"/>
      <c r="EBD225" s="716"/>
      <c r="EBE225" s="716"/>
      <c r="EBF225" s="717"/>
      <c r="EBG225" s="715"/>
      <c r="EBH225" s="716"/>
      <c r="EBI225" s="716"/>
      <c r="EBJ225" s="716"/>
      <c r="EBK225" s="716"/>
      <c r="EBL225" s="717"/>
      <c r="EBM225" s="715"/>
      <c r="EBN225" s="716"/>
      <c r="EBO225" s="716"/>
      <c r="EBP225" s="716"/>
      <c r="EBQ225" s="716"/>
      <c r="EBR225" s="717"/>
      <c r="EBS225" s="715"/>
      <c r="EBT225" s="716"/>
      <c r="EBU225" s="716"/>
      <c r="EBV225" s="716"/>
      <c r="EBW225" s="716"/>
      <c r="EBX225" s="717"/>
      <c r="EBY225" s="715"/>
      <c r="EBZ225" s="716"/>
      <c r="ECA225" s="716"/>
      <c r="ECB225" s="716"/>
      <c r="ECC225" s="716"/>
      <c r="ECD225" s="717"/>
      <c r="ECE225" s="715"/>
      <c r="ECF225" s="716"/>
      <c r="ECG225" s="716"/>
      <c r="ECH225" s="716"/>
      <c r="ECI225" s="716"/>
      <c r="ECJ225" s="717"/>
      <c r="ECK225" s="715"/>
      <c r="ECL225" s="716"/>
      <c r="ECM225" s="716"/>
      <c r="ECN225" s="716"/>
      <c r="ECO225" s="716"/>
      <c r="ECP225" s="717"/>
      <c r="ECQ225" s="715"/>
      <c r="ECR225" s="716"/>
      <c r="ECS225" s="716"/>
      <c r="ECT225" s="716"/>
      <c r="ECU225" s="716"/>
      <c r="ECV225" s="717"/>
      <c r="ECW225" s="715"/>
      <c r="ECX225" s="716"/>
      <c r="ECY225" s="716"/>
      <c r="ECZ225" s="716"/>
      <c r="EDA225" s="716"/>
      <c r="EDB225" s="717"/>
      <c r="EDC225" s="715"/>
      <c r="EDD225" s="716"/>
      <c r="EDE225" s="716"/>
      <c r="EDF225" s="716"/>
      <c r="EDG225" s="716"/>
      <c r="EDH225" s="717"/>
      <c r="EDI225" s="715"/>
      <c r="EDJ225" s="716"/>
      <c r="EDK225" s="716"/>
      <c r="EDL225" s="716"/>
      <c r="EDM225" s="716"/>
      <c r="EDN225" s="717"/>
      <c r="EDO225" s="715"/>
      <c r="EDP225" s="716"/>
      <c r="EDQ225" s="716"/>
      <c r="EDR225" s="716"/>
      <c r="EDS225" s="716"/>
      <c r="EDT225" s="717"/>
      <c r="EDU225" s="715"/>
      <c r="EDV225" s="716"/>
      <c r="EDW225" s="716"/>
      <c r="EDX225" s="716"/>
      <c r="EDY225" s="716"/>
      <c r="EDZ225" s="717"/>
      <c r="EEA225" s="715"/>
      <c r="EEB225" s="716"/>
      <c r="EEC225" s="716"/>
      <c r="EED225" s="716"/>
      <c r="EEE225" s="716"/>
      <c r="EEF225" s="717"/>
      <c r="EEG225" s="715"/>
      <c r="EEH225" s="716"/>
      <c r="EEI225" s="716"/>
      <c r="EEJ225" s="716"/>
      <c r="EEK225" s="716"/>
      <c r="EEL225" s="717"/>
      <c r="EEM225" s="715"/>
      <c r="EEN225" s="716"/>
      <c r="EEO225" s="716"/>
      <c r="EEP225" s="716"/>
      <c r="EEQ225" s="716"/>
      <c r="EER225" s="717"/>
      <c r="EES225" s="715"/>
      <c r="EET225" s="716"/>
      <c r="EEU225" s="716"/>
      <c r="EEV225" s="716"/>
      <c r="EEW225" s="716"/>
      <c r="EEX225" s="717"/>
      <c r="EEY225" s="715"/>
      <c r="EEZ225" s="716"/>
      <c r="EFA225" s="716"/>
      <c r="EFB225" s="716"/>
      <c r="EFC225" s="716"/>
      <c r="EFD225" s="717"/>
      <c r="EFE225" s="715"/>
      <c r="EFF225" s="716"/>
      <c r="EFG225" s="716"/>
      <c r="EFH225" s="716"/>
      <c r="EFI225" s="716"/>
      <c r="EFJ225" s="717"/>
      <c r="EFK225" s="715"/>
      <c r="EFL225" s="716"/>
      <c r="EFM225" s="716"/>
      <c r="EFN225" s="716"/>
      <c r="EFO225" s="716"/>
      <c r="EFP225" s="717"/>
      <c r="EFQ225" s="715"/>
      <c r="EFR225" s="716"/>
      <c r="EFS225" s="716"/>
      <c r="EFT225" s="716"/>
      <c r="EFU225" s="716"/>
      <c r="EFV225" s="717"/>
      <c r="EFW225" s="715"/>
      <c r="EFX225" s="716"/>
      <c r="EFY225" s="716"/>
      <c r="EFZ225" s="716"/>
      <c r="EGA225" s="716"/>
      <c r="EGB225" s="717"/>
      <c r="EGC225" s="715"/>
      <c r="EGD225" s="716"/>
      <c r="EGE225" s="716"/>
      <c r="EGF225" s="716"/>
      <c r="EGG225" s="716"/>
      <c r="EGH225" s="717"/>
      <c r="EGI225" s="715"/>
      <c r="EGJ225" s="716"/>
      <c r="EGK225" s="716"/>
      <c r="EGL225" s="716"/>
      <c r="EGM225" s="716"/>
      <c r="EGN225" s="717"/>
      <c r="EGO225" s="715"/>
      <c r="EGP225" s="716"/>
      <c r="EGQ225" s="716"/>
      <c r="EGR225" s="716"/>
      <c r="EGS225" s="716"/>
      <c r="EGT225" s="717"/>
      <c r="EGU225" s="715"/>
      <c r="EGV225" s="716"/>
      <c r="EGW225" s="716"/>
      <c r="EGX225" s="716"/>
      <c r="EGY225" s="716"/>
      <c r="EGZ225" s="717"/>
      <c r="EHA225" s="715"/>
      <c r="EHB225" s="716"/>
      <c r="EHC225" s="716"/>
      <c r="EHD225" s="716"/>
      <c r="EHE225" s="716"/>
      <c r="EHF225" s="717"/>
      <c r="EHG225" s="715"/>
      <c r="EHH225" s="716"/>
      <c r="EHI225" s="716"/>
      <c r="EHJ225" s="716"/>
      <c r="EHK225" s="716"/>
      <c r="EHL225" s="717"/>
      <c r="EHM225" s="715"/>
      <c r="EHN225" s="716"/>
      <c r="EHO225" s="716"/>
      <c r="EHP225" s="716"/>
      <c r="EHQ225" s="716"/>
      <c r="EHR225" s="717"/>
      <c r="EHS225" s="715"/>
      <c r="EHT225" s="716"/>
      <c r="EHU225" s="716"/>
      <c r="EHV225" s="716"/>
      <c r="EHW225" s="716"/>
      <c r="EHX225" s="717"/>
      <c r="EHY225" s="715"/>
      <c r="EHZ225" s="716"/>
      <c r="EIA225" s="716"/>
      <c r="EIB225" s="716"/>
      <c r="EIC225" s="716"/>
      <c r="EID225" s="717"/>
      <c r="EIE225" s="715"/>
      <c r="EIF225" s="716"/>
      <c r="EIG225" s="716"/>
      <c r="EIH225" s="716"/>
      <c r="EII225" s="716"/>
      <c r="EIJ225" s="717"/>
      <c r="EIK225" s="715"/>
      <c r="EIL225" s="716"/>
      <c r="EIM225" s="716"/>
      <c r="EIN225" s="716"/>
      <c r="EIO225" s="716"/>
      <c r="EIP225" s="717"/>
      <c r="EIQ225" s="715"/>
      <c r="EIR225" s="716"/>
      <c r="EIS225" s="716"/>
      <c r="EIT225" s="716"/>
      <c r="EIU225" s="716"/>
      <c r="EIV225" s="717"/>
      <c r="EIW225" s="715"/>
      <c r="EIX225" s="716"/>
      <c r="EIY225" s="716"/>
      <c r="EIZ225" s="716"/>
      <c r="EJA225" s="716"/>
      <c r="EJB225" s="717"/>
      <c r="EJC225" s="715"/>
      <c r="EJD225" s="716"/>
      <c r="EJE225" s="716"/>
      <c r="EJF225" s="716"/>
      <c r="EJG225" s="716"/>
      <c r="EJH225" s="717"/>
      <c r="EJI225" s="715"/>
      <c r="EJJ225" s="716"/>
      <c r="EJK225" s="716"/>
      <c r="EJL225" s="716"/>
      <c r="EJM225" s="716"/>
      <c r="EJN225" s="717"/>
      <c r="EJO225" s="715"/>
      <c r="EJP225" s="716"/>
      <c r="EJQ225" s="716"/>
      <c r="EJR225" s="716"/>
      <c r="EJS225" s="716"/>
      <c r="EJT225" s="717"/>
      <c r="EJU225" s="715"/>
      <c r="EJV225" s="716"/>
      <c r="EJW225" s="716"/>
      <c r="EJX225" s="716"/>
      <c r="EJY225" s="716"/>
      <c r="EJZ225" s="717"/>
      <c r="EKA225" s="715"/>
      <c r="EKB225" s="716"/>
      <c r="EKC225" s="716"/>
      <c r="EKD225" s="716"/>
      <c r="EKE225" s="716"/>
      <c r="EKF225" s="717"/>
      <c r="EKG225" s="715"/>
      <c r="EKH225" s="716"/>
      <c r="EKI225" s="716"/>
      <c r="EKJ225" s="716"/>
      <c r="EKK225" s="716"/>
      <c r="EKL225" s="717"/>
      <c r="EKM225" s="715"/>
      <c r="EKN225" s="716"/>
      <c r="EKO225" s="716"/>
      <c r="EKP225" s="716"/>
      <c r="EKQ225" s="716"/>
      <c r="EKR225" s="717"/>
      <c r="EKS225" s="715"/>
      <c r="EKT225" s="716"/>
      <c r="EKU225" s="716"/>
      <c r="EKV225" s="716"/>
      <c r="EKW225" s="716"/>
      <c r="EKX225" s="717"/>
      <c r="EKY225" s="715"/>
      <c r="EKZ225" s="716"/>
      <c r="ELA225" s="716"/>
      <c r="ELB225" s="716"/>
      <c r="ELC225" s="716"/>
      <c r="ELD225" s="717"/>
      <c r="ELE225" s="715"/>
      <c r="ELF225" s="716"/>
      <c r="ELG225" s="716"/>
      <c r="ELH225" s="716"/>
      <c r="ELI225" s="716"/>
      <c r="ELJ225" s="717"/>
      <c r="ELK225" s="715"/>
      <c r="ELL225" s="716"/>
      <c r="ELM225" s="716"/>
      <c r="ELN225" s="716"/>
      <c r="ELO225" s="716"/>
      <c r="ELP225" s="717"/>
      <c r="ELQ225" s="715"/>
      <c r="ELR225" s="716"/>
      <c r="ELS225" s="716"/>
      <c r="ELT225" s="716"/>
      <c r="ELU225" s="716"/>
      <c r="ELV225" s="717"/>
      <c r="ELW225" s="715"/>
      <c r="ELX225" s="716"/>
      <c r="ELY225" s="716"/>
      <c r="ELZ225" s="716"/>
      <c r="EMA225" s="716"/>
      <c r="EMB225" s="717"/>
      <c r="EMC225" s="715"/>
      <c r="EMD225" s="716"/>
      <c r="EME225" s="716"/>
      <c r="EMF225" s="716"/>
      <c r="EMG225" s="716"/>
      <c r="EMH225" s="717"/>
      <c r="EMI225" s="715"/>
      <c r="EMJ225" s="716"/>
      <c r="EMK225" s="716"/>
      <c r="EML225" s="716"/>
      <c r="EMM225" s="716"/>
      <c r="EMN225" s="717"/>
      <c r="EMO225" s="715"/>
      <c r="EMP225" s="716"/>
      <c r="EMQ225" s="716"/>
      <c r="EMR225" s="716"/>
      <c r="EMS225" s="716"/>
      <c r="EMT225" s="717"/>
      <c r="EMU225" s="715"/>
      <c r="EMV225" s="716"/>
      <c r="EMW225" s="716"/>
      <c r="EMX225" s="716"/>
      <c r="EMY225" s="716"/>
      <c r="EMZ225" s="717"/>
      <c r="ENA225" s="715"/>
      <c r="ENB225" s="716"/>
      <c r="ENC225" s="716"/>
      <c r="END225" s="716"/>
      <c r="ENE225" s="716"/>
      <c r="ENF225" s="717"/>
      <c r="ENG225" s="715"/>
      <c r="ENH225" s="716"/>
      <c r="ENI225" s="716"/>
      <c r="ENJ225" s="716"/>
      <c r="ENK225" s="716"/>
      <c r="ENL225" s="717"/>
      <c r="ENM225" s="715"/>
      <c r="ENN225" s="716"/>
      <c r="ENO225" s="716"/>
      <c r="ENP225" s="716"/>
      <c r="ENQ225" s="716"/>
      <c r="ENR225" s="717"/>
      <c r="ENS225" s="715"/>
      <c r="ENT225" s="716"/>
      <c r="ENU225" s="716"/>
      <c r="ENV225" s="716"/>
      <c r="ENW225" s="716"/>
      <c r="ENX225" s="717"/>
      <c r="ENY225" s="715"/>
      <c r="ENZ225" s="716"/>
      <c r="EOA225" s="716"/>
      <c r="EOB225" s="716"/>
      <c r="EOC225" s="716"/>
      <c r="EOD225" s="717"/>
      <c r="EOE225" s="715"/>
      <c r="EOF225" s="716"/>
      <c r="EOG225" s="716"/>
      <c r="EOH225" s="716"/>
      <c r="EOI225" s="716"/>
      <c r="EOJ225" s="717"/>
      <c r="EOK225" s="715"/>
      <c r="EOL225" s="716"/>
      <c r="EOM225" s="716"/>
      <c r="EON225" s="716"/>
      <c r="EOO225" s="716"/>
      <c r="EOP225" s="717"/>
      <c r="EOQ225" s="715"/>
      <c r="EOR225" s="716"/>
      <c r="EOS225" s="716"/>
      <c r="EOT225" s="716"/>
      <c r="EOU225" s="716"/>
      <c r="EOV225" s="717"/>
      <c r="EOW225" s="715"/>
      <c r="EOX225" s="716"/>
      <c r="EOY225" s="716"/>
      <c r="EOZ225" s="716"/>
      <c r="EPA225" s="716"/>
      <c r="EPB225" s="717"/>
      <c r="EPC225" s="715"/>
      <c r="EPD225" s="716"/>
      <c r="EPE225" s="716"/>
      <c r="EPF225" s="716"/>
      <c r="EPG225" s="716"/>
      <c r="EPH225" s="717"/>
      <c r="EPI225" s="715"/>
      <c r="EPJ225" s="716"/>
      <c r="EPK225" s="716"/>
      <c r="EPL225" s="716"/>
      <c r="EPM225" s="716"/>
      <c r="EPN225" s="717"/>
      <c r="EPO225" s="715"/>
      <c r="EPP225" s="716"/>
      <c r="EPQ225" s="716"/>
      <c r="EPR225" s="716"/>
      <c r="EPS225" s="716"/>
      <c r="EPT225" s="717"/>
      <c r="EPU225" s="715"/>
      <c r="EPV225" s="716"/>
      <c r="EPW225" s="716"/>
      <c r="EPX225" s="716"/>
      <c r="EPY225" s="716"/>
      <c r="EPZ225" s="717"/>
      <c r="EQA225" s="715"/>
      <c r="EQB225" s="716"/>
      <c r="EQC225" s="716"/>
      <c r="EQD225" s="716"/>
      <c r="EQE225" s="716"/>
      <c r="EQF225" s="717"/>
      <c r="EQG225" s="715"/>
      <c r="EQH225" s="716"/>
      <c r="EQI225" s="716"/>
      <c r="EQJ225" s="716"/>
      <c r="EQK225" s="716"/>
      <c r="EQL225" s="717"/>
      <c r="EQM225" s="715"/>
      <c r="EQN225" s="716"/>
      <c r="EQO225" s="716"/>
      <c r="EQP225" s="716"/>
      <c r="EQQ225" s="716"/>
      <c r="EQR225" s="717"/>
      <c r="EQS225" s="715"/>
      <c r="EQT225" s="716"/>
      <c r="EQU225" s="716"/>
      <c r="EQV225" s="716"/>
      <c r="EQW225" s="716"/>
      <c r="EQX225" s="717"/>
      <c r="EQY225" s="715"/>
      <c r="EQZ225" s="716"/>
      <c r="ERA225" s="716"/>
      <c r="ERB225" s="716"/>
      <c r="ERC225" s="716"/>
      <c r="ERD225" s="717"/>
      <c r="ERE225" s="715"/>
      <c r="ERF225" s="716"/>
      <c r="ERG225" s="716"/>
      <c r="ERH225" s="716"/>
      <c r="ERI225" s="716"/>
      <c r="ERJ225" s="717"/>
      <c r="ERK225" s="715"/>
      <c r="ERL225" s="716"/>
      <c r="ERM225" s="716"/>
      <c r="ERN225" s="716"/>
      <c r="ERO225" s="716"/>
      <c r="ERP225" s="717"/>
      <c r="ERQ225" s="715"/>
      <c r="ERR225" s="716"/>
      <c r="ERS225" s="716"/>
      <c r="ERT225" s="716"/>
      <c r="ERU225" s="716"/>
      <c r="ERV225" s="717"/>
      <c r="ERW225" s="715"/>
      <c r="ERX225" s="716"/>
      <c r="ERY225" s="716"/>
      <c r="ERZ225" s="716"/>
      <c r="ESA225" s="716"/>
      <c r="ESB225" s="717"/>
      <c r="ESC225" s="715"/>
      <c r="ESD225" s="716"/>
      <c r="ESE225" s="716"/>
      <c r="ESF225" s="716"/>
      <c r="ESG225" s="716"/>
      <c r="ESH225" s="717"/>
      <c r="ESI225" s="715"/>
      <c r="ESJ225" s="716"/>
      <c r="ESK225" s="716"/>
      <c r="ESL225" s="716"/>
      <c r="ESM225" s="716"/>
      <c r="ESN225" s="717"/>
      <c r="ESO225" s="715"/>
      <c r="ESP225" s="716"/>
      <c r="ESQ225" s="716"/>
      <c r="ESR225" s="716"/>
      <c r="ESS225" s="716"/>
      <c r="EST225" s="717"/>
      <c r="ESU225" s="715"/>
      <c r="ESV225" s="716"/>
      <c r="ESW225" s="716"/>
      <c r="ESX225" s="716"/>
      <c r="ESY225" s="716"/>
      <c r="ESZ225" s="717"/>
      <c r="ETA225" s="715"/>
      <c r="ETB225" s="716"/>
      <c r="ETC225" s="716"/>
      <c r="ETD225" s="716"/>
      <c r="ETE225" s="716"/>
      <c r="ETF225" s="717"/>
      <c r="ETG225" s="715"/>
      <c r="ETH225" s="716"/>
      <c r="ETI225" s="716"/>
      <c r="ETJ225" s="716"/>
      <c r="ETK225" s="716"/>
      <c r="ETL225" s="717"/>
      <c r="ETM225" s="715"/>
      <c r="ETN225" s="716"/>
      <c r="ETO225" s="716"/>
      <c r="ETP225" s="716"/>
      <c r="ETQ225" s="716"/>
      <c r="ETR225" s="717"/>
      <c r="ETS225" s="715"/>
      <c r="ETT225" s="716"/>
      <c r="ETU225" s="716"/>
      <c r="ETV225" s="716"/>
      <c r="ETW225" s="716"/>
      <c r="ETX225" s="717"/>
      <c r="ETY225" s="715"/>
      <c r="ETZ225" s="716"/>
      <c r="EUA225" s="716"/>
      <c r="EUB225" s="716"/>
      <c r="EUC225" s="716"/>
      <c r="EUD225" s="717"/>
      <c r="EUE225" s="715"/>
      <c r="EUF225" s="716"/>
      <c r="EUG225" s="716"/>
      <c r="EUH225" s="716"/>
      <c r="EUI225" s="716"/>
      <c r="EUJ225" s="717"/>
      <c r="EUK225" s="715"/>
      <c r="EUL225" s="716"/>
      <c r="EUM225" s="716"/>
      <c r="EUN225" s="716"/>
      <c r="EUO225" s="716"/>
      <c r="EUP225" s="717"/>
      <c r="EUQ225" s="715"/>
      <c r="EUR225" s="716"/>
      <c r="EUS225" s="716"/>
      <c r="EUT225" s="716"/>
      <c r="EUU225" s="716"/>
      <c r="EUV225" s="717"/>
      <c r="EUW225" s="715"/>
      <c r="EUX225" s="716"/>
      <c r="EUY225" s="716"/>
      <c r="EUZ225" s="716"/>
      <c r="EVA225" s="716"/>
      <c r="EVB225" s="717"/>
      <c r="EVC225" s="715"/>
      <c r="EVD225" s="716"/>
      <c r="EVE225" s="716"/>
      <c r="EVF225" s="716"/>
      <c r="EVG225" s="716"/>
      <c r="EVH225" s="717"/>
      <c r="EVI225" s="715"/>
      <c r="EVJ225" s="716"/>
      <c r="EVK225" s="716"/>
      <c r="EVL225" s="716"/>
      <c r="EVM225" s="716"/>
      <c r="EVN225" s="717"/>
      <c r="EVO225" s="715"/>
      <c r="EVP225" s="716"/>
      <c r="EVQ225" s="716"/>
      <c r="EVR225" s="716"/>
      <c r="EVS225" s="716"/>
      <c r="EVT225" s="717"/>
      <c r="EVU225" s="715"/>
      <c r="EVV225" s="716"/>
      <c r="EVW225" s="716"/>
      <c r="EVX225" s="716"/>
      <c r="EVY225" s="716"/>
      <c r="EVZ225" s="717"/>
      <c r="EWA225" s="715"/>
      <c r="EWB225" s="716"/>
      <c r="EWC225" s="716"/>
      <c r="EWD225" s="716"/>
      <c r="EWE225" s="716"/>
      <c r="EWF225" s="717"/>
      <c r="EWG225" s="715"/>
      <c r="EWH225" s="716"/>
      <c r="EWI225" s="716"/>
      <c r="EWJ225" s="716"/>
      <c r="EWK225" s="716"/>
      <c r="EWL225" s="717"/>
      <c r="EWM225" s="715"/>
      <c r="EWN225" s="716"/>
      <c r="EWO225" s="716"/>
      <c r="EWP225" s="716"/>
      <c r="EWQ225" s="716"/>
      <c r="EWR225" s="717"/>
      <c r="EWS225" s="715"/>
      <c r="EWT225" s="716"/>
      <c r="EWU225" s="716"/>
      <c r="EWV225" s="716"/>
      <c r="EWW225" s="716"/>
      <c r="EWX225" s="717"/>
      <c r="EWY225" s="715"/>
      <c r="EWZ225" s="716"/>
      <c r="EXA225" s="716"/>
      <c r="EXB225" s="716"/>
      <c r="EXC225" s="716"/>
      <c r="EXD225" s="717"/>
      <c r="EXE225" s="715"/>
      <c r="EXF225" s="716"/>
      <c r="EXG225" s="716"/>
      <c r="EXH225" s="716"/>
      <c r="EXI225" s="716"/>
      <c r="EXJ225" s="717"/>
      <c r="EXK225" s="715"/>
      <c r="EXL225" s="716"/>
      <c r="EXM225" s="716"/>
      <c r="EXN225" s="716"/>
      <c r="EXO225" s="716"/>
      <c r="EXP225" s="717"/>
      <c r="EXQ225" s="715"/>
      <c r="EXR225" s="716"/>
      <c r="EXS225" s="716"/>
      <c r="EXT225" s="716"/>
      <c r="EXU225" s="716"/>
      <c r="EXV225" s="717"/>
      <c r="EXW225" s="715"/>
      <c r="EXX225" s="716"/>
      <c r="EXY225" s="716"/>
      <c r="EXZ225" s="716"/>
      <c r="EYA225" s="716"/>
      <c r="EYB225" s="717"/>
      <c r="EYC225" s="715"/>
      <c r="EYD225" s="716"/>
      <c r="EYE225" s="716"/>
      <c r="EYF225" s="716"/>
      <c r="EYG225" s="716"/>
      <c r="EYH225" s="717"/>
      <c r="EYI225" s="715"/>
      <c r="EYJ225" s="716"/>
      <c r="EYK225" s="716"/>
      <c r="EYL225" s="716"/>
      <c r="EYM225" s="716"/>
      <c r="EYN225" s="717"/>
      <c r="EYO225" s="715"/>
      <c r="EYP225" s="716"/>
      <c r="EYQ225" s="716"/>
      <c r="EYR225" s="716"/>
      <c r="EYS225" s="716"/>
      <c r="EYT225" s="717"/>
      <c r="EYU225" s="715"/>
      <c r="EYV225" s="716"/>
      <c r="EYW225" s="716"/>
      <c r="EYX225" s="716"/>
      <c r="EYY225" s="716"/>
      <c r="EYZ225" s="717"/>
      <c r="EZA225" s="715"/>
      <c r="EZB225" s="716"/>
      <c r="EZC225" s="716"/>
      <c r="EZD225" s="716"/>
      <c r="EZE225" s="716"/>
      <c r="EZF225" s="717"/>
      <c r="EZG225" s="715"/>
      <c r="EZH225" s="716"/>
      <c r="EZI225" s="716"/>
      <c r="EZJ225" s="716"/>
      <c r="EZK225" s="716"/>
      <c r="EZL225" s="717"/>
      <c r="EZM225" s="715"/>
      <c r="EZN225" s="716"/>
      <c r="EZO225" s="716"/>
      <c r="EZP225" s="716"/>
      <c r="EZQ225" s="716"/>
      <c r="EZR225" s="717"/>
      <c r="EZS225" s="715"/>
      <c r="EZT225" s="716"/>
      <c r="EZU225" s="716"/>
      <c r="EZV225" s="716"/>
      <c r="EZW225" s="716"/>
      <c r="EZX225" s="717"/>
      <c r="EZY225" s="715"/>
      <c r="EZZ225" s="716"/>
      <c r="FAA225" s="716"/>
      <c r="FAB225" s="716"/>
      <c r="FAC225" s="716"/>
      <c r="FAD225" s="717"/>
      <c r="FAE225" s="715"/>
      <c r="FAF225" s="716"/>
      <c r="FAG225" s="716"/>
      <c r="FAH225" s="716"/>
      <c r="FAI225" s="716"/>
      <c r="FAJ225" s="717"/>
      <c r="FAK225" s="715"/>
      <c r="FAL225" s="716"/>
      <c r="FAM225" s="716"/>
      <c r="FAN225" s="716"/>
      <c r="FAO225" s="716"/>
      <c r="FAP225" s="717"/>
      <c r="FAQ225" s="715"/>
      <c r="FAR225" s="716"/>
      <c r="FAS225" s="716"/>
      <c r="FAT225" s="716"/>
      <c r="FAU225" s="716"/>
      <c r="FAV225" s="717"/>
      <c r="FAW225" s="715"/>
      <c r="FAX225" s="716"/>
      <c r="FAY225" s="716"/>
      <c r="FAZ225" s="716"/>
      <c r="FBA225" s="716"/>
      <c r="FBB225" s="717"/>
      <c r="FBC225" s="715"/>
      <c r="FBD225" s="716"/>
      <c r="FBE225" s="716"/>
      <c r="FBF225" s="716"/>
      <c r="FBG225" s="716"/>
      <c r="FBH225" s="717"/>
      <c r="FBI225" s="715"/>
      <c r="FBJ225" s="716"/>
      <c r="FBK225" s="716"/>
      <c r="FBL225" s="716"/>
      <c r="FBM225" s="716"/>
      <c r="FBN225" s="717"/>
      <c r="FBO225" s="715"/>
      <c r="FBP225" s="716"/>
      <c r="FBQ225" s="716"/>
      <c r="FBR225" s="716"/>
      <c r="FBS225" s="716"/>
      <c r="FBT225" s="717"/>
      <c r="FBU225" s="715"/>
      <c r="FBV225" s="716"/>
      <c r="FBW225" s="716"/>
      <c r="FBX225" s="716"/>
      <c r="FBY225" s="716"/>
      <c r="FBZ225" s="717"/>
      <c r="FCA225" s="715"/>
      <c r="FCB225" s="716"/>
      <c r="FCC225" s="716"/>
      <c r="FCD225" s="716"/>
      <c r="FCE225" s="716"/>
      <c r="FCF225" s="717"/>
      <c r="FCG225" s="715"/>
      <c r="FCH225" s="716"/>
      <c r="FCI225" s="716"/>
      <c r="FCJ225" s="716"/>
      <c r="FCK225" s="716"/>
      <c r="FCL225" s="717"/>
      <c r="FCM225" s="715"/>
      <c r="FCN225" s="716"/>
      <c r="FCO225" s="716"/>
      <c r="FCP225" s="716"/>
      <c r="FCQ225" s="716"/>
      <c r="FCR225" s="717"/>
      <c r="FCS225" s="715"/>
      <c r="FCT225" s="716"/>
      <c r="FCU225" s="716"/>
      <c r="FCV225" s="716"/>
      <c r="FCW225" s="716"/>
      <c r="FCX225" s="717"/>
      <c r="FCY225" s="715"/>
      <c r="FCZ225" s="716"/>
      <c r="FDA225" s="716"/>
      <c r="FDB225" s="716"/>
      <c r="FDC225" s="716"/>
      <c r="FDD225" s="717"/>
      <c r="FDE225" s="715"/>
      <c r="FDF225" s="716"/>
      <c r="FDG225" s="716"/>
      <c r="FDH225" s="716"/>
      <c r="FDI225" s="716"/>
      <c r="FDJ225" s="717"/>
      <c r="FDK225" s="715"/>
      <c r="FDL225" s="716"/>
      <c r="FDM225" s="716"/>
      <c r="FDN225" s="716"/>
      <c r="FDO225" s="716"/>
      <c r="FDP225" s="717"/>
      <c r="FDQ225" s="715"/>
      <c r="FDR225" s="716"/>
      <c r="FDS225" s="716"/>
      <c r="FDT225" s="716"/>
      <c r="FDU225" s="716"/>
      <c r="FDV225" s="717"/>
      <c r="FDW225" s="715"/>
      <c r="FDX225" s="716"/>
      <c r="FDY225" s="716"/>
      <c r="FDZ225" s="716"/>
      <c r="FEA225" s="716"/>
      <c r="FEB225" s="717"/>
      <c r="FEC225" s="715"/>
      <c r="FED225" s="716"/>
      <c r="FEE225" s="716"/>
      <c r="FEF225" s="716"/>
      <c r="FEG225" s="716"/>
      <c r="FEH225" s="717"/>
      <c r="FEI225" s="715"/>
      <c r="FEJ225" s="716"/>
      <c r="FEK225" s="716"/>
      <c r="FEL225" s="716"/>
      <c r="FEM225" s="716"/>
      <c r="FEN225" s="717"/>
      <c r="FEO225" s="715"/>
      <c r="FEP225" s="716"/>
      <c r="FEQ225" s="716"/>
      <c r="FER225" s="716"/>
      <c r="FES225" s="716"/>
      <c r="FET225" s="717"/>
      <c r="FEU225" s="715"/>
      <c r="FEV225" s="716"/>
      <c r="FEW225" s="716"/>
      <c r="FEX225" s="716"/>
      <c r="FEY225" s="716"/>
      <c r="FEZ225" s="717"/>
      <c r="FFA225" s="715"/>
      <c r="FFB225" s="716"/>
      <c r="FFC225" s="716"/>
      <c r="FFD225" s="716"/>
      <c r="FFE225" s="716"/>
      <c r="FFF225" s="717"/>
      <c r="FFG225" s="715"/>
      <c r="FFH225" s="716"/>
      <c r="FFI225" s="716"/>
      <c r="FFJ225" s="716"/>
      <c r="FFK225" s="716"/>
      <c r="FFL225" s="717"/>
      <c r="FFM225" s="715"/>
      <c r="FFN225" s="716"/>
      <c r="FFO225" s="716"/>
      <c r="FFP225" s="716"/>
      <c r="FFQ225" s="716"/>
      <c r="FFR225" s="717"/>
      <c r="FFS225" s="715"/>
      <c r="FFT225" s="716"/>
      <c r="FFU225" s="716"/>
      <c r="FFV225" s="716"/>
      <c r="FFW225" s="716"/>
      <c r="FFX225" s="717"/>
      <c r="FFY225" s="715"/>
      <c r="FFZ225" s="716"/>
      <c r="FGA225" s="716"/>
      <c r="FGB225" s="716"/>
      <c r="FGC225" s="716"/>
      <c r="FGD225" s="717"/>
      <c r="FGE225" s="715"/>
      <c r="FGF225" s="716"/>
      <c r="FGG225" s="716"/>
      <c r="FGH225" s="716"/>
      <c r="FGI225" s="716"/>
      <c r="FGJ225" s="717"/>
      <c r="FGK225" s="715"/>
      <c r="FGL225" s="716"/>
      <c r="FGM225" s="716"/>
      <c r="FGN225" s="716"/>
      <c r="FGO225" s="716"/>
      <c r="FGP225" s="717"/>
      <c r="FGQ225" s="715"/>
      <c r="FGR225" s="716"/>
      <c r="FGS225" s="716"/>
      <c r="FGT225" s="716"/>
      <c r="FGU225" s="716"/>
      <c r="FGV225" s="717"/>
      <c r="FGW225" s="715"/>
      <c r="FGX225" s="716"/>
      <c r="FGY225" s="716"/>
      <c r="FGZ225" s="716"/>
      <c r="FHA225" s="716"/>
      <c r="FHB225" s="717"/>
      <c r="FHC225" s="715"/>
      <c r="FHD225" s="716"/>
      <c r="FHE225" s="716"/>
      <c r="FHF225" s="716"/>
      <c r="FHG225" s="716"/>
      <c r="FHH225" s="717"/>
      <c r="FHI225" s="715"/>
      <c r="FHJ225" s="716"/>
      <c r="FHK225" s="716"/>
      <c r="FHL225" s="716"/>
      <c r="FHM225" s="716"/>
      <c r="FHN225" s="717"/>
      <c r="FHO225" s="715"/>
      <c r="FHP225" s="716"/>
      <c r="FHQ225" s="716"/>
      <c r="FHR225" s="716"/>
      <c r="FHS225" s="716"/>
      <c r="FHT225" s="717"/>
      <c r="FHU225" s="715"/>
      <c r="FHV225" s="716"/>
      <c r="FHW225" s="716"/>
      <c r="FHX225" s="716"/>
      <c r="FHY225" s="716"/>
      <c r="FHZ225" s="717"/>
      <c r="FIA225" s="715"/>
      <c r="FIB225" s="716"/>
      <c r="FIC225" s="716"/>
      <c r="FID225" s="716"/>
      <c r="FIE225" s="716"/>
      <c r="FIF225" s="717"/>
      <c r="FIG225" s="715"/>
      <c r="FIH225" s="716"/>
      <c r="FII225" s="716"/>
      <c r="FIJ225" s="716"/>
      <c r="FIK225" s="716"/>
      <c r="FIL225" s="717"/>
      <c r="FIM225" s="715"/>
      <c r="FIN225" s="716"/>
      <c r="FIO225" s="716"/>
      <c r="FIP225" s="716"/>
      <c r="FIQ225" s="716"/>
      <c r="FIR225" s="717"/>
      <c r="FIS225" s="715"/>
      <c r="FIT225" s="716"/>
      <c r="FIU225" s="716"/>
      <c r="FIV225" s="716"/>
      <c r="FIW225" s="716"/>
      <c r="FIX225" s="717"/>
      <c r="FIY225" s="715"/>
      <c r="FIZ225" s="716"/>
      <c r="FJA225" s="716"/>
      <c r="FJB225" s="716"/>
      <c r="FJC225" s="716"/>
      <c r="FJD225" s="717"/>
      <c r="FJE225" s="715"/>
      <c r="FJF225" s="716"/>
      <c r="FJG225" s="716"/>
      <c r="FJH225" s="716"/>
      <c r="FJI225" s="716"/>
      <c r="FJJ225" s="717"/>
      <c r="FJK225" s="715"/>
      <c r="FJL225" s="716"/>
      <c r="FJM225" s="716"/>
      <c r="FJN225" s="716"/>
      <c r="FJO225" s="716"/>
      <c r="FJP225" s="717"/>
      <c r="FJQ225" s="715"/>
      <c r="FJR225" s="716"/>
      <c r="FJS225" s="716"/>
      <c r="FJT225" s="716"/>
      <c r="FJU225" s="716"/>
      <c r="FJV225" s="717"/>
      <c r="FJW225" s="715"/>
      <c r="FJX225" s="716"/>
      <c r="FJY225" s="716"/>
      <c r="FJZ225" s="716"/>
      <c r="FKA225" s="716"/>
      <c r="FKB225" s="717"/>
      <c r="FKC225" s="715"/>
      <c r="FKD225" s="716"/>
      <c r="FKE225" s="716"/>
      <c r="FKF225" s="716"/>
      <c r="FKG225" s="716"/>
      <c r="FKH225" s="717"/>
      <c r="FKI225" s="715"/>
      <c r="FKJ225" s="716"/>
      <c r="FKK225" s="716"/>
      <c r="FKL225" s="716"/>
      <c r="FKM225" s="716"/>
      <c r="FKN225" s="717"/>
      <c r="FKO225" s="715"/>
      <c r="FKP225" s="716"/>
      <c r="FKQ225" s="716"/>
      <c r="FKR225" s="716"/>
      <c r="FKS225" s="716"/>
      <c r="FKT225" s="717"/>
      <c r="FKU225" s="715"/>
      <c r="FKV225" s="716"/>
      <c r="FKW225" s="716"/>
      <c r="FKX225" s="716"/>
      <c r="FKY225" s="716"/>
      <c r="FKZ225" s="717"/>
      <c r="FLA225" s="715"/>
      <c r="FLB225" s="716"/>
      <c r="FLC225" s="716"/>
      <c r="FLD225" s="716"/>
      <c r="FLE225" s="716"/>
      <c r="FLF225" s="717"/>
      <c r="FLG225" s="715"/>
      <c r="FLH225" s="716"/>
      <c r="FLI225" s="716"/>
      <c r="FLJ225" s="716"/>
      <c r="FLK225" s="716"/>
      <c r="FLL225" s="717"/>
      <c r="FLM225" s="715"/>
      <c r="FLN225" s="716"/>
      <c r="FLO225" s="716"/>
      <c r="FLP225" s="716"/>
      <c r="FLQ225" s="716"/>
      <c r="FLR225" s="717"/>
      <c r="FLS225" s="715"/>
      <c r="FLT225" s="716"/>
      <c r="FLU225" s="716"/>
      <c r="FLV225" s="716"/>
      <c r="FLW225" s="716"/>
      <c r="FLX225" s="717"/>
      <c r="FLY225" s="715"/>
      <c r="FLZ225" s="716"/>
      <c r="FMA225" s="716"/>
      <c r="FMB225" s="716"/>
      <c r="FMC225" s="716"/>
      <c r="FMD225" s="717"/>
      <c r="FME225" s="715"/>
      <c r="FMF225" s="716"/>
      <c r="FMG225" s="716"/>
      <c r="FMH225" s="716"/>
      <c r="FMI225" s="716"/>
      <c r="FMJ225" s="717"/>
      <c r="FMK225" s="715"/>
      <c r="FML225" s="716"/>
      <c r="FMM225" s="716"/>
      <c r="FMN225" s="716"/>
      <c r="FMO225" s="716"/>
      <c r="FMP225" s="717"/>
      <c r="FMQ225" s="715"/>
      <c r="FMR225" s="716"/>
      <c r="FMS225" s="716"/>
      <c r="FMT225" s="716"/>
      <c r="FMU225" s="716"/>
      <c r="FMV225" s="717"/>
      <c r="FMW225" s="715"/>
      <c r="FMX225" s="716"/>
      <c r="FMY225" s="716"/>
      <c r="FMZ225" s="716"/>
      <c r="FNA225" s="716"/>
      <c r="FNB225" s="717"/>
      <c r="FNC225" s="715"/>
      <c r="FND225" s="716"/>
      <c r="FNE225" s="716"/>
      <c r="FNF225" s="716"/>
      <c r="FNG225" s="716"/>
      <c r="FNH225" s="717"/>
      <c r="FNI225" s="715"/>
      <c r="FNJ225" s="716"/>
      <c r="FNK225" s="716"/>
      <c r="FNL225" s="716"/>
      <c r="FNM225" s="716"/>
      <c r="FNN225" s="717"/>
      <c r="FNO225" s="715"/>
      <c r="FNP225" s="716"/>
      <c r="FNQ225" s="716"/>
      <c r="FNR225" s="716"/>
      <c r="FNS225" s="716"/>
      <c r="FNT225" s="717"/>
      <c r="FNU225" s="715"/>
      <c r="FNV225" s="716"/>
      <c r="FNW225" s="716"/>
      <c r="FNX225" s="716"/>
      <c r="FNY225" s="716"/>
      <c r="FNZ225" s="717"/>
      <c r="FOA225" s="715"/>
      <c r="FOB225" s="716"/>
      <c r="FOC225" s="716"/>
      <c r="FOD225" s="716"/>
      <c r="FOE225" s="716"/>
      <c r="FOF225" s="717"/>
      <c r="FOG225" s="715"/>
      <c r="FOH225" s="716"/>
      <c r="FOI225" s="716"/>
      <c r="FOJ225" s="716"/>
      <c r="FOK225" s="716"/>
      <c r="FOL225" s="717"/>
      <c r="FOM225" s="715"/>
      <c r="FON225" s="716"/>
      <c r="FOO225" s="716"/>
      <c r="FOP225" s="716"/>
      <c r="FOQ225" s="716"/>
      <c r="FOR225" s="717"/>
      <c r="FOS225" s="715"/>
      <c r="FOT225" s="716"/>
      <c r="FOU225" s="716"/>
      <c r="FOV225" s="716"/>
      <c r="FOW225" s="716"/>
      <c r="FOX225" s="717"/>
      <c r="FOY225" s="715"/>
      <c r="FOZ225" s="716"/>
      <c r="FPA225" s="716"/>
      <c r="FPB225" s="716"/>
      <c r="FPC225" s="716"/>
      <c r="FPD225" s="717"/>
      <c r="FPE225" s="715"/>
      <c r="FPF225" s="716"/>
      <c r="FPG225" s="716"/>
      <c r="FPH225" s="716"/>
      <c r="FPI225" s="716"/>
      <c r="FPJ225" s="717"/>
      <c r="FPK225" s="715"/>
      <c r="FPL225" s="716"/>
      <c r="FPM225" s="716"/>
      <c r="FPN225" s="716"/>
      <c r="FPO225" s="716"/>
      <c r="FPP225" s="717"/>
      <c r="FPQ225" s="715"/>
      <c r="FPR225" s="716"/>
      <c r="FPS225" s="716"/>
      <c r="FPT225" s="716"/>
      <c r="FPU225" s="716"/>
      <c r="FPV225" s="717"/>
      <c r="FPW225" s="715"/>
      <c r="FPX225" s="716"/>
      <c r="FPY225" s="716"/>
      <c r="FPZ225" s="716"/>
      <c r="FQA225" s="716"/>
      <c r="FQB225" s="717"/>
      <c r="FQC225" s="715"/>
      <c r="FQD225" s="716"/>
      <c r="FQE225" s="716"/>
      <c r="FQF225" s="716"/>
      <c r="FQG225" s="716"/>
      <c r="FQH225" s="717"/>
      <c r="FQI225" s="715"/>
      <c r="FQJ225" s="716"/>
      <c r="FQK225" s="716"/>
      <c r="FQL225" s="716"/>
      <c r="FQM225" s="716"/>
      <c r="FQN225" s="717"/>
      <c r="FQO225" s="715"/>
      <c r="FQP225" s="716"/>
      <c r="FQQ225" s="716"/>
      <c r="FQR225" s="716"/>
      <c r="FQS225" s="716"/>
      <c r="FQT225" s="717"/>
      <c r="FQU225" s="715"/>
      <c r="FQV225" s="716"/>
      <c r="FQW225" s="716"/>
      <c r="FQX225" s="716"/>
      <c r="FQY225" s="716"/>
      <c r="FQZ225" s="717"/>
      <c r="FRA225" s="715"/>
      <c r="FRB225" s="716"/>
      <c r="FRC225" s="716"/>
      <c r="FRD225" s="716"/>
      <c r="FRE225" s="716"/>
      <c r="FRF225" s="717"/>
      <c r="FRG225" s="715"/>
      <c r="FRH225" s="716"/>
      <c r="FRI225" s="716"/>
      <c r="FRJ225" s="716"/>
      <c r="FRK225" s="716"/>
      <c r="FRL225" s="717"/>
      <c r="FRM225" s="715"/>
      <c r="FRN225" s="716"/>
      <c r="FRO225" s="716"/>
      <c r="FRP225" s="716"/>
      <c r="FRQ225" s="716"/>
      <c r="FRR225" s="717"/>
      <c r="FRS225" s="715"/>
      <c r="FRT225" s="716"/>
      <c r="FRU225" s="716"/>
      <c r="FRV225" s="716"/>
      <c r="FRW225" s="716"/>
      <c r="FRX225" s="717"/>
      <c r="FRY225" s="715"/>
      <c r="FRZ225" s="716"/>
      <c r="FSA225" s="716"/>
      <c r="FSB225" s="716"/>
      <c r="FSC225" s="716"/>
      <c r="FSD225" s="717"/>
      <c r="FSE225" s="715"/>
      <c r="FSF225" s="716"/>
      <c r="FSG225" s="716"/>
      <c r="FSH225" s="716"/>
      <c r="FSI225" s="716"/>
      <c r="FSJ225" s="717"/>
      <c r="FSK225" s="715"/>
      <c r="FSL225" s="716"/>
      <c r="FSM225" s="716"/>
      <c r="FSN225" s="716"/>
      <c r="FSO225" s="716"/>
      <c r="FSP225" s="717"/>
      <c r="FSQ225" s="715"/>
      <c r="FSR225" s="716"/>
      <c r="FSS225" s="716"/>
      <c r="FST225" s="716"/>
      <c r="FSU225" s="716"/>
      <c r="FSV225" s="717"/>
      <c r="FSW225" s="715"/>
      <c r="FSX225" s="716"/>
      <c r="FSY225" s="716"/>
      <c r="FSZ225" s="716"/>
      <c r="FTA225" s="716"/>
      <c r="FTB225" s="717"/>
      <c r="FTC225" s="715"/>
      <c r="FTD225" s="716"/>
      <c r="FTE225" s="716"/>
      <c r="FTF225" s="716"/>
      <c r="FTG225" s="716"/>
      <c r="FTH225" s="717"/>
      <c r="FTI225" s="715"/>
      <c r="FTJ225" s="716"/>
      <c r="FTK225" s="716"/>
      <c r="FTL225" s="716"/>
      <c r="FTM225" s="716"/>
      <c r="FTN225" s="717"/>
      <c r="FTO225" s="715"/>
      <c r="FTP225" s="716"/>
      <c r="FTQ225" s="716"/>
      <c r="FTR225" s="716"/>
      <c r="FTS225" s="716"/>
      <c r="FTT225" s="717"/>
      <c r="FTU225" s="715"/>
      <c r="FTV225" s="716"/>
      <c r="FTW225" s="716"/>
      <c r="FTX225" s="716"/>
      <c r="FTY225" s="716"/>
      <c r="FTZ225" s="717"/>
      <c r="FUA225" s="715"/>
      <c r="FUB225" s="716"/>
      <c r="FUC225" s="716"/>
      <c r="FUD225" s="716"/>
      <c r="FUE225" s="716"/>
      <c r="FUF225" s="717"/>
      <c r="FUG225" s="715"/>
      <c r="FUH225" s="716"/>
      <c r="FUI225" s="716"/>
      <c r="FUJ225" s="716"/>
      <c r="FUK225" s="716"/>
      <c r="FUL225" s="717"/>
      <c r="FUM225" s="715"/>
      <c r="FUN225" s="716"/>
      <c r="FUO225" s="716"/>
      <c r="FUP225" s="716"/>
      <c r="FUQ225" s="716"/>
      <c r="FUR225" s="717"/>
      <c r="FUS225" s="715"/>
      <c r="FUT225" s="716"/>
      <c r="FUU225" s="716"/>
      <c r="FUV225" s="716"/>
      <c r="FUW225" s="716"/>
      <c r="FUX225" s="717"/>
      <c r="FUY225" s="715"/>
      <c r="FUZ225" s="716"/>
      <c r="FVA225" s="716"/>
      <c r="FVB225" s="716"/>
      <c r="FVC225" s="716"/>
      <c r="FVD225" s="717"/>
      <c r="FVE225" s="715"/>
      <c r="FVF225" s="716"/>
      <c r="FVG225" s="716"/>
      <c r="FVH225" s="716"/>
      <c r="FVI225" s="716"/>
      <c r="FVJ225" s="717"/>
      <c r="FVK225" s="715"/>
      <c r="FVL225" s="716"/>
      <c r="FVM225" s="716"/>
      <c r="FVN225" s="716"/>
      <c r="FVO225" s="716"/>
      <c r="FVP225" s="717"/>
      <c r="FVQ225" s="715"/>
      <c r="FVR225" s="716"/>
      <c r="FVS225" s="716"/>
      <c r="FVT225" s="716"/>
      <c r="FVU225" s="716"/>
      <c r="FVV225" s="717"/>
      <c r="FVW225" s="715"/>
      <c r="FVX225" s="716"/>
      <c r="FVY225" s="716"/>
      <c r="FVZ225" s="716"/>
      <c r="FWA225" s="716"/>
      <c r="FWB225" s="717"/>
      <c r="FWC225" s="715"/>
      <c r="FWD225" s="716"/>
      <c r="FWE225" s="716"/>
      <c r="FWF225" s="716"/>
      <c r="FWG225" s="716"/>
      <c r="FWH225" s="717"/>
      <c r="FWI225" s="715"/>
      <c r="FWJ225" s="716"/>
      <c r="FWK225" s="716"/>
      <c r="FWL225" s="716"/>
      <c r="FWM225" s="716"/>
      <c r="FWN225" s="717"/>
      <c r="FWO225" s="715"/>
      <c r="FWP225" s="716"/>
      <c r="FWQ225" s="716"/>
      <c r="FWR225" s="716"/>
      <c r="FWS225" s="716"/>
      <c r="FWT225" s="717"/>
      <c r="FWU225" s="715"/>
      <c r="FWV225" s="716"/>
      <c r="FWW225" s="716"/>
      <c r="FWX225" s="716"/>
      <c r="FWY225" s="716"/>
      <c r="FWZ225" s="717"/>
      <c r="FXA225" s="715"/>
      <c r="FXB225" s="716"/>
      <c r="FXC225" s="716"/>
      <c r="FXD225" s="716"/>
      <c r="FXE225" s="716"/>
      <c r="FXF225" s="717"/>
      <c r="FXG225" s="715"/>
      <c r="FXH225" s="716"/>
      <c r="FXI225" s="716"/>
      <c r="FXJ225" s="716"/>
      <c r="FXK225" s="716"/>
      <c r="FXL225" s="717"/>
      <c r="FXM225" s="715"/>
      <c r="FXN225" s="716"/>
      <c r="FXO225" s="716"/>
      <c r="FXP225" s="716"/>
      <c r="FXQ225" s="716"/>
      <c r="FXR225" s="717"/>
      <c r="FXS225" s="715"/>
      <c r="FXT225" s="716"/>
      <c r="FXU225" s="716"/>
      <c r="FXV225" s="716"/>
      <c r="FXW225" s="716"/>
      <c r="FXX225" s="717"/>
      <c r="FXY225" s="715"/>
      <c r="FXZ225" s="716"/>
      <c r="FYA225" s="716"/>
      <c r="FYB225" s="716"/>
      <c r="FYC225" s="716"/>
      <c r="FYD225" s="717"/>
      <c r="FYE225" s="715"/>
      <c r="FYF225" s="716"/>
      <c r="FYG225" s="716"/>
      <c r="FYH225" s="716"/>
      <c r="FYI225" s="716"/>
      <c r="FYJ225" s="717"/>
      <c r="FYK225" s="715"/>
      <c r="FYL225" s="716"/>
      <c r="FYM225" s="716"/>
      <c r="FYN225" s="716"/>
      <c r="FYO225" s="716"/>
      <c r="FYP225" s="717"/>
      <c r="FYQ225" s="715"/>
      <c r="FYR225" s="716"/>
      <c r="FYS225" s="716"/>
      <c r="FYT225" s="716"/>
      <c r="FYU225" s="716"/>
      <c r="FYV225" s="717"/>
      <c r="FYW225" s="715"/>
      <c r="FYX225" s="716"/>
      <c r="FYY225" s="716"/>
      <c r="FYZ225" s="716"/>
      <c r="FZA225" s="716"/>
      <c r="FZB225" s="717"/>
      <c r="FZC225" s="715"/>
      <c r="FZD225" s="716"/>
      <c r="FZE225" s="716"/>
      <c r="FZF225" s="716"/>
      <c r="FZG225" s="716"/>
      <c r="FZH225" s="717"/>
      <c r="FZI225" s="715"/>
      <c r="FZJ225" s="716"/>
      <c r="FZK225" s="716"/>
      <c r="FZL225" s="716"/>
      <c r="FZM225" s="716"/>
      <c r="FZN225" s="717"/>
      <c r="FZO225" s="715"/>
      <c r="FZP225" s="716"/>
      <c r="FZQ225" s="716"/>
      <c r="FZR225" s="716"/>
      <c r="FZS225" s="716"/>
      <c r="FZT225" s="717"/>
      <c r="FZU225" s="715"/>
      <c r="FZV225" s="716"/>
      <c r="FZW225" s="716"/>
      <c r="FZX225" s="716"/>
      <c r="FZY225" s="716"/>
      <c r="FZZ225" s="717"/>
      <c r="GAA225" s="715"/>
      <c r="GAB225" s="716"/>
      <c r="GAC225" s="716"/>
      <c r="GAD225" s="716"/>
      <c r="GAE225" s="716"/>
      <c r="GAF225" s="717"/>
      <c r="GAG225" s="715"/>
      <c r="GAH225" s="716"/>
      <c r="GAI225" s="716"/>
      <c r="GAJ225" s="716"/>
      <c r="GAK225" s="716"/>
      <c r="GAL225" s="717"/>
      <c r="GAM225" s="715"/>
      <c r="GAN225" s="716"/>
      <c r="GAO225" s="716"/>
      <c r="GAP225" s="716"/>
      <c r="GAQ225" s="716"/>
      <c r="GAR225" s="717"/>
      <c r="GAS225" s="715"/>
      <c r="GAT225" s="716"/>
      <c r="GAU225" s="716"/>
      <c r="GAV225" s="716"/>
      <c r="GAW225" s="716"/>
      <c r="GAX225" s="717"/>
      <c r="GAY225" s="715"/>
      <c r="GAZ225" s="716"/>
      <c r="GBA225" s="716"/>
      <c r="GBB225" s="716"/>
      <c r="GBC225" s="716"/>
      <c r="GBD225" s="717"/>
      <c r="GBE225" s="715"/>
      <c r="GBF225" s="716"/>
      <c r="GBG225" s="716"/>
      <c r="GBH225" s="716"/>
      <c r="GBI225" s="716"/>
      <c r="GBJ225" s="717"/>
      <c r="GBK225" s="715"/>
      <c r="GBL225" s="716"/>
      <c r="GBM225" s="716"/>
      <c r="GBN225" s="716"/>
      <c r="GBO225" s="716"/>
      <c r="GBP225" s="717"/>
      <c r="GBQ225" s="715"/>
      <c r="GBR225" s="716"/>
      <c r="GBS225" s="716"/>
      <c r="GBT225" s="716"/>
      <c r="GBU225" s="716"/>
      <c r="GBV225" s="717"/>
      <c r="GBW225" s="715"/>
      <c r="GBX225" s="716"/>
      <c r="GBY225" s="716"/>
      <c r="GBZ225" s="716"/>
      <c r="GCA225" s="716"/>
      <c r="GCB225" s="717"/>
      <c r="GCC225" s="715"/>
      <c r="GCD225" s="716"/>
      <c r="GCE225" s="716"/>
      <c r="GCF225" s="716"/>
      <c r="GCG225" s="716"/>
      <c r="GCH225" s="717"/>
      <c r="GCI225" s="715"/>
      <c r="GCJ225" s="716"/>
      <c r="GCK225" s="716"/>
      <c r="GCL225" s="716"/>
      <c r="GCM225" s="716"/>
      <c r="GCN225" s="717"/>
      <c r="GCO225" s="715"/>
      <c r="GCP225" s="716"/>
      <c r="GCQ225" s="716"/>
      <c r="GCR225" s="716"/>
      <c r="GCS225" s="716"/>
      <c r="GCT225" s="717"/>
      <c r="GCU225" s="715"/>
      <c r="GCV225" s="716"/>
      <c r="GCW225" s="716"/>
      <c r="GCX225" s="716"/>
      <c r="GCY225" s="716"/>
      <c r="GCZ225" s="717"/>
      <c r="GDA225" s="715"/>
      <c r="GDB225" s="716"/>
      <c r="GDC225" s="716"/>
      <c r="GDD225" s="716"/>
      <c r="GDE225" s="716"/>
      <c r="GDF225" s="717"/>
      <c r="GDG225" s="715"/>
      <c r="GDH225" s="716"/>
      <c r="GDI225" s="716"/>
      <c r="GDJ225" s="716"/>
      <c r="GDK225" s="716"/>
      <c r="GDL225" s="717"/>
      <c r="GDM225" s="715"/>
      <c r="GDN225" s="716"/>
      <c r="GDO225" s="716"/>
      <c r="GDP225" s="716"/>
      <c r="GDQ225" s="716"/>
      <c r="GDR225" s="717"/>
      <c r="GDS225" s="715"/>
      <c r="GDT225" s="716"/>
      <c r="GDU225" s="716"/>
      <c r="GDV225" s="716"/>
      <c r="GDW225" s="716"/>
      <c r="GDX225" s="717"/>
      <c r="GDY225" s="715"/>
      <c r="GDZ225" s="716"/>
      <c r="GEA225" s="716"/>
      <c r="GEB225" s="716"/>
      <c r="GEC225" s="716"/>
      <c r="GED225" s="717"/>
      <c r="GEE225" s="715"/>
      <c r="GEF225" s="716"/>
      <c r="GEG225" s="716"/>
      <c r="GEH225" s="716"/>
      <c r="GEI225" s="716"/>
      <c r="GEJ225" s="717"/>
      <c r="GEK225" s="715"/>
      <c r="GEL225" s="716"/>
      <c r="GEM225" s="716"/>
      <c r="GEN225" s="716"/>
      <c r="GEO225" s="716"/>
      <c r="GEP225" s="717"/>
      <c r="GEQ225" s="715"/>
      <c r="GER225" s="716"/>
      <c r="GES225" s="716"/>
      <c r="GET225" s="716"/>
      <c r="GEU225" s="716"/>
      <c r="GEV225" s="717"/>
      <c r="GEW225" s="715"/>
      <c r="GEX225" s="716"/>
      <c r="GEY225" s="716"/>
      <c r="GEZ225" s="716"/>
      <c r="GFA225" s="716"/>
      <c r="GFB225" s="717"/>
      <c r="GFC225" s="715"/>
      <c r="GFD225" s="716"/>
      <c r="GFE225" s="716"/>
      <c r="GFF225" s="716"/>
      <c r="GFG225" s="716"/>
      <c r="GFH225" s="717"/>
      <c r="GFI225" s="715"/>
      <c r="GFJ225" s="716"/>
      <c r="GFK225" s="716"/>
      <c r="GFL225" s="716"/>
      <c r="GFM225" s="716"/>
      <c r="GFN225" s="717"/>
      <c r="GFO225" s="715"/>
      <c r="GFP225" s="716"/>
      <c r="GFQ225" s="716"/>
      <c r="GFR225" s="716"/>
      <c r="GFS225" s="716"/>
      <c r="GFT225" s="717"/>
      <c r="GFU225" s="715"/>
      <c r="GFV225" s="716"/>
      <c r="GFW225" s="716"/>
      <c r="GFX225" s="716"/>
      <c r="GFY225" s="716"/>
      <c r="GFZ225" s="717"/>
      <c r="GGA225" s="715"/>
      <c r="GGB225" s="716"/>
      <c r="GGC225" s="716"/>
      <c r="GGD225" s="716"/>
      <c r="GGE225" s="716"/>
      <c r="GGF225" s="717"/>
      <c r="GGG225" s="715"/>
      <c r="GGH225" s="716"/>
      <c r="GGI225" s="716"/>
      <c r="GGJ225" s="716"/>
      <c r="GGK225" s="716"/>
      <c r="GGL225" s="717"/>
      <c r="GGM225" s="715"/>
      <c r="GGN225" s="716"/>
      <c r="GGO225" s="716"/>
      <c r="GGP225" s="716"/>
      <c r="GGQ225" s="716"/>
      <c r="GGR225" s="717"/>
      <c r="GGS225" s="715"/>
      <c r="GGT225" s="716"/>
      <c r="GGU225" s="716"/>
      <c r="GGV225" s="716"/>
      <c r="GGW225" s="716"/>
      <c r="GGX225" s="717"/>
      <c r="GGY225" s="715"/>
      <c r="GGZ225" s="716"/>
      <c r="GHA225" s="716"/>
      <c r="GHB225" s="716"/>
      <c r="GHC225" s="716"/>
      <c r="GHD225" s="717"/>
      <c r="GHE225" s="715"/>
      <c r="GHF225" s="716"/>
      <c r="GHG225" s="716"/>
      <c r="GHH225" s="716"/>
      <c r="GHI225" s="716"/>
      <c r="GHJ225" s="717"/>
      <c r="GHK225" s="715"/>
      <c r="GHL225" s="716"/>
      <c r="GHM225" s="716"/>
      <c r="GHN225" s="716"/>
      <c r="GHO225" s="716"/>
      <c r="GHP225" s="717"/>
      <c r="GHQ225" s="715"/>
      <c r="GHR225" s="716"/>
      <c r="GHS225" s="716"/>
      <c r="GHT225" s="716"/>
      <c r="GHU225" s="716"/>
      <c r="GHV225" s="717"/>
      <c r="GHW225" s="715"/>
      <c r="GHX225" s="716"/>
      <c r="GHY225" s="716"/>
      <c r="GHZ225" s="716"/>
      <c r="GIA225" s="716"/>
      <c r="GIB225" s="717"/>
      <c r="GIC225" s="715"/>
      <c r="GID225" s="716"/>
      <c r="GIE225" s="716"/>
      <c r="GIF225" s="716"/>
      <c r="GIG225" s="716"/>
      <c r="GIH225" s="717"/>
      <c r="GII225" s="715"/>
      <c r="GIJ225" s="716"/>
      <c r="GIK225" s="716"/>
      <c r="GIL225" s="716"/>
      <c r="GIM225" s="716"/>
      <c r="GIN225" s="717"/>
      <c r="GIO225" s="715"/>
      <c r="GIP225" s="716"/>
      <c r="GIQ225" s="716"/>
      <c r="GIR225" s="716"/>
      <c r="GIS225" s="716"/>
      <c r="GIT225" s="717"/>
      <c r="GIU225" s="715"/>
      <c r="GIV225" s="716"/>
      <c r="GIW225" s="716"/>
      <c r="GIX225" s="716"/>
      <c r="GIY225" s="716"/>
      <c r="GIZ225" s="717"/>
      <c r="GJA225" s="715"/>
      <c r="GJB225" s="716"/>
      <c r="GJC225" s="716"/>
      <c r="GJD225" s="716"/>
      <c r="GJE225" s="716"/>
      <c r="GJF225" s="717"/>
      <c r="GJG225" s="715"/>
      <c r="GJH225" s="716"/>
      <c r="GJI225" s="716"/>
      <c r="GJJ225" s="716"/>
      <c r="GJK225" s="716"/>
      <c r="GJL225" s="717"/>
      <c r="GJM225" s="715"/>
      <c r="GJN225" s="716"/>
      <c r="GJO225" s="716"/>
      <c r="GJP225" s="716"/>
      <c r="GJQ225" s="716"/>
      <c r="GJR225" s="717"/>
      <c r="GJS225" s="715"/>
      <c r="GJT225" s="716"/>
      <c r="GJU225" s="716"/>
      <c r="GJV225" s="716"/>
      <c r="GJW225" s="716"/>
      <c r="GJX225" s="717"/>
      <c r="GJY225" s="715"/>
      <c r="GJZ225" s="716"/>
      <c r="GKA225" s="716"/>
      <c r="GKB225" s="716"/>
      <c r="GKC225" s="716"/>
      <c r="GKD225" s="717"/>
      <c r="GKE225" s="715"/>
      <c r="GKF225" s="716"/>
      <c r="GKG225" s="716"/>
      <c r="GKH225" s="716"/>
      <c r="GKI225" s="716"/>
      <c r="GKJ225" s="717"/>
      <c r="GKK225" s="715"/>
      <c r="GKL225" s="716"/>
      <c r="GKM225" s="716"/>
      <c r="GKN225" s="716"/>
      <c r="GKO225" s="716"/>
      <c r="GKP225" s="717"/>
      <c r="GKQ225" s="715"/>
      <c r="GKR225" s="716"/>
      <c r="GKS225" s="716"/>
      <c r="GKT225" s="716"/>
      <c r="GKU225" s="716"/>
      <c r="GKV225" s="717"/>
      <c r="GKW225" s="715"/>
      <c r="GKX225" s="716"/>
      <c r="GKY225" s="716"/>
      <c r="GKZ225" s="716"/>
      <c r="GLA225" s="716"/>
      <c r="GLB225" s="717"/>
      <c r="GLC225" s="715"/>
      <c r="GLD225" s="716"/>
      <c r="GLE225" s="716"/>
      <c r="GLF225" s="716"/>
      <c r="GLG225" s="716"/>
      <c r="GLH225" s="717"/>
      <c r="GLI225" s="715"/>
      <c r="GLJ225" s="716"/>
      <c r="GLK225" s="716"/>
      <c r="GLL225" s="716"/>
      <c r="GLM225" s="716"/>
      <c r="GLN225" s="717"/>
      <c r="GLO225" s="715"/>
      <c r="GLP225" s="716"/>
      <c r="GLQ225" s="716"/>
      <c r="GLR225" s="716"/>
      <c r="GLS225" s="716"/>
      <c r="GLT225" s="717"/>
      <c r="GLU225" s="715"/>
      <c r="GLV225" s="716"/>
      <c r="GLW225" s="716"/>
      <c r="GLX225" s="716"/>
      <c r="GLY225" s="716"/>
      <c r="GLZ225" s="717"/>
      <c r="GMA225" s="715"/>
      <c r="GMB225" s="716"/>
      <c r="GMC225" s="716"/>
      <c r="GMD225" s="716"/>
      <c r="GME225" s="716"/>
      <c r="GMF225" s="717"/>
      <c r="GMG225" s="715"/>
      <c r="GMH225" s="716"/>
      <c r="GMI225" s="716"/>
      <c r="GMJ225" s="716"/>
      <c r="GMK225" s="716"/>
      <c r="GML225" s="717"/>
      <c r="GMM225" s="715"/>
      <c r="GMN225" s="716"/>
      <c r="GMO225" s="716"/>
      <c r="GMP225" s="716"/>
      <c r="GMQ225" s="716"/>
      <c r="GMR225" s="717"/>
      <c r="GMS225" s="715"/>
      <c r="GMT225" s="716"/>
      <c r="GMU225" s="716"/>
      <c r="GMV225" s="716"/>
      <c r="GMW225" s="716"/>
      <c r="GMX225" s="717"/>
      <c r="GMY225" s="715"/>
      <c r="GMZ225" s="716"/>
      <c r="GNA225" s="716"/>
      <c r="GNB225" s="716"/>
      <c r="GNC225" s="716"/>
      <c r="GND225" s="717"/>
      <c r="GNE225" s="715"/>
      <c r="GNF225" s="716"/>
      <c r="GNG225" s="716"/>
      <c r="GNH225" s="716"/>
      <c r="GNI225" s="716"/>
      <c r="GNJ225" s="717"/>
      <c r="GNK225" s="715"/>
      <c r="GNL225" s="716"/>
      <c r="GNM225" s="716"/>
      <c r="GNN225" s="716"/>
      <c r="GNO225" s="716"/>
      <c r="GNP225" s="717"/>
      <c r="GNQ225" s="715"/>
      <c r="GNR225" s="716"/>
      <c r="GNS225" s="716"/>
      <c r="GNT225" s="716"/>
      <c r="GNU225" s="716"/>
      <c r="GNV225" s="717"/>
      <c r="GNW225" s="715"/>
      <c r="GNX225" s="716"/>
      <c r="GNY225" s="716"/>
      <c r="GNZ225" s="716"/>
      <c r="GOA225" s="716"/>
      <c r="GOB225" s="717"/>
      <c r="GOC225" s="715"/>
      <c r="GOD225" s="716"/>
      <c r="GOE225" s="716"/>
      <c r="GOF225" s="716"/>
      <c r="GOG225" s="716"/>
      <c r="GOH225" s="717"/>
      <c r="GOI225" s="715"/>
      <c r="GOJ225" s="716"/>
      <c r="GOK225" s="716"/>
      <c r="GOL225" s="716"/>
      <c r="GOM225" s="716"/>
      <c r="GON225" s="717"/>
      <c r="GOO225" s="715"/>
      <c r="GOP225" s="716"/>
      <c r="GOQ225" s="716"/>
      <c r="GOR225" s="716"/>
      <c r="GOS225" s="716"/>
      <c r="GOT225" s="717"/>
      <c r="GOU225" s="715"/>
      <c r="GOV225" s="716"/>
      <c r="GOW225" s="716"/>
      <c r="GOX225" s="716"/>
      <c r="GOY225" s="716"/>
      <c r="GOZ225" s="717"/>
      <c r="GPA225" s="715"/>
      <c r="GPB225" s="716"/>
      <c r="GPC225" s="716"/>
      <c r="GPD225" s="716"/>
      <c r="GPE225" s="716"/>
      <c r="GPF225" s="717"/>
      <c r="GPG225" s="715"/>
      <c r="GPH225" s="716"/>
      <c r="GPI225" s="716"/>
      <c r="GPJ225" s="716"/>
      <c r="GPK225" s="716"/>
      <c r="GPL225" s="717"/>
      <c r="GPM225" s="715"/>
      <c r="GPN225" s="716"/>
      <c r="GPO225" s="716"/>
      <c r="GPP225" s="716"/>
      <c r="GPQ225" s="716"/>
      <c r="GPR225" s="717"/>
      <c r="GPS225" s="715"/>
      <c r="GPT225" s="716"/>
      <c r="GPU225" s="716"/>
      <c r="GPV225" s="716"/>
      <c r="GPW225" s="716"/>
      <c r="GPX225" s="717"/>
      <c r="GPY225" s="715"/>
      <c r="GPZ225" s="716"/>
      <c r="GQA225" s="716"/>
      <c r="GQB225" s="716"/>
      <c r="GQC225" s="716"/>
      <c r="GQD225" s="717"/>
      <c r="GQE225" s="715"/>
      <c r="GQF225" s="716"/>
      <c r="GQG225" s="716"/>
      <c r="GQH225" s="716"/>
      <c r="GQI225" s="716"/>
      <c r="GQJ225" s="717"/>
      <c r="GQK225" s="715"/>
      <c r="GQL225" s="716"/>
      <c r="GQM225" s="716"/>
      <c r="GQN225" s="716"/>
      <c r="GQO225" s="716"/>
      <c r="GQP225" s="717"/>
      <c r="GQQ225" s="715"/>
      <c r="GQR225" s="716"/>
      <c r="GQS225" s="716"/>
      <c r="GQT225" s="716"/>
      <c r="GQU225" s="716"/>
      <c r="GQV225" s="717"/>
      <c r="GQW225" s="715"/>
      <c r="GQX225" s="716"/>
      <c r="GQY225" s="716"/>
      <c r="GQZ225" s="716"/>
      <c r="GRA225" s="716"/>
      <c r="GRB225" s="717"/>
      <c r="GRC225" s="715"/>
      <c r="GRD225" s="716"/>
      <c r="GRE225" s="716"/>
      <c r="GRF225" s="716"/>
      <c r="GRG225" s="716"/>
      <c r="GRH225" s="717"/>
      <c r="GRI225" s="715"/>
      <c r="GRJ225" s="716"/>
      <c r="GRK225" s="716"/>
      <c r="GRL225" s="716"/>
      <c r="GRM225" s="716"/>
      <c r="GRN225" s="717"/>
      <c r="GRO225" s="715"/>
      <c r="GRP225" s="716"/>
      <c r="GRQ225" s="716"/>
      <c r="GRR225" s="716"/>
      <c r="GRS225" s="716"/>
      <c r="GRT225" s="717"/>
      <c r="GRU225" s="715"/>
      <c r="GRV225" s="716"/>
      <c r="GRW225" s="716"/>
      <c r="GRX225" s="716"/>
      <c r="GRY225" s="716"/>
      <c r="GRZ225" s="717"/>
      <c r="GSA225" s="715"/>
      <c r="GSB225" s="716"/>
      <c r="GSC225" s="716"/>
      <c r="GSD225" s="716"/>
      <c r="GSE225" s="716"/>
      <c r="GSF225" s="717"/>
      <c r="GSG225" s="715"/>
      <c r="GSH225" s="716"/>
      <c r="GSI225" s="716"/>
      <c r="GSJ225" s="716"/>
      <c r="GSK225" s="716"/>
      <c r="GSL225" s="717"/>
      <c r="GSM225" s="715"/>
      <c r="GSN225" s="716"/>
      <c r="GSO225" s="716"/>
      <c r="GSP225" s="716"/>
      <c r="GSQ225" s="716"/>
      <c r="GSR225" s="717"/>
      <c r="GSS225" s="715"/>
      <c r="GST225" s="716"/>
      <c r="GSU225" s="716"/>
      <c r="GSV225" s="716"/>
      <c r="GSW225" s="716"/>
      <c r="GSX225" s="717"/>
      <c r="GSY225" s="715"/>
      <c r="GSZ225" s="716"/>
      <c r="GTA225" s="716"/>
      <c r="GTB225" s="716"/>
      <c r="GTC225" s="716"/>
      <c r="GTD225" s="717"/>
      <c r="GTE225" s="715"/>
      <c r="GTF225" s="716"/>
      <c r="GTG225" s="716"/>
      <c r="GTH225" s="716"/>
      <c r="GTI225" s="716"/>
      <c r="GTJ225" s="717"/>
      <c r="GTK225" s="715"/>
      <c r="GTL225" s="716"/>
      <c r="GTM225" s="716"/>
      <c r="GTN225" s="716"/>
      <c r="GTO225" s="716"/>
      <c r="GTP225" s="717"/>
      <c r="GTQ225" s="715"/>
      <c r="GTR225" s="716"/>
      <c r="GTS225" s="716"/>
      <c r="GTT225" s="716"/>
      <c r="GTU225" s="716"/>
      <c r="GTV225" s="717"/>
      <c r="GTW225" s="715"/>
      <c r="GTX225" s="716"/>
      <c r="GTY225" s="716"/>
      <c r="GTZ225" s="716"/>
      <c r="GUA225" s="716"/>
      <c r="GUB225" s="717"/>
      <c r="GUC225" s="715"/>
      <c r="GUD225" s="716"/>
      <c r="GUE225" s="716"/>
      <c r="GUF225" s="716"/>
      <c r="GUG225" s="716"/>
      <c r="GUH225" s="717"/>
      <c r="GUI225" s="715"/>
      <c r="GUJ225" s="716"/>
      <c r="GUK225" s="716"/>
      <c r="GUL225" s="716"/>
      <c r="GUM225" s="716"/>
      <c r="GUN225" s="717"/>
      <c r="GUO225" s="715"/>
      <c r="GUP225" s="716"/>
      <c r="GUQ225" s="716"/>
      <c r="GUR225" s="716"/>
      <c r="GUS225" s="716"/>
      <c r="GUT225" s="717"/>
      <c r="GUU225" s="715"/>
      <c r="GUV225" s="716"/>
      <c r="GUW225" s="716"/>
      <c r="GUX225" s="716"/>
      <c r="GUY225" s="716"/>
      <c r="GUZ225" s="717"/>
      <c r="GVA225" s="715"/>
      <c r="GVB225" s="716"/>
      <c r="GVC225" s="716"/>
      <c r="GVD225" s="716"/>
      <c r="GVE225" s="716"/>
      <c r="GVF225" s="717"/>
      <c r="GVG225" s="715"/>
      <c r="GVH225" s="716"/>
      <c r="GVI225" s="716"/>
      <c r="GVJ225" s="716"/>
      <c r="GVK225" s="716"/>
      <c r="GVL225" s="717"/>
      <c r="GVM225" s="715"/>
      <c r="GVN225" s="716"/>
      <c r="GVO225" s="716"/>
      <c r="GVP225" s="716"/>
      <c r="GVQ225" s="716"/>
      <c r="GVR225" s="717"/>
      <c r="GVS225" s="715"/>
      <c r="GVT225" s="716"/>
      <c r="GVU225" s="716"/>
      <c r="GVV225" s="716"/>
      <c r="GVW225" s="716"/>
      <c r="GVX225" s="717"/>
      <c r="GVY225" s="715"/>
      <c r="GVZ225" s="716"/>
      <c r="GWA225" s="716"/>
      <c r="GWB225" s="716"/>
      <c r="GWC225" s="716"/>
      <c r="GWD225" s="717"/>
      <c r="GWE225" s="715"/>
      <c r="GWF225" s="716"/>
      <c r="GWG225" s="716"/>
      <c r="GWH225" s="716"/>
      <c r="GWI225" s="716"/>
      <c r="GWJ225" s="717"/>
      <c r="GWK225" s="715"/>
      <c r="GWL225" s="716"/>
      <c r="GWM225" s="716"/>
      <c r="GWN225" s="716"/>
      <c r="GWO225" s="716"/>
      <c r="GWP225" s="717"/>
      <c r="GWQ225" s="715"/>
      <c r="GWR225" s="716"/>
      <c r="GWS225" s="716"/>
      <c r="GWT225" s="716"/>
      <c r="GWU225" s="716"/>
      <c r="GWV225" s="717"/>
      <c r="GWW225" s="715"/>
      <c r="GWX225" s="716"/>
      <c r="GWY225" s="716"/>
      <c r="GWZ225" s="716"/>
      <c r="GXA225" s="716"/>
      <c r="GXB225" s="717"/>
      <c r="GXC225" s="715"/>
      <c r="GXD225" s="716"/>
      <c r="GXE225" s="716"/>
      <c r="GXF225" s="716"/>
      <c r="GXG225" s="716"/>
      <c r="GXH225" s="717"/>
      <c r="GXI225" s="715"/>
      <c r="GXJ225" s="716"/>
      <c r="GXK225" s="716"/>
      <c r="GXL225" s="716"/>
      <c r="GXM225" s="716"/>
      <c r="GXN225" s="717"/>
      <c r="GXO225" s="715"/>
      <c r="GXP225" s="716"/>
      <c r="GXQ225" s="716"/>
      <c r="GXR225" s="716"/>
      <c r="GXS225" s="716"/>
      <c r="GXT225" s="717"/>
      <c r="GXU225" s="715"/>
      <c r="GXV225" s="716"/>
      <c r="GXW225" s="716"/>
      <c r="GXX225" s="716"/>
      <c r="GXY225" s="716"/>
      <c r="GXZ225" s="717"/>
      <c r="GYA225" s="715"/>
      <c r="GYB225" s="716"/>
      <c r="GYC225" s="716"/>
      <c r="GYD225" s="716"/>
      <c r="GYE225" s="716"/>
      <c r="GYF225" s="717"/>
      <c r="GYG225" s="715"/>
      <c r="GYH225" s="716"/>
      <c r="GYI225" s="716"/>
      <c r="GYJ225" s="716"/>
      <c r="GYK225" s="716"/>
      <c r="GYL225" s="717"/>
      <c r="GYM225" s="715"/>
      <c r="GYN225" s="716"/>
      <c r="GYO225" s="716"/>
      <c r="GYP225" s="716"/>
      <c r="GYQ225" s="716"/>
      <c r="GYR225" s="717"/>
      <c r="GYS225" s="715"/>
      <c r="GYT225" s="716"/>
      <c r="GYU225" s="716"/>
      <c r="GYV225" s="716"/>
      <c r="GYW225" s="716"/>
      <c r="GYX225" s="717"/>
      <c r="GYY225" s="715"/>
      <c r="GYZ225" s="716"/>
      <c r="GZA225" s="716"/>
      <c r="GZB225" s="716"/>
      <c r="GZC225" s="716"/>
      <c r="GZD225" s="717"/>
      <c r="GZE225" s="715"/>
      <c r="GZF225" s="716"/>
      <c r="GZG225" s="716"/>
      <c r="GZH225" s="716"/>
      <c r="GZI225" s="716"/>
      <c r="GZJ225" s="717"/>
      <c r="GZK225" s="715"/>
      <c r="GZL225" s="716"/>
      <c r="GZM225" s="716"/>
      <c r="GZN225" s="716"/>
      <c r="GZO225" s="716"/>
      <c r="GZP225" s="717"/>
      <c r="GZQ225" s="715"/>
      <c r="GZR225" s="716"/>
      <c r="GZS225" s="716"/>
      <c r="GZT225" s="716"/>
      <c r="GZU225" s="716"/>
      <c r="GZV225" s="717"/>
      <c r="GZW225" s="715"/>
      <c r="GZX225" s="716"/>
      <c r="GZY225" s="716"/>
      <c r="GZZ225" s="716"/>
      <c r="HAA225" s="716"/>
      <c r="HAB225" s="717"/>
      <c r="HAC225" s="715"/>
      <c r="HAD225" s="716"/>
      <c r="HAE225" s="716"/>
      <c r="HAF225" s="716"/>
      <c r="HAG225" s="716"/>
      <c r="HAH225" s="717"/>
      <c r="HAI225" s="715"/>
      <c r="HAJ225" s="716"/>
      <c r="HAK225" s="716"/>
      <c r="HAL225" s="716"/>
      <c r="HAM225" s="716"/>
      <c r="HAN225" s="717"/>
      <c r="HAO225" s="715"/>
      <c r="HAP225" s="716"/>
      <c r="HAQ225" s="716"/>
      <c r="HAR225" s="716"/>
      <c r="HAS225" s="716"/>
      <c r="HAT225" s="717"/>
      <c r="HAU225" s="715"/>
      <c r="HAV225" s="716"/>
      <c r="HAW225" s="716"/>
      <c r="HAX225" s="716"/>
      <c r="HAY225" s="716"/>
      <c r="HAZ225" s="717"/>
      <c r="HBA225" s="715"/>
      <c r="HBB225" s="716"/>
      <c r="HBC225" s="716"/>
      <c r="HBD225" s="716"/>
      <c r="HBE225" s="716"/>
      <c r="HBF225" s="717"/>
      <c r="HBG225" s="715"/>
      <c r="HBH225" s="716"/>
      <c r="HBI225" s="716"/>
      <c r="HBJ225" s="716"/>
      <c r="HBK225" s="716"/>
      <c r="HBL225" s="717"/>
      <c r="HBM225" s="715"/>
      <c r="HBN225" s="716"/>
      <c r="HBO225" s="716"/>
      <c r="HBP225" s="716"/>
      <c r="HBQ225" s="716"/>
      <c r="HBR225" s="717"/>
      <c r="HBS225" s="715"/>
      <c r="HBT225" s="716"/>
      <c r="HBU225" s="716"/>
      <c r="HBV225" s="716"/>
      <c r="HBW225" s="716"/>
      <c r="HBX225" s="717"/>
      <c r="HBY225" s="715"/>
      <c r="HBZ225" s="716"/>
      <c r="HCA225" s="716"/>
      <c r="HCB225" s="716"/>
      <c r="HCC225" s="716"/>
      <c r="HCD225" s="717"/>
      <c r="HCE225" s="715"/>
      <c r="HCF225" s="716"/>
      <c r="HCG225" s="716"/>
      <c r="HCH225" s="716"/>
      <c r="HCI225" s="716"/>
      <c r="HCJ225" s="717"/>
      <c r="HCK225" s="715"/>
      <c r="HCL225" s="716"/>
      <c r="HCM225" s="716"/>
      <c r="HCN225" s="716"/>
      <c r="HCO225" s="716"/>
      <c r="HCP225" s="717"/>
      <c r="HCQ225" s="715"/>
      <c r="HCR225" s="716"/>
      <c r="HCS225" s="716"/>
      <c r="HCT225" s="716"/>
      <c r="HCU225" s="716"/>
      <c r="HCV225" s="717"/>
      <c r="HCW225" s="715"/>
      <c r="HCX225" s="716"/>
      <c r="HCY225" s="716"/>
      <c r="HCZ225" s="716"/>
      <c r="HDA225" s="716"/>
      <c r="HDB225" s="717"/>
      <c r="HDC225" s="715"/>
      <c r="HDD225" s="716"/>
      <c r="HDE225" s="716"/>
      <c r="HDF225" s="716"/>
      <c r="HDG225" s="716"/>
      <c r="HDH225" s="717"/>
      <c r="HDI225" s="715"/>
      <c r="HDJ225" s="716"/>
      <c r="HDK225" s="716"/>
      <c r="HDL225" s="716"/>
      <c r="HDM225" s="716"/>
      <c r="HDN225" s="717"/>
      <c r="HDO225" s="715"/>
      <c r="HDP225" s="716"/>
      <c r="HDQ225" s="716"/>
      <c r="HDR225" s="716"/>
      <c r="HDS225" s="716"/>
      <c r="HDT225" s="717"/>
      <c r="HDU225" s="715"/>
      <c r="HDV225" s="716"/>
      <c r="HDW225" s="716"/>
      <c r="HDX225" s="716"/>
      <c r="HDY225" s="716"/>
      <c r="HDZ225" s="717"/>
      <c r="HEA225" s="715"/>
      <c r="HEB225" s="716"/>
      <c r="HEC225" s="716"/>
      <c r="HED225" s="716"/>
      <c r="HEE225" s="716"/>
      <c r="HEF225" s="717"/>
      <c r="HEG225" s="715"/>
      <c r="HEH225" s="716"/>
      <c r="HEI225" s="716"/>
      <c r="HEJ225" s="716"/>
      <c r="HEK225" s="716"/>
      <c r="HEL225" s="717"/>
      <c r="HEM225" s="715"/>
      <c r="HEN225" s="716"/>
      <c r="HEO225" s="716"/>
      <c r="HEP225" s="716"/>
      <c r="HEQ225" s="716"/>
      <c r="HER225" s="717"/>
      <c r="HES225" s="715"/>
      <c r="HET225" s="716"/>
      <c r="HEU225" s="716"/>
      <c r="HEV225" s="716"/>
      <c r="HEW225" s="716"/>
      <c r="HEX225" s="717"/>
      <c r="HEY225" s="715"/>
      <c r="HEZ225" s="716"/>
      <c r="HFA225" s="716"/>
      <c r="HFB225" s="716"/>
      <c r="HFC225" s="716"/>
      <c r="HFD225" s="717"/>
      <c r="HFE225" s="715"/>
      <c r="HFF225" s="716"/>
      <c r="HFG225" s="716"/>
      <c r="HFH225" s="716"/>
      <c r="HFI225" s="716"/>
      <c r="HFJ225" s="717"/>
      <c r="HFK225" s="715"/>
      <c r="HFL225" s="716"/>
      <c r="HFM225" s="716"/>
      <c r="HFN225" s="716"/>
      <c r="HFO225" s="716"/>
      <c r="HFP225" s="717"/>
      <c r="HFQ225" s="715"/>
      <c r="HFR225" s="716"/>
      <c r="HFS225" s="716"/>
      <c r="HFT225" s="716"/>
      <c r="HFU225" s="716"/>
      <c r="HFV225" s="717"/>
      <c r="HFW225" s="715"/>
      <c r="HFX225" s="716"/>
      <c r="HFY225" s="716"/>
      <c r="HFZ225" s="716"/>
      <c r="HGA225" s="716"/>
      <c r="HGB225" s="717"/>
      <c r="HGC225" s="715"/>
      <c r="HGD225" s="716"/>
      <c r="HGE225" s="716"/>
      <c r="HGF225" s="716"/>
      <c r="HGG225" s="716"/>
      <c r="HGH225" s="717"/>
      <c r="HGI225" s="715"/>
      <c r="HGJ225" s="716"/>
      <c r="HGK225" s="716"/>
      <c r="HGL225" s="716"/>
      <c r="HGM225" s="716"/>
      <c r="HGN225" s="717"/>
      <c r="HGO225" s="715"/>
      <c r="HGP225" s="716"/>
      <c r="HGQ225" s="716"/>
      <c r="HGR225" s="716"/>
      <c r="HGS225" s="716"/>
      <c r="HGT225" s="717"/>
      <c r="HGU225" s="715"/>
      <c r="HGV225" s="716"/>
      <c r="HGW225" s="716"/>
      <c r="HGX225" s="716"/>
      <c r="HGY225" s="716"/>
      <c r="HGZ225" s="717"/>
      <c r="HHA225" s="715"/>
      <c r="HHB225" s="716"/>
      <c r="HHC225" s="716"/>
      <c r="HHD225" s="716"/>
      <c r="HHE225" s="716"/>
      <c r="HHF225" s="717"/>
      <c r="HHG225" s="715"/>
      <c r="HHH225" s="716"/>
      <c r="HHI225" s="716"/>
      <c r="HHJ225" s="716"/>
      <c r="HHK225" s="716"/>
      <c r="HHL225" s="717"/>
      <c r="HHM225" s="715"/>
      <c r="HHN225" s="716"/>
      <c r="HHO225" s="716"/>
      <c r="HHP225" s="716"/>
      <c r="HHQ225" s="716"/>
      <c r="HHR225" s="717"/>
      <c r="HHS225" s="715"/>
      <c r="HHT225" s="716"/>
      <c r="HHU225" s="716"/>
      <c r="HHV225" s="716"/>
      <c r="HHW225" s="716"/>
      <c r="HHX225" s="717"/>
      <c r="HHY225" s="715"/>
      <c r="HHZ225" s="716"/>
      <c r="HIA225" s="716"/>
      <c r="HIB225" s="716"/>
      <c r="HIC225" s="716"/>
      <c r="HID225" s="717"/>
      <c r="HIE225" s="715"/>
      <c r="HIF225" s="716"/>
      <c r="HIG225" s="716"/>
      <c r="HIH225" s="716"/>
      <c r="HII225" s="716"/>
      <c r="HIJ225" s="717"/>
      <c r="HIK225" s="715"/>
      <c r="HIL225" s="716"/>
      <c r="HIM225" s="716"/>
      <c r="HIN225" s="716"/>
      <c r="HIO225" s="716"/>
      <c r="HIP225" s="717"/>
      <c r="HIQ225" s="715"/>
      <c r="HIR225" s="716"/>
      <c r="HIS225" s="716"/>
      <c r="HIT225" s="716"/>
      <c r="HIU225" s="716"/>
      <c r="HIV225" s="717"/>
      <c r="HIW225" s="715"/>
      <c r="HIX225" s="716"/>
      <c r="HIY225" s="716"/>
      <c r="HIZ225" s="716"/>
      <c r="HJA225" s="716"/>
      <c r="HJB225" s="717"/>
      <c r="HJC225" s="715"/>
      <c r="HJD225" s="716"/>
      <c r="HJE225" s="716"/>
      <c r="HJF225" s="716"/>
      <c r="HJG225" s="716"/>
      <c r="HJH225" s="717"/>
      <c r="HJI225" s="715"/>
      <c r="HJJ225" s="716"/>
      <c r="HJK225" s="716"/>
      <c r="HJL225" s="716"/>
      <c r="HJM225" s="716"/>
      <c r="HJN225" s="717"/>
      <c r="HJO225" s="715"/>
      <c r="HJP225" s="716"/>
      <c r="HJQ225" s="716"/>
      <c r="HJR225" s="716"/>
      <c r="HJS225" s="716"/>
      <c r="HJT225" s="717"/>
      <c r="HJU225" s="715"/>
      <c r="HJV225" s="716"/>
      <c r="HJW225" s="716"/>
      <c r="HJX225" s="716"/>
      <c r="HJY225" s="716"/>
      <c r="HJZ225" s="717"/>
      <c r="HKA225" s="715"/>
      <c r="HKB225" s="716"/>
      <c r="HKC225" s="716"/>
      <c r="HKD225" s="716"/>
      <c r="HKE225" s="716"/>
      <c r="HKF225" s="717"/>
      <c r="HKG225" s="715"/>
      <c r="HKH225" s="716"/>
      <c r="HKI225" s="716"/>
      <c r="HKJ225" s="716"/>
      <c r="HKK225" s="716"/>
      <c r="HKL225" s="717"/>
      <c r="HKM225" s="715"/>
      <c r="HKN225" s="716"/>
      <c r="HKO225" s="716"/>
      <c r="HKP225" s="716"/>
      <c r="HKQ225" s="716"/>
      <c r="HKR225" s="717"/>
      <c r="HKS225" s="715"/>
      <c r="HKT225" s="716"/>
      <c r="HKU225" s="716"/>
      <c r="HKV225" s="716"/>
      <c r="HKW225" s="716"/>
      <c r="HKX225" s="717"/>
      <c r="HKY225" s="715"/>
      <c r="HKZ225" s="716"/>
      <c r="HLA225" s="716"/>
      <c r="HLB225" s="716"/>
      <c r="HLC225" s="716"/>
      <c r="HLD225" s="717"/>
      <c r="HLE225" s="715"/>
      <c r="HLF225" s="716"/>
      <c r="HLG225" s="716"/>
      <c r="HLH225" s="716"/>
      <c r="HLI225" s="716"/>
      <c r="HLJ225" s="717"/>
      <c r="HLK225" s="715"/>
      <c r="HLL225" s="716"/>
      <c r="HLM225" s="716"/>
      <c r="HLN225" s="716"/>
      <c r="HLO225" s="716"/>
      <c r="HLP225" s="717"/>
      <c r="HLQ225" s="715"/>
      <c r="HLR225" s="716"/>
      <c r="HLS225" s="716"/>
      <c r="HLT225" s="716"/>
      <c r="HLU225" s="716"/>
      <c r="HLV225" s="717"/>
      <c r="HLW225" s="715"/>
      <c r="HLX225" s="716"/>
      <c r="HLY225" s="716"/>
      <c r="HLZ225" s="716"/>
      <c r="HMA225" s="716"/>
      <c r="HMB225" s="717"/>
      <c r="HMC225" s="715"/>
      <c r="HMD225" s="716"/>
      <c r="HME225" s="716"/>
      <c r="HMF225" s="716"/>
      <c r="HMG225" s="716"/>
      <c r="HMH225" s="717"/>
      <c r="HMI225" s="715"/>
      <c r="HMJ225" s="716"/>
      <c r="HMK225" s="716"/>
      <c r="HML225" s="716"/>
      <c r="HMM225" s="716"/>
      <c r="HMN225" s="717"/>
      <c r="HMO225" s="715"/>
      <c r="HMP225" s="716"/>
      <c r="HMQ225" s="716"/>
      <c r="HMR225" s="716"/>
      <c r="HMS225" s="716"/>
      <c r="HMT225" s="717"/>
      <c r="HMU225" s="715"/>
      <c r="HMV225" s="716"/>
      <c r="HMW225" s="716"/>
      <c r="HMX225" s="716"/>
      <c r="HMY225" s="716"/>
      <c r="HMZ225" s="717"/>
      <c r="HNA225" s="715"/>
      <c r="HNB225" s="716"/>
      <c r="HNC225" s="716"/>
      <c r="HND225" s="716"/>
      <c r="HNE225" s="716"/>
      <c r="HNF225" s="717"/>
      <c r="HNG225" s="715"/>
      <c r="HNH225" s="716"/>
      <c r="HNI225" s="716"/>
      <c r="HNJ225" s="716"/>
      <c r="HNK225" s="716"/>
      <c r="HNL225" s="717"/>
      <c r="HNM225" s="715"/>
      <c r="HNN225" s="716"/>
      <c r="HNO225" s="716"/>
      <c r="HNP225" s="716"/>
      <c r="HNQ225" s="716"/>
      <c r="HNR225" s="717"/>
      <c r="HNS225" s="715"/>
      <c r="HNT225" s="716"/>
      <c r="HNU225" s="716"/>
      <c r="HNV225" s="716"/>
      <c r="HNW225" s="716"/>
      <c r="HNX225" s="717"/>
      <c r="HNY225" s="715"/>
      <c r="HNZ225" s="716"/>
      <c r="HOA225" s="716"/>
      <c r="HOB225" s="716"/>
      <c r="HOC225" s="716"/>
      <c r="HOD225" s="717"/>
      <c r="HOE225" s="715"/>
      <c r="HOF225" s="716"/>
      <c r="HOG225" s="716"/>
      <c r="HOH225" s="716"/>
      <c r="HOI225" s="716"/>
      <c r="HOJ225" s="717"/>
      <c r="HOK225" s="715"/>
      <c r="HOL225" s="716"/>
      <c r="HOM225" s="716"/>
      <c r="HON225" s="716"/>
      <c r="HOO225" s="716"/>
      <c r="HOP225" s="717"/>
      <c r="HOQ225" s="715"/>
      <c r="HOR225" s="716"/>
      <c r="HOS225" s="716"/>
      <c r="HOT225" s="716"/>
      <c r="HOU225" s="716"/>
      <c r="HOV225" s="717"/>
      <c r="HOW225" s="715"/>
      <c r="HOX225" s="716"/>
      <c r="HOY225" s="716"/>
      <c r="HOZ225" s="716"/>
      <c r="HPA225" s="716"/>
      <c r="HPB225" s="717"/>
      <c r="HPC225" s="715"/>
      <c r="HPD225" s="716"/>
      <c r="HPE225" s="716"/>
      <c r="HPF225" s="716"/>
      <c r="HPG225" s="716"/>
      <c r="HPH225" s="717"/>
      <c r="HPI225" s="715"/>
      <c r="HPJ225" s="716"/>
      <c r="HPK225" s="716"/>
      <c r="HPL225" s="716"/>
      <c r="HPM225" s="716"/>
      <c r="HPN225" s="717"/>
      <c r="HPO225" s="715"/>
      <c r="HPP225" s="716"/>
      <c r="HPQ225" s="716"/>
      <c r="HPR225" s="716"/>
      <c r="HPS225" s="716"/>
      <c r="HPT225" s="717"/>
      <c r="HPU225" s="715"/>
      <c r="HPV225" s="716"/>
      <c r="HPW225" s="716"/>
      <c r="HPX225" s="716"/>
      <c r="HPY225" s="716"/>
      <c r="HPZ225" s="717"/>
      <c r="HQA225" s="715"/>
      <c r="HQB225" s="716"/>
      <c r="HQC225" s="716"/>
      <c r="HQD225" s="716"/>
      <c r="HQE225" s="716"/>
      <c r="HQF225" s="717"/>
      <c r="HQG225" s="715"/>
      <c r="HQH225" s="716"/>
      <c r="HQI225" s="716"/>
      <c r="HQJ225" s="716"/>
      <c r="HQK225" s="716"/>
      <c r="HQL225" s="717"/>
      <c r="HQM225" s="715"/>
      <c r="HQN225" s="716"/>
      <c r="HQO225" s="716"/>
      <c r="HQP225" s="716"/>
      <c r="HQQ225" s="716"/>
      <c r="HQR225" s="717"/>
      <c r="HQS225" s="715"/>
      <c r="HQT225" s="716"/>
      <c r="HQU225" s="716"/>
      <c r="HQV225" s="716"/>
      <c r="HQW225" s="716"/>
      <c r="HQX225" s="717"/>
      <c r="HQY225" s="715"/>
      <c r="HQZ225" s="716"/>
      <c r="HRA225" s="716"/>
      <c r="HRB225" s="716"/>
      <c r="HRC225" s="716"/>
      <c r="HRD225" s="717"/>
      <c r="HRE225" s="715"/>
      <c r="HRF225" s="716"/>
      <c r="HRG225" s="716"/>
      <c r="HRH225" s="716"/>
      <c r="HRI225" s="716"/>
      <c r="HRJ225" s="717"/>
      <c r="HRK225" s="715"/>
      <c r="HRL225" s="716"/>
      <c r="HRM225" s="716"/>
      <c r="HRN225" s="716"/>
      <c r="HRO225" s="716"/>
      <c r="HRP225" s="717"/>
      <c r="HRQ225" s="715"/>
      <c r="HRR225" s="716"/>
      <c r="HRS225" s="716"/>
      <c r="HRT225" s="716"/>
      <c r="HRU225" s="716"/>
      <c r="HRV225" s="717"/>
      <c r="HRW225" s="715"/>
      <c r="HRX225" s="716"/>
      <c r="HRY225" s="716"/>
      <c r="HRZ225" s="716"/>
      <c r="HSA225" s="716"/>
      <c r="HSB225" s="717"/>
      <c r="HSC225" s="715"/>
      <c r="HSD225" s="716"/>
      <c r="HSE225" s="716"/>
      <c r="HSF225" s="716"/>
      <c r="HSG225" s="716"/>
      <c r="HSH225" s="717"/>
      <c r="HSI225" s="715"/>
      <c r="HSJ225" s="716"/>
      <c r="HSK225" s="716"/>
      <c r="HSL225" s="716"/>
      <c r="HSM225" s="716"/>
      <c r="HSN225" s="717"/>
      <c r="HSO225" s="715"/>
      <c r="HSP225" s="716"/>
      <c r="HSQ225" s="716"/>
      <c r="HSR225" s="716"/>
      <c r="HSS225" s="716"/>
      <c r="HST225" s="717"/>
      <c r="HSU225" s="715"/>
      <c r="HSV225" s="716"/>
      <c r="HSW225" s="716"/>
      <c r="HSX225" s="716"/>
      <c r="HSY225" s="716"/>
      <c r="HSZ225" s="717"/>
      <c r="HTA225" s="715"/>
      <c r="HTB225" s="716"/>
      <c r="HTC225" s="716"/>
      <c r="HTD225" s="716"/>
      <c r="HTE225" s="716"/>
      <c r="HTF225" s="717"/>
      <c r="HTG225" s="715"/>
      <c r="HTH225" s="716"/>
      <c r="HTI225" s="716"/>
      <c r="HTJ225" s="716"/>
      <c r="HTK225" s="716"/>
      <c r="HTL225" s="717"/>
      <c r="HTM225" s="715"/>
      <c r="HTN225" s="716"/>
      <c r="HTO225" s="716"/>
      <c r="HTP225" s="716"/>
      <c r="HTQ225" s="716"/>
      <c r="HTR225" s="717"/>
      <c r="HTS225" s="715"/>
      <c r="HTT225" s="716"/>
      <c r="HTU225" s="716"/>
      <c r="HTV225" s="716"/>
      <c r="HTW225" s="716"/>
      <c r="HTX225" s="717"/>
      <c r="HTY225" s="715"/>
      <c r="HTZ225" s="716"/>
      <c r="HUA225" s="716"/>
      <c r="HUB225" s="716"/>
      <c r="HUC225" s="716"/>
      <c r="HUD225" s="717"/>
      <c r="HUE225" s="715"/>
      <c r="HUF225" s="716"/>
      <c r="HUG225" s="716"/>
      <c r="HUH225" s="716"/>
      <c r="HUI225" s="716"/>
      <c r="HUJ225" s="717"/>
      <c r="HUK225" s="715"/>
      <c r="HUL225" s="716"/>
      <c r="HUM225" s="716"/>
      <c r="HUN225" s="716"/>
      <c r="HUO225" s="716"/>
      <c r="HUP225" s="717"/>
      <c r="HUQ225" s="715"/>
      <c r="HUR225" s="716"/>
      <c r="HUS225" s="716"/>
      <c r="HUT225" s="716"/>
      <c r="HUU225" s="716"/>
      <c r="HUV225" s="717"/>
      <c r="HUW225" s="715"/>
      <c r="HUX225" s="716"/>
      <c r="HUY225" s="716"/>
      <c r="HUZ225" s="716"/>
      <c r="HVA225" s="716"/>
      <c r="HVB225" s="717"/>
      <c r="HVC225" s="715"/>
      <c r="HVD225" s="716"/>
      <c r="HVE225" s="716"/>
      <c r="HVF225" s="716"/>
      <c r="HVG225" s="716"/>
      <c r="HVH225" s="717"/>
      <c r="HVI225" s="715"/>
      <c r="HVJ225" s="716"/>
      <c r="HVK225" s="716"/>
      <c r="HVL225" s="716"/>
      <c r="HVM225" s="716"/>
      <c r="HVN225" s="717"/>
      <c r="HVO225" s="715"/>
      <c r="HVP225" s="716"/>
      <c r="HVQ225" s="716"/>
      <c r="HVR225" s="716"/>
      <c r="HVS225" s="716"/>
      <c r="HVT225" s="717"/>
      <c r="HVU225" s="715"/>
      <c r="HVV225" s="716"/>
      <c r="HVW225" s="716"/>
      <c r="HVX225" s="716"/>
      <c r="HVY225" s="716"/>
      <c r="HVZ225" s="717"/>
      <c r="HWA225" s="715"/>
      <c r="HWB225" s="716"/>
      <c r="HWC225" s="716"/>
      <c r="HWD225" s="716"/>
      <c r="HWE225" s="716"/>
      <c r="HWF225" s="717"/>
      <c r="HWG225" s="715"/>
      <c r="HWH225" s="716"/>
      <c r="HWI225" s="716"/>
      <c r="HWJ225" s="716"/>
      <c r="HWK225" s="716"/>
      <c r="HWL225" s="717"/>
      <c r="HWM225" s="715"/>
      <c r="HWN225" s="716"/>
      <c r="HWO225" s="716"/>
      <c r="HWP225" s="716"/>
      <c r="HWQ225" s="716"/>
      <c r="HWR225" s="717"/>
      <c r="HWS225" s="715"/>
      <c r="HWT225" s="716"/>
      <c r="HWU225" s="716"/>
      <c r="HWV225" s="716"/>
      <c r="HWW225" s="716"/>
      <c r="HWX225" s="717"/>
      <c r="HWY225" s="715"/>
      <c r="HWZ225" s="716"/>
      <c r="HXA225" s="716"/>
      <c r="HXB225" s="716"/>
      <c r="HXC225" s="716"/>
      <c r="HXD225" s="717"/>
      <c r="HXE225" s="715"/>
      <c r="HXF225" s="716"/>
      <c r="HXG225" s="716"/>
      <c r="HXH225" s="716"/>
      <c r="HXI225" s="716"/>
      <c r="HXJ225" s="717"/>
      <c r="HXK225" s="715"/>
      <c r="HXL225" s="716"/>
      <c r="HXM225" s="716"/>
      <c r="HXN225" s="716"/>
      <c r="HXO225" s="716"/>
      <c r="HXP225" s="717"/>
      <c r="HXQ225" s="715"/>
      <c r="HXR225" s="716"/>
      <c r="HXS225" s="716"/>
      <c r="HXT225" s="716"/>
      <c r="HXU225" s="716"/>
      <c r="HXV225" s="717"/>
      <c r="HXW225" s="715"/>
      <c r="HXX225" s="716"/>
      <c r="HXY225" s="716"/>
      <c r="HXZ225" s="716"/>
      <c r="HYA225" s="716"/>
      <c r="HYB225" s="717"/>
      <c r="HYC225" s="715"/>
      <c r="HYD225" s="716"/>
      <c r="HYE225" s="716"/>
      <c r="HYF225" s="716"/>
      <c r="HYG225" s="716"/>
      <c r="HYH225" s="717"/>
      <c r="HYI225" s="715"/>
      <c r="HYJ225" s="716"/>
      <c r="HYK225" s="716"/>
      <c r="HYL225" s="716"/>
      <c r="HYM225" s="716"/>
      <c r="HYN225" s="717"/>
      <c r="HYO225" s="715"/>
      <c r="HYP225" s="716"/>
      <c r="HYQ225" s="716"/>
      <c r="HYR225" s="716"/>
      <c r="HYS225" s="716"/>
      <c r="HYT225" s="717"/>
      <c r="HYU225" s="715"/>
      <c r="HYV225" s="716"/>
      <c r="HYW225" s="716"/>
      <c r="HYX225" s="716"/>
      <c r="HYY225" s="716"/>
      <c r="HYZ225" s="717"/>
      <c r="HZA225" s="715"/>
      <c r="HZB225" s="716"/>
      <c r="HZC225" s="716"/>
      <c r="HZD225" s="716"/>
      <c r="HZE225" s="716"/>
      <c r="HZF225" s="717"/>
      <c r="HZG225" s="715"/>
      <c r="HZH225" s="716"/>
      <c r="HZI225" s="716"/>
      <c r="HZJ225" s="716"/>
      <c r="HZK225" s="716"/>
      <c r="HZL225" s="717"/>
      <c r="HZM225" s="715"/>
      <c r="HZN225" s="716"/>
      <c r="HZO225" s="716"/>
      <c r="HZP225" s="716"/>
      <c r="HZQ225" s="716"/>
      <c r="HZR225" s="717"/>
      <c r="HZS225" s="715"/>
      <c r="HZT225" s="716"/>
      <c r="HZU225" s="716"/>
      <c r="HZV225" s="716"/>
      <c r="HZW225" s="716"/>
      <c r="HZX225" s="717"/>
      <c r="HZY225" s="715"/>
      <c r="HZZ225" s="716"/>
      <c r="IAA225" s="716"/>
      <c r="IAB225" s="716"/>
      <c r="IAC225" s="716"/>
      <c r="IAD225" s="717"/>
      <c r="IAE225" s="715"/>
      <c r="IAF225" s="716"/>
      <c r="IAG225" s="716"/>
      <c r="IAH225" s="716"/>
      <c r="IAI225" s="716"/>
      <c r="IAJ225" s="717"/>
      <c r="IAK225" s="715"/>
      <c r="IAL225" s="716"/>
      <c r="IAM225" s="716"/>
      <c r="IAN225" s="716"/>
      <c r="IAO225" s="716"/>
      <c r="IAP225" s="717"/>
      <c r="IAQ225" s="715"/>
      <c r="IAR225" s="716"/>
      <c r="IAS225" s="716"/>
      <c r="IAT225" s="716"/>
      <c r="IAU225" s="716"/>
      <c r="IAV225" s="717"/>
      <c r="IAW225" s="715"/>
      <c r="IAX225" s="716"/>
      <c r="IAY225" s="716"/>
      <c r="IAZ225" s="716"/>
      <c r="IBA225" s="716"/>
      <c r="IBB225" s="717"/>
      <c r="IBC225" s="715"/>
      <c r="IBD225" s="716"/>
      <c r="IBE225" s="716"/>
      <c r="IBF225" s="716"/>
      <c r="IBG225" s="716"/>
      <c r="IBH225" s="717"/>
      <c r="IBI225" s="715"/>
      <c r="IBJ225" s="716"/>
      <c r="IBK225" s="716"/>
      <c r="IBL225" s="716"/>
      <c r="IBM225" s="716"/>
      <c r="IBN225" s="717"/>
      <c r="IBO225" s="715"/>
      <c r="IBP225" s="716"/>
      <c r="IBQ225" s="716"/>
      <c r="IBR225" s="716"/>
      <c r="IBS225" s="716"/>
      <c r="IBT225" s="717"/>
      <c r="IBU225" s="715"/>
      <c r="IBV225" s="716"/>
      <c r="IBW225" s="716"/>
      <c r="IBX225" s="716"/>
      <c r="IBY225" s="716"/>
      <c r="IBZ225" s="717"/>
      <c r="ICA225" s="715"/>
      <c r="ICB225" s="716"/>
      <c r="ICC225" s="716"/>
      <c r="ICD225" s="716"/>
      <c r="ICE225" s="716"/>
      <c r="ICF225" s="717"/>
      <c r="ICG225" s="715"/>
      <c r="ICH225" s="716"/>
      <c r="ICI225" s="716"/>
      <c r="ICJ225" s="716"/>
      <c r="ICK225" s="716"/>
      <c r="ICL225" s="717"/>
      <c r="ICM225" s="715"/>
      <c r="ICN225" s="716"/>
      <c r="ICO225" s="716"/>
      <c r="ICP225" s="716"/>
      <c r="ICQ225" s="716"/>
      <c r="ICR225" s="717"/>
      <c r="ICS225" s="715"/>
      <c r="ICT225" s="716"/>
      <c r="ICU225" s="716"/>
      <c r="ICV225" s="716"/>
      <c r="ICW225" s="716"/>
      <c r="ICX225" s="717"/>
      <c r="ICY225" s="715"/>
      <c r="ICZ225" s="716"/>
      <c r="IDA225" s="716"/>
      <c r="IDB225" s="716"/>
      <c r="IDC225" s="716"/>
      <c r="IDD225" s="717"/>
      <c r="IDE225" s="715"/>
      <c r="IDF225" s="716"/>
      <c r="IDG225" s="716"/>
      <c r="IDH225" s="716"/>
      <c r="IDI225" s="716"/>
      <c r="IDJ225" s="717"/>
      <c r="IDK225" s="715"/>
      <c r="IDL225" s="716"/>
      <c r="IDM225" s="716"/>
      <c r="IDN225" s="716"/>
      <c r="IDO225" s="716"/>
      <c r="IDP225" s="717"/>
      <c r="IDQ225" s="715"/>
      <c r="IDR225" s="716"/>
      <c r="IDS225" s="716"/>
      <c r="IDT225" s="716"/>
      <c r="IDU225" s="716"/>
      <c r="IDV225" s="717"/>
      <c r="IDW225" s="715"/>
      <c r="IDX225" s="716"/>
      <c r="IDY225" s="716"/>
      <c r="IDZ225" s="716"/>
      <c r="IEA225" s="716"/>
      <c r="IEB225" s="717"/>
      <c r="IEC225" s="715"/>
      <c r="IED225" s="716"/>
      <c r="IEE225" s="716"/>
      <c r="IEF225" s="716"/>
      <c r="IEG225" s="716"/>
      <c r="IEH225" s="717"/>
      <c r="IEI225" s="715"/>
      <c r="IEJ225" s="716"/>
      <c r="IEK225" s="716"/>
      <c r="IEL225" s="716"/>
      <c r="IEM225" s="716"/>
      <c r="IEN225" s="717"/>
      <c r="IEO225" s="715"/>
      <c r="IEP225" s="716"/>
      <c r="IEQ225" s="716"/>
      <c r="IER225" s="716"/>
      <c r="IES225" s="716"/>
      <c r="IET225" s="717"/>
      <c r="IEU225" s="715"/>
      <c r="IEV225" s="716"/>
      <c r="IEW225" s="716"/>
      <c r="IEX225" s="716"/>
      <c r="IEY225" s="716"/>
      <c r="IEZ225" s="717"/>
      <c r="IFA225" s="715"/>
      <c r="IFB225" s="716"/>
      <c r="IFC225" s="716"/>
      <c r="IFD225" s="716"/>
      <c r="IFE225" s="716"/>
      <c r="IFF225" s="717"/>
      <c r="IFG225" s="715"/>
      <c r="IFH225" s="716"/>
      <c r="IFI225" s="716"/>
      <c r="IFJ225" s="716"/>
      <c r="IFK225" s="716"/>
      <c r="IFL225" s="717"/>
      <c r="IFM225" s="715"/>
      <c r="IFN225" s="716"/>
      <c r="IFO225" s="716"/>
      <c r="IFP225" s="716"/>
      <c r="IFQ225" s="716"/>
      <c r="IFR225" s="717"/>
      <c r="IFS225" s="715"/>
      <c r="IFT225" s="716"/>
      <c r="IFU225" s="716"/>
      <c r="IFV225" s="716"/>
      <c r="IFW225" s="716"/>
      <c r="IFX225" s="717"/>
      <c r="IFY225" s="715"/>
      <c r="IFZ225" s="716"/>
      <c r="IGA225" s="716"/>
      <c r="IGB225" s="716"/>
      <c r="IGC225" s="716"/>
      <c r="IGD225" s="717"/>
      <c r="IGE225" s="715"/>
      <c r="IGF225" s="716"/>
      <c r="IGG225" s="716"/>
      <c r="IGH225" s="716"/>
      <c r="IGI225" s="716"/>
      <c r="IGJ225" s="717"/>
      <c r="IGK225" s="715"/>
      <c r="IGL225" s="716"/>
      <c r="IGM225" s="716"/>
      <c r="IGN225" s="716"/>
      <c r="IGO225" s="716"/>
      <c r="IGP225" s="717"/>
      <c r="IGQ225" s="715"/>
      <c r="IGR225" s="716"/>
      <c r="IGS225" s="716"/>
      <c r="IGT225" s="716"/>
      <c r="IGU225" s="716"/>
      <c r="IGV225" s="717"/>
      <c r="IGW225" s="715"/>
      <c r="IGX225" s="716"/>
      <c r="IGY225" s="716"/>
      <c r="IGZ225" s="716"/>
      <c r="IHA225" s="716"/>
      <c r="IHB225" s="717"/>
      <c r="IHC225" s="715"/>
      <c r="IHD225" s="716"/>
      <c r="IHE225" s="716"/>
      <c r="IHF225" s="716"/>
      <c r="IHG225" s="716"/>
      <c r="IHH225" s="717"/>
      <c r="IHI225" s="715"/>
      <c r="IHJ225" s="716"/>
      <c r="IHK225" s="716"/>
      <c r="IHL225" s="716"/>
      <c r="IHM225" s="716"/>
      <c r="IHN225" s="717"/>
      <c r="IHO225" s="715"/>
      <c r="IHP225" s="716"/>
      <c r="IHQ225" s="716"/>
      <c r="IHR225" s="716"/>
      <c r="IHS225" s="716"/>
      <c r="IHT225" s="717"/>
      <c r="IHU225" s="715"/>
      <c r="IHV225" s="716"/>
      <c r="IHW225" s="716"/>
      <c r="IHX225" s="716"/>
      <c r="IHY225" s="716"/>
      <c r="IHZ225" s="717"/>
      <c r="IIA225" s="715"/>
      <c r="IIB225" s="716"/>
      <c r="IIC225" s="716"/>
      <c r="IID225" s="716"/>
      <c r="IIE225" s="716"/>
      <c r="IIF225" s="717"/>
      <c r="IIG225" s="715"/>
      <c r="IIH225" s="716"/>
      <c r="III225" s="716"/>
      <c r="IIJ225" s="716"/>
      <c r="IIK225" s="716"/>
      <c r="IIL225" s="717"/>
      <c r="IIM225" s="715"/>
      <c r="IIN225" s="716"/>
      <c r="IIO225" s="716"/>
      <c r="IIP225" s="716"/>
      <c r="IIQ225" s="716"/>
      <c r="IIR225" s="717"/>
      <c r="IIS225" s="715"/>
      <c r="IIT225" s="716"/>
      <c r="IIU225" s="716"/>
      <c r="IIV225" s="716"/>
      <c r="IIW225" s="716"/>
      <c r="IIX225" s="717"/>
      <c r="IIY225" s="715"/>
      <c r="IIZ225" s="716"/>
      <c r="IJA225" s="716"/>
      <c r="IJB225" s="716"/>
      <c r="IJC225" s="716"/>
      <c r="IJD225" s="717"/>
      <c r="IJE225" s="715"/>
      <c r="IJF225" s="716"/>
      <c r="IJG225" s="716"/>
      <c r="IJH225" s="716"/>
      <c r="IJI225" s="716"/>
      <c r="IJJ225" s="717"/>
      <c r="IJK225" s="715"/>
      <c r="IJL225" s="716"/>
      <c r="IJM225" s="716"/>
      <c r="IJN225" s="716"/>
      <c r="IJO225" s="716"/>
      <c r="IJP225" s="717"/>
      <c r="IJQ225" s="715"/>
      <c r="IJR225" s="716"/>
      <c r="IJS225" s="716"/>
      <c r="IJT225" s="716"/>
      <c r="IJU225" s="716"/>
      <c r="IJV225" s="717"/>
      <c r="IJW225" s="715"/>
      <c r="IJX225" s="716"/>
      <c r="IJY225" s="716"/>
      <c r="IJZ225" s="716"/>
      <c r="IKA225" s="716"/>
      <c r="IKB225" s="717"/>
      <c r="IKC225" s="715"/>
      <c r="IKD225" s="716"/>
      <c r="IKE225" s="716"/>
      <c r="IKF225" s="716"/>
      <c r="IKG225" s="716"/>
      <c r="IKH225" s="717"/>
      <c r="IKI225" s="715"/>
      <c r="IKJ225" s="716"/>
      <c r="IKK225" s="716"/>
      <c r="IKL225" s="716"/>
      <c r="IKM225" s="716"/>
      <c r="IKN225" s="717"/>
      <c r="IKO225" s="715"/>
      <c r="IKP225" s="716"/>
      <c r="IKQ225" s="716"/>
      <c r="IKR225" s="716"/>
      <c r="IKS225" s="716"/>
      <c r="IKT225" s="717"/>
      <c r="IKU225" s="715"/>
      <c r="IKV225" s="716"/>
      <c r="IKW225" s="716"/>
      <c r="IKX225" s="716"/>
      <c r="IKY225" s="716"/>
      <c r="IKZ225" s="717"/>
      <c r="ILA225" s="715"/>
      <c r="ILB225" s="716"/>
      <c r="ILC225" s="716"/>
      <c r="ILD225" s="716"/>
      <c r="ILE225" s="716"/>
      <c r="ILF225" s="717"/>
      <c r="ILG225" s="715"/>
      <c r="ILH225" s="716"/>
      <c r="ILI225" s="716"/>
      <c r="ILJ225" s="716"/>
      <c r="ILK225" s="716"/>
      <c r="ILL225" s="717"/>
      <c r="ILM225" s="715"/>
      <c r="ILN225" s="716"/>
      <c r="ILO225" s="716"/>
      <c r="ILP225" s="716"/>
      <c r="ILQ225" s="716"/>
      <c r="ILR225" s="717"/>
      <c r="ILS225" s="715"/>
      <c r="ILT225" s="716"/>
      <c r="ILU225" s="716"/>
      <c r="ILV225" s="716"/>
      <c r="ILW225" s="716"/>
      <c r="ILX225" s="717"/>
      <c r="ILY225" s="715"/>
      <c r="ILZ225" s="716"/>
      <c r="IMA225" s="716"/>
      <c r="IMB225" s="716"/>
      <c r="IMC225" s="716"/>
      <c r="IMD225" s="717"/>
      <c r="IME225" s="715"/>
      <c r="IMF225" s="716"/>
      <c r="IMG225" s="716"/>
      <c r="IMH225" s="716"/>
      <c r="IMI225" s="716"/>
      <c r="IMJ225" s="717"/>
      <c r="IMK225" s="715"/>
      <c r="IML225" s="716"/>
      <c r="IMM225" s="716"/>
      <c r="IMN225" s="716"/>
      <c r="IMO225" s="716"/>
      <c r="IMP225" s="717"/>
      <c r="IMQ225" s="715"/>
      <c r="IMR225" s="716"/>
      <c r="IMS225" s="716"/>
      <c r="IMT225" s="716"/>
      <c r="IMU225" s="716"/>
      <c r="IMV225" s="717"/>
      <c r="IMW225" s="715"/>
      <c r="IMX225" s="716"/>
      <c r="IMY225" s="716"/>
      <c r="IMZ225" s="716"/>
      <c r="INA225" s="716"/>
      <c r="INB225" s="717"/>
      <c r="INC225" s="715"/>
      <c r="IND225" s="716"/>
      <c r="INE225" s="716"/>
      <c r="INF225" s="716"/>
      <c r="ING225" s="716"/>
      <c r="INH225" s="717"/>
      <c r="INI225" s="715"/>
      <c r="INJ225" s="716"/>
      <c r="INK225" s="716"/>
      <c r="INL225" s="716"/>
      <c r="INM225" s="716"/>
      <c r="INN225" s="717"/>
      <c r="INO225" s="715"/>
      <c r="INP225" s="716"/>
      <c r="INQ225" s="716"/>
      <c r="INR225" s="716"/>
      <c r="INS225" s="716"/>
      <c r="INT225" s="717"/>
      <c r="INU225" s="715"/>
      <c r="INV225" s="716"/>
      <c r="INW225" s="716"/>
      <c r="INX225" s="716"/>
      <c r="INY225" s="716"/>
      <c r="INZ225" s="717"/>
      <c r="IOA225" s="715"/>
      <c r="IOB225" s="716"/>
      <c r="IOC225" s="716"/>
      <c r="IOD225" s="716"/>
      <c r="IOE225" s="716"/>
      <c r="IOF225" s="717"/>
      <c r="IOG225" s="715"/>
      <c r="IOH225" s="716"/>
      <c r="IOI225" s="716"/>
      <c r="IOJ225" s="716"/>
      <c r="IOK225" s="716"/>
      <c r="IOL225" s="717"/>
      <c r="IOM225" s="715"/>
      <c r="ION225" s="716"/>
      <c r="IOO225" s="716"/>
      <c r="IOP225" s="716"/>
      <c r="IOQ225" s="716"/>
      <c r="IOR225" s="717"/>
      <c r="IOS225" s="715"/>
      <c r="IOT225" s="716"/>
      <c r="IOU225" s="716"/>
      <c r="IOV225" s="716"/>
      <c r="IOW225" s="716"/>
      <c r="IOX225" s="717"/>
      <c r="IOY225" s="715"/>
      <c r="IOZ225" s="716"/>
      <c r="IPA225" s="716"/>
      <c r="IPB225" s="716"/>
      <c r="IPC225" s="716"/>
      <c r="IPD225" s="717"/>
      <c r="IPE225" s="715"/>
      <c r="IPF225" s="716"/>
      <c r="IPG225" s="716"/>
      <c r="IPH225" s="716"/>
      <c r="IPI225" s="716"/>
      <c r="IPJ225" s="717"/>
      <c r="IPK225" s="715"/>
      <c r="IPL225" s="716"/>
      <c r="IPM225" s="716"/>
      <c r="IPN225" s="716"/>
      <c r="IPO225" s="716"/>
      <c r="IPP225" s="717"/>
      <c r="IPQ225" s="715"/>
      <c r="IPR225" s="716"/>
      <c r="IPS225" s="716"/>
      <c r="IPT225" s="716"/>
      <c r="IPU225" s="716"/>
      <c r="IPV225" s="717"/>
      <c r="IPW225" s="715"/>
      <c r="IPX225" s="716"/>
      <c r="IPY225" s="716"/>
      <c r="IPZ225" s="716"/>
      <c r="IQA225" s="716"/>
      <c r="IQB225" s="717"/>
      <c r="IQC225" s="715"/>
      <c r="IQD225" s="716"/>
      <c r="IQE225" s="716"/>
      <c r="IQF225" s="716"/>
      <c r="IQG225" s="716"/>
      <c r="IQH225" s="717"/>
      <c r="IQI225" s="715"/>
      <c r="IQJ225" s="716"/>
      <c r="IQK225" s="716"/>
      <c r="IQL225" s="716"/>
      <c r="IQM225" s="716"/>
      <c r="IQN225" s="717"/>
      <c r="IQO225" s="715"/>
      <c r="IQP225" s="716"/>
      <c r="IQQ225" s="716"/>
      <c r="IQR225" s="716"/>
      <c r="IQS225" s="716"/>
      <c r="IQT225" s="717"/>
      <c r="IQU225" s="715"/>
      <c r="IQV225" s="716"/>
      <c r="IQW225" s="716"/>
      <c r="IQX225" s="716"/>
      <c r="IQY225" s="716"/>
      <c r="IQZ225" s="717"/>
      <c r="IRA225" s="715"/>
      <c r="IRB225" s="716"/>
      <c r="IRC225" s="716"/>
      <c r="IRD225" s="716"/>
      <c r="IRE225" s="716"/>
      <c r="IRF225" s="717"/>
      <c r="IRG225" s="715"/>
      <c r="IRH225" s="716"/>
      <c r="IRI225" s="716"/>
      <c r="IRJ225" s="716"/>
      <c r="IRK225" s="716"/>
      <c r="IRL225" s="717"/>
      <c r="IRM225" s="715"/>
      <c r="IRN225" s="716"/>
      <c r="IRO225" s="716"/>
      <c r="IRP225" s="716"/>
      <c r="IRQ225" s="716"/>
      <c r="IRR225" s="717"/>
      <c r="IRS225" s="715"/>
      <c r="IRT225" s="716"/>
      <c r="IRU225" s="716"/>
      <c r="IRV225" s="716"/>
      <c r="IRW225" s="716"/>
      <c r="IRX225" s="717"/>
      <c r="IRY225" s="715"/>
      <c r="IRZ225" s="716"/>
      <c r="ISA225" s="716"/>
      <c r="ISB225" s="716"/>
      <c r="ISC225" s="716"/>
      <c r="ISD225" s="717"/>
      <c r="ISE225" s="715"/>
      <c r="ISF225" s="716"/>
      <c r="ISG225" s="716"/>
      <c r="ISH225" s="716"/>
      <c r="ISI225" s="716"/>
      <c r="ISJ225" s="717"/>
      <c r="ISK225" s="715"/>
      <c r="ISL225" s="716"/>
      <c r="ISM225" s="716"/>
      <c r="ISN225" s="716"/>
      <c r="ISO225" s="716"/>
      <c r="ISP225" s="717"/>
      <c r="ISQ225" s="715"/>
      <c r="ISR225" s="716"/>
      <c r="ISS225" s="716"/>
      <c r="IST225" s="716"/>
      <c r="ISU225" s="716"/>
      <c r="ISV225" s="717"/>
      <c r="ISW225" s="715"/>
      <c r="ISX225" s="716"/>
      <c r="ISY225" s="716"/>
      <c r="ISZ225" s="716"/>
      <c r="ITA225" s="716"/>
      <c r="ITB225" s="717"/>
      <c r="ITC225" s="715"/>
      <c r="ITD225" s="716"/>
      <c r="ITE225" s="716"/>
      <c r="ITF225" s="716"/>
      <c r="ITG225" s="716"/>
      <c r="ITH225" s="717"/>
      <c r="ITI225" s="715"/>
      <c r="ITJ225" s="716"/>
      <c r="ITK225" s="716"/>
      <c r="ITL225" s="716"/>
      <c r="ITM225" s="716"/>
      <c r="ITN225" s="717"/>
      <c r="ITO225" s="715"/>
      <c r="ITP225" s="716"/>
      <c r="ITQ225" s="716"/>
      <c r="ITR225" s="716"/>
      <c r="ITS225" s="716"/>
      <c r="ITT225" s="717"/>
      <c r="ITU225" s="715"/>
      <c r="ITV225" s="716"/>
      <c r="ITW225" s="716"/>
      <c r="ITX225" s="716"/>
      <c r="ITY225" s="716"/>
      <c r="ITZ225" s="717"/>
      <c r="IUA225" s="715"/>
      <c r="IUB225" s="716"/>
      <c r="IUC225" s="716"/>
      <c r="IUD225" s="716"/>
      <c r="IUE225" s="716"/>
      <c r="IUF225" s="717"/>
      <c r="IUG225" s="715"/>
      <c r="IUH225" s="716"/>
      <c r="IUI225" s="716"/>
      <c r="IUJ225" s="716"/>
      <c r="IUK225" s="716"/>
      <c r="IUL225" s="717"/>
      <c r="IUM225" s="715"/>
      <c r="IUN225" s="716"/>
      <c r="IUO225" s="716"/>
      <c r="IUP225" s="716"/>
      <c r="IUQ225" s="716"/>
      <c r="IUR225" s="717"/>
      <c r="IUS225" s="715"/>
      <c r="IUT225" s="716"/>
      <c r="IUU225" s="716"/>
      <c r="IUV225" s="716"/>
      <c r="IUW225" s="716"/>
      <c r="IUX225" s="717"/>
      <c r="IUY225" s="715"/>
      <c r="IUZ225" s="716"/>
      <c r="IVA225" s="716"/>
      <c r="IVB225" s="716"/>
      <c r="IVC225" s="716"/>
      <c r="IVD225" s="717"/>
      <c r="IVE225" s="715"/>
      <c r="IVF225" s="716"/>
      <c r="IVG225" s="716"/>
      <c r="IVH225" s="716"/>
      <c r="IVI225" s="716"/>
      <c r="IVJ225" s="717"/>
      <c r="IVK225" s="715"/>
      <c r="IVL225" s="716"/>
      <c r="IVM225" s="716"/>
      <c r="IVN225" s="716"/>
      <c r="IVO225" s="716"/>
      <c r="IVP225" s="717"/>
      <c r="IVQ225" s="715"/>
      <c r="IVR225" s="716"/>
      <c r="IVS225" s="716"/>
      <c r="IVT225" s="716"/>
      <c r="IVU225" s="716"/>
      <c r="IVV225" s="717"/>
      <c r="IVW225" s="715"/>
      <c r="IVX225" s="716"/>
      <c r="IVY225" s="716"/>
      <c r="IVZ225" s="716"/>
      <c r="IWA225" s="716"/>
      <c r="IWB225" s="717"/>
      <c r="IWC225" s="715"/>
      <c r="IWD225" s="716"/>
      <c r="IWE225" s="716"/>
      <c r="IWF225" s="716"/>
      <c r="IWG225" s="716"/>
      <c r="IWH225" s="717"/>
      <c r="IWI225" s="715"/>
      <c r="IWJ225" s="716"/>
      <c r="IWK225" s="716"/>
      <c r="IWL225" s="716"/>
      <c r="IWM225" s="716"/>
      <c r="IWN225" s="717"/>
      <c r="IWO225" s="715"/>
      <c r="IWP225" s="716"/>
      <c r="IWQ225" s="716"/>
      <c r="IWR225" s="716"/>
      <c r="IWS225" s="716"/>
      <c r="IWT225" s="717"/>
      <c r="IWU225" s="715"/>
      <c r="IWV225" s="716"/>
      <c r="IWW225" s="716"/>
      <c r="IWX225" s="716"/>
      <c r="IWY225" s="716"/>
      <c r="IWZ225" s="717"/>
      <c r="IXA225" s="715"/>
      <c r="IXB225" s="716"/>
      <c r="IXC225" s="716"/>
      <c r="IXD225" s="716"/>
      <c r="IXE225" s="716"/>
      <c r="IXF225" s="717"/>
      <c r="IXG225" s="715"/>
      <c r="IXH225" s="716"/>
      <c r="IXI225" s="716"/>
      <c r="IXJ225" s="716"/>
      <c r="IXK225" s="716"/>
      <c r="IXL225" s="717"/>
      <c r="IXM225" s="715"/>
      <c r="IXN225" s="716"/>
      <c r="IXO225" s="716"/>
      <c r="IXP225" s="716"/>
      <c r="IXQ225" s="716"/>
      <c r="IXR225" s="717"/>
      <c r="IXS225" s="715"/>
      <c r="IXT225" s="716"/>
      <c r="IXU225" s="716"/>
      <c r="IXV225" s="716"/>
      <c r="IXW225" s="716"/>
      <c r="IXX225" s="717"/>
      <c r="IXY225" s="715"/>
      <c r="IXZ225" s="716"/>
      <c r="IYA225" s="716"/>
      <c r="IYB225" s="716"/>
      <c r="IYC225" s="716"/>
      <c r="IYD225" s="717"/>
      <c r="IYE225" s="715"/>
      <c r="IYF225" s="716"/>
      <c r="IYG225" s="716"/>
      <c r="IYH225" s="716"/>
      <c r="IYI225" s="716"/>
      <c r="IYJ225" s="717"/>
      <c r="IYK225" s="715"/>
      <c r="IYL225" s="716"/>
      <c r="IYM225" s="716"/>
      <c r="IYN225" s="716"/>
      <c r="IYO225" s="716"/>
      <c r="IYP225" s="717"/>
      <c r="IYQ225" s="715"/>
      <c r="IYR225" s="716"/>
      <c r="IYS225" s="716"/>
      <c r="IYT225" s="716"/>
      <c r="IYU225" s="716"/>
      <c r="IYV225" s="717"/>
      <c r="IYW225" s="715"/>
      <c r="IYX225" s="716"/>
      <c r="IYY225" s="716"/>
      <c r="IYZ225" s="716"/>
      <c r="IZA225" s="716"/>
      <c r="IZB225" s="717"/>
      <c r="IZC225" s="715"/>
      <c r="IZD225" s="716"/>
      <c r="IZE225" s="716"/>
      <c r="IZF225" s="716"/>
      <c r="IZG225" s="716"/>
      <c r="IZH225" s="717"/>
      <c r="IZI225" s="715"/>
      <c r="IZJ225" s="716"/>
      <c r="IZK225" s="716"/>
      <c r="IZL225" s="716"/>
      <c r="IZM225" s="716"/>
      <c r="IZN225" s="717"/>
      <c r="IZO225" s="715"/>
      <c r="IZP225" s="716"/>
      <c r="IZQ225" s="716"/>
      <c r="IZR225" s="716"/>
      <c r="IZS225" s="716"/>
      <c r="IZT225" s="717"/>
      <c r="IZU225" s="715"/>
      <c r="IZV225" s="716"/>
      <c r="IZW225" s="716"/>
      <c r="IZX225" s="716"/>
      <c r="IZY225" s="716"/>
      <c r="IZZ225" s="717"/>
      <c r="JAA225" s="715"/>
      <c r="JAB225" s="716"/>
      <c r="JAC225" s="716"/>
      <c r="JAD225" s="716"/>
      <c r="JAE225" s="716"/>
      <c r="JAF225" s="717"/>
      <c r="JAG225" s="715"/>
      <c r="JAH225" s="716"/>
      <c r="JAI225" s="716"/>
      <c r="JAJ225" s="716"/>
      <c r="JAK225" s="716"/>
      <c r="JAL225" s="717"/>
      <c r="JAM225" s="715"/>
      <c r="JAN225" s="716"/>
      <c r="JAO225" s="716"/>
      <c r="JAP225" s="716"/>
      <c r="JAQ225" s="716"/>
      <c r="JAR225" s="717"/>
      <c r="JAS225" s="715"/>
      <c r="JAT225" s="716"/>
      <c r="JAU225" s="716"/>
      <c r="JAV225" s="716"/>
      <c r="JAW225" s="716"/>
      <c r="JAX225" s="717"/>
      <c r="JAY225" s="715"/>
      <c r="JAZ225" s="716"/>
      <c r="JBA225" s="716"/>
      <c r="JBB225" s="716"/>
      <c r="JBC225" s="716"/>
      <c r="JBD225" s="717"/>
      <c r="JBE225" s="715"/>
      <c r="JBF225" s="716"/>
      <c r="JBG225" s="716"/>
      <c r="JBH225" s="716"/>
      <c r="JBI225" s="716"/>
      <c r="JBJ225" s="717"/>
      <c r="JBK225" s="715"/>
      <c r="JBL225" s="716"/>
      <c r="JBM225" s="716"/>
      <c r="JBN225" s="716"/>
      <c r="JBO225" s="716"/>
      <c r="JBP225" s="717"/>
      <c r="JBQ225" s="715"/>
      <c r="JBR225" s="716"/>
      <c r="JBS225" s="716"/>
      <c r="JBT225" s="716"/>
      <c r="JBU225" s="716"/>
      <c r="JBV225" s="717"/>
      <c r="JBW225" s="715"/>
      <c r="JBX225" s="716"/>
      <c r="JBY225" s="716"/>
      <c r="JBZ225" s="716"/>
      <c r="JCA225" s="716"/>
      <c r="JCB225" s="717"/>
      <c r="JCC225" s="715"/>
      <c r="JCD225" s="716"/>
      <c r="JCE225" s="716"/>
      <c r="JCF225" s="716"/>
      <c r="JCG225" s="716"/>
      <c r="JCH225" s="717"/>
      <c r="JCI225" s="715"/>
      <c r="JCJ225" s="716"/>
      <c r="JCK225" s="716"/>
      <c r="JCL225" s="716"/>
      <c r="JCM225" s="716"/>
      <c r="JCN225" s="717"/>
      <c r="JCO225" s="715"/>
      <c r="JCP225" s="716"/>
      <c r="JCQ225" s="716"/>
      <c r="JCR225" s="716"/>
      <c r="JCS225" s="716"/>
      <c r="JCT225" s="717"/>
      <c r="JCU225" s="715"/>
      <c r="JCV225" s="716"/>
      <c r="JCW225" s="716"/>
      <c r="JCX225" s="716"/>
      <c r="JCY225" s="716"/>
      <c r="JCZ225" s="717"/>
      <c r="JDA225" s="715"/>
      <c r="JDB225" s="716"/>
      <c r="JDC225" s="716"/>
      <c r="JDD225" s="716"/>
      <c r="JDE225" s="716"/>
      <c r="JDF225" s="717"/>
      <c r="JDG225" s="715"/>
      <c r="JDH225" s="716"/>
      <c r="JDI225" s="716"/>
      <c r="JDJ225" s="716"/>
      <c r="JDK225" s="716"/>
      <c r="JDL225" s="717"/>
      <c r="JDM225" s="715"/>
      <c r="JDN225" s="716"/>
      <c r="JDO225" s="716"/>
      <c r="JDP225" s="716"/>
      <c r="JDQ225" s="716"/>
      <c r="JDR225" s="717"/>
      <c r="JDS225" s="715"/>
      <c r="JDT225" s="716"/>
      <c r="JDU225" s="716"/>
      <c r="JDV225" s="716"/>
      <c r="JDW225" s="716"/>
      <c r="JDX225" s="717"/>
      <c r="JDY225" s="715"/>
      <c r="JDZ225" s="716"/>
      <c r="JEA225" s="716"/>
      <c r="JEB225" s="716"/>
      <c r="JEC225" s="716"/>
      <c r="JED225" s="717"/>
      <c r="JEE225" s="715"/>
      <c r="JEF225" s="716"/>
      <c r="JEG225" s="716"/>
      <c r="JEH225" s="716"/>
      <c r="JEI225" s="716"/>
      <c r="JEJ225" s="717"/>
      <c r="JEK225" s="715"/>
      <c r="JEL225" s="716"/>
      <c r="JEM225" s="716"/>
      <c r="JEN225" s="716"/>
      <c r="JEO225" s="716"/>
      <c r="JEP225" s="717"/>
      <c r="JEQ225" s="715"/>
      <c r="JER225" s="716"/>
      <c r="JES225" s="716"/>
      <c r="JET225" s="716"/>
      <c r="JEU225" s="716"/>
      <c r="JEV225" s="717"/>
      <c r="JEW225" s="715"/>
      <c r="JEX225" s="716"/>
      <c r="JEY225" s="716"/>
      <c r="JEZ225" s="716"/>
      <c r="JFA225" s="716"/>
      <c r="JFB225" s="717"/>
      <c r="JFC225" s="715"/>
      <c r="JFD225" s="716"/>
      <c r="JFE225" s="716"/>
      <c r="JFF225" s="716"/>
      <c r="JFG225" s="716"/>
      <c r="JFH225" s="717"/>
      <c r="JFI225" s="715"/>
      <c r="JFJ225" s="716"/>
      <c r="JFK225" s="716"/>
      <c r="JFL225" s="716"/>
      <c r="JFM225" s="716"/>
      <c r="JFN225" s="717"/>
      <c r="JFO225" s="715"/>
      <c r="JFP225" s="716"/>
      <c r="JFQ225" s="716"/>
      <c r="JFR225" s="716"/>
      <c r="JFS225" s="716"/>
      <c r="JFT225" s="717"/>
      <c r="JFU225" s="715"/>
      <c r="JFV225" s="716"/>
      <c r="JFW225" s="716"/>
      <c r="JFX225" s="716"/>
      <c r="JFY225" s="716"/>
      <c r="JFZ225" s="717"/>
      <c r="JGA225" s="715"/>
      <c r="JGB225" s="716"/>
      <c r="JGC225" s="716"/>
      <c r="JGD225" s="716"/>
      <c r="JGE225" s="716"/>
      <c r="JGF225" s="717"/>
      <c r="JGG225" s="715"/>
      <c r="JGH225" s="716"/>
      <c r="JGI225" s="716"/>
      <c r="JGJ225" s="716"/>
      <c r="JGK225" s="716"/>
      <c r="JGL225" s="717"/>
      <c r="JGM225" s="715"/>
      <c r="JGN225" s="716"/>
      <c r="JGO225" s="716"/>
      <c r="JGP225" s="716"/>
      <c r="JGQ225" s="716"/>
      <c r="JGR225" s="717"/>
      <c r="JGS225" s="715"/>
      <c r="JGT225" s="716"/>
      <c r="JGU225" s="716"/>
      <c r="JGV225" s="716"/>
      <c r="JGW225" s="716"/>
      <c r="JGX225" s="717"/>
      <c r="JGY225" s="715"/>
      <c r="JGZ225" s="716"/>
      <c r="JHA225" s="716"/>
      <c r="JHB225" s="716"/>
      <c r="JHC225" s="716"/>
      <c r="JHD225" s="717"/>
      <c r="JHE225" s="715"/>
      <c r="JHF225" s="716"/>
      <c r="JHG225" s="716"/>
      <c r="JHH225" s="716"/>
      <c r="JHI225" s="716"/>
      <c r="JHJ225" s="717"/>
      <c r="JHK225" s="715"/>
      <c r="JHL225" s="716"/>
      <c r="JHM225" s="716"/>
      <c r="JHN225" s="716"/>
      <c r="JHO225" s="716"/>
      <c r="JHP225" s="717"/>
      <c r="JHQ225" s="715"/>
      <c r="JHR225" s="716"/>
      <c r="JHS225" s="716"/>
      <c r="JHT225" s="716"/>
      <c r="JHU225" s="716"/>
      <c r="JHV225" s="717"/>
      <c r="JHW225" s="715"/>
      <c r="JHX225" s="716"/>
      <c r="JHY225" s="716"/>
      <c r="JHZ225" s="716"/>
      <c r="JIA225" s="716"/>
      <c r="JIB225" s="717"/>
      <c r="JIC225" s="715"/>
      <c r="JID225" s="716"/>
      <c r="JIE225" s="716"/>
      <c r="JIF225" s="716"/>
      <c r="JIG225" s="716"/>
      <c r="JIH225" s="717"/>
      <c r="JII225" s="715"/>
      <c r="JIJ225" s="716"/>
      <c r="JIK225" s="716"/>
      <c r="JIL225" s="716"/>
      <c r="JIM225" s="716"/>
      <c r="JIN225" s="717"/>
      <c r="JIO225" s="715"/>
      <c r="JIP225" s="716"/>
      <c r="JIQ225" s="716"/>
      <c r="JIR225" s="716"/>
      <c r="JIS225" s="716"/>
      <c r="JIT225" s="717"/>
      <c r="JIU225" s="715"/>
      <c r="JIV225" s="716"/>
      <c r="JIW225" s="716"/>
      <c r="JIX225" s="716"/>
      <c r="JIY225" s="716"/>
      <c r="JIZ225" s="717"/>
      <c r="JJA225" s="715"/>
      <c r="JJB225" s="716"/>
      <c r="JJC225" s="716"/>
      <c r="JJD225" s="716"/>
      <c r="JJE225" s="716"/>
      <c r="JJF225" s="717"/>
      <c r="JJG225" s="715"/>
      <c r="JJH225" s="716"/>
      <c r="JJI225" s="716"/>
      <c r="JJJ225" s="716"/>
      <c r="JJK225" s="716"/>
      <c r="JJL225" s="717"/>
      <c r="JJM225" s="715"/>
      <c r="JJN225" s="716"/>
      <c r="JJO225" s="716"/>
      <c r="JJP225" s="716"/>
      <c r="JJQ225" s="716"/>
      <c r="JJR225" s="717"/>
      <c r="JJS225" s="715"/>
      <c r="JJT225" s="716"/>
      <c r="JJU225" s="716"/>
      <c r="JJV225" s="716"/>
      <c r="JJW225" s="716"/>
      <c r="JJX225" s="717"/>
      <c r="JJY225" s="715"/>
      <c r="JJZ225" s="716"/>
      <c r="JKA225" s="716"/>
      <c r="JKB225" s="716"/>
      <c r="JKC225" s="716"/>
      <c r="JKD225" s="717"/>
      <c r="JKE225" s="715"/>
      <c r="JKF225" s="716"/>
      <c r="JKG225" s="716"/>
      <c r="JKH225" s="716"/>
      <c r="JKI225" s="716"/>
      <c r="JKJ225" s="717"/>
      <c r="JKK225" s="715"/>
      <c r="JKL225" s="716"/>
      <c r="JKM225" s="716"/>
      <c r="JKN225" s="716"/>
      <c r="JKO225" s="716"/>
      <c r="JKP225" s="717"/>
      <c r="JKQ225" s="715"/>
      <c r="JKR225" s="716"/>
      <c r="JKS225" s="716"/>
      <c r="JKT225" s="716"/>
      <c r="JKU225" s="716"/>
      <c r="JKV225" s="717"/>
      <c r="JKW225" s="715"/>
      <c r="JKX225" s="716"/>
      <c r="JKY225" s="716"/>
      <c r="JKZ225" s="716"/>
      <c r="JLA225" s="716"/>
      <c r="JLB225" s="717"/>
      <c r="JLC225" s="715"/>
      <c r="JLD225" s="716"/>
      <c r="JLE225" s="716"/>
      <c r="JLF225" s="716"/>
      <c r="JLG225" s="716"/>
      <c r="JLH225" s="717"/>
      <c r="JLI225" s="715"/>
      <c r="JLJ225" s="716"/>
      <c r="JLK225" s="716"/>
      <c r="JLL225" s="716"/>
      <c r="JLM225" s="716"/>
      <c r="JLN225" s="717"/>
      <c r="JLO225" s="715"/>
      <c r="JLP225" s="716"/>
      <c r="JLQ225" s="716"/>
      <c r="JLR225" s="716"/>
      <c r="JLS225" s="716"/>
      <c r="JLT225" s="717"/>
      <c r="JLU225" s="715"/>
      <c r="JLV225" s="716"/>
      <c r="JLW225" s="716"/>
      <c r="JLX225" s="716"/>
      <c r="JLY225" s="716"/>
      <c r="JLZ225" s="717"/>
      <c r="JMA225" s="715"/>
      <c r="JMB225" s="716"/>
      <c r="JMC225" s="716"/>
      <c r="JMD225" s="716"/>
      <c r="JME225" s="716"/>
      <c r="JMF225" s="717"/>
      <c r="JMG225" s="715"/>
      <c r="JMH225" s="716"/>
      <c r="JMI225" s="716"/>
      <c r="JMJ225" s="716"/>
      <c r="JMK225" s="716"/>
      <c r="JML225" s="717"/>
      <c r="JMM225" s="715"/>
      <c r="JMN225" s="716"/>
      <c r="JMO225" s="716"/>
      <c r="JMP225" s="716"/>
      <c r="JMQ225" s="716"/>
      <c r="JMR225" s="717"/>
      <c r="JMS225" s="715"/>
      <c r="JMT225" s="716"/>
      <c r="JMU225" s="716"/>
      <c r="JMV225" s="716"/>
      <c r="JMW225" s="716"/>
      <c r="JMX225" s="717"/>
      <c r="JMY225" s="715"/>
      <c r="JMZ225" s="716"/>
      <c r="JNA225" s="716"/>
      <c r="JNB225" s="716"/>
      <c r="JNC225" s="716"/>
      <c r="JND225" s="717"/>
      <c r="JNE225" s="715"/>
      <c r="JNF225" s="716"/>
      <c r="JNG225" s="716"/>
      <c r="JNH225" s="716"/>
      <c r="JNI225" s="716"/>
      <c r="JNJ225" s="717"/>
      <c r="JNK225" s="715"/>
      <c r="JNL225" s="716"/>
      <c r="JNM225" s="716"/>
      <c r="JNN225" s="716"/>
      <c r="JNO225" s="716"/>
      <c r="JNP225" s="717"/>
      <c r="JNQ225" s="715"/>
      <c r="JNR225" s="716"/>
      <c r="JNS225" s="716"/>
      <c r="JNT225" s="716"/>
      <c r="JNU225" s="716"/>
      <c r="JNV225" s="717"/>
      <c r="JNW225" s="715"/>
      <c r="JNX225" s="716"/>
      <c r="JNY225" s="716"/>
      <c r="JNZ225" s="716"/>
      <c r="JOA225" s="716"/>
      <c r="JOB225" s="717"/>
      <c r="JOC225" s="715"/>
      <c r="JOD225" s="716"/>
      <c r="JOE225" s="716"/>
      <c r="JOF225" s="716"/>
      <c r="JOG225" s="716"/>
      <c r="JOH225" s="717"/>
      <c r="JOI225" s="715"/>
      <c r="JOJ225" s="716"/>
      <c r="JOK225" s="716"/>
      <c r="JOL225" s="716"/>
      <c r="JOM225" s="716"/>
      <c r="JON225" s="717"/>
      <c r="JOO225" s="715"/>
      <c r="JOP225" s="716"/>
      <c r="JOQ225" s="716"/>
      <c r="JOR225" s="716"/>
      <c r="JOS225" s="716"/>
      <c r="JOT225" s="717"/>
      <c r="JOU225" s="715"/>
      <c r="JOV225" s="716"/>
      <c r="JOW225" s="716"/>
      <c r="JOX225" s="716"/>
      <c r="JOY225" s="716"/>
      <c r="JOZ225" s="717"/>
      <c r="JPA225" s="715"/>
      <c r="JPB225" s="716"/>
      <c r="JPC225" s="716"/>
      <c r="JPD225" s="716"/>
      <c r="JPE225" s="716"/>
      <c r="JPF225" s="717"/>
      <c r="JPG225" s="715"/>
      <c r="JPH225" s="716"/>
      <c r="JPI225" s="716"/>
      <c r="JPJ225" s="716"/>
      <c r="JPK225" s="716"/>
      <c r="JPL225" s="717"/>
      <c r="JPM225" s="715"/>
      <c r="JPN225" s="716"/>
      <c r="JPO225" s="716"/>
      <c r="JPP225" s="716"/>
      <c r="JPQ225" s="716"/>
      <c r="JPR225" s="717"/>
      <c r="JPS225" s="715"/>
      <c r="JPT225" s="716"/>
      <c r="JPU225" s="716"/>
      <c r="JPV225" s="716"/>
      <c r="JPW225" s="716"/>
      <c r="JPX225" s="717"/>
      <c r="JPY225" s="715"/>
      <c r="JPZ225" s="716"/>
      <c r="JQA225" s="716"/>
      <c r="JQB225" s="716"/>
      <c r="JQC225" s="716"/>
      <c r="JQD225" s="717"/>
      <c r="JQE225" s="715"/>
      <c r="JQF225" s="716"/>
      <c r="JQG225" s="716"/>
      <c r="JQH225" s="716"/>
      <c r="JQI225" s="716"/>
      <c r="JQJ225" s="717"/>
      <c r="JQK225" s="715"/>
      <c r="JQL225" s="716"/>
      <c r="JQM225" s="716"/>
      <c r="JQN225" s="716"/>
      <c r="JQO225" s="716"/>
      <c r="JQP225" s="717"/>
      <c r="JQQ225" s="715"/>
      <c r="JQR225" s="716"/>
      <c r="JQS225" s="716"/>
      <c r="JQT225" s="716"/>
      <c r="JQU225" s="716"/>
      <c r="JQV225" s="717"/>
      <c r="JQW225" s="715"/>
      <c r="JQX225" s="716"/>
      <c r="JQY225" s="716"/>
      <c r="JQZ225" s="716"/>
      <c r="JRA225" s="716"/>
      <c r="JRB225" s="717"/>
      <c r="JRC225" s="715"/>
      <c r="JRD225" s="716"/>
      <c r="JRE225" s="716"/>
      <c r="JRF225" s="716"/>
      <c r="JRG225" s="716"/>
      <c r="JRH225" s="717"/>
      <c r="JRI225" s="715"/>
      <c r="JRJ225" s="716"/>
      <c r="JRK225" s="716"/>
      <c r="JRL225" s="716"/>
      <c r="JRM225" s="716"/>
      <c r="JRN225" s="717"/>
      <c r="JRO225" s="715"/>
      <c r="JRP225" s="716"/>
      <c r="JRQ225" s="716"/>
      <c r="JRR225" s="716"/>
      <c r="JRS225" s="716"/>
      <c r="JRT225" s="717"/>
      <c r="JRU225" s="715"/>
      <c r="JRV225" s="716"/>
      <c r="JRW225" s="716"/>
      <c r="JRX225" s="716"/>
      <c r="JRY225" s="716"/>
      <c r="JRZ225" s="717"/>
      <c r="JSA225" s="715"/>
      <c r="JSB225" s="716"/>
      <c r="JSC225" s="716"/>
      <c r="JSD225" s="716"/>
      <c r="JSE225" s="716"/>
      <c r="JSF225" s="717"/>
      <c r="JSG225" s="715"/>
      <c r="JSH225" s="716"/>
      <c r="JSI225" s="716"/>
      <c r="JSJ225" s="716"/>
      <c r="JSK225" s="716"/>
      <c r="JSL225" s="717"/>
      <c r="JSM225" s="715"/>
      <c r="JSN225" s="716"/>
      <c r="JSO225" s="716"/>
      <c r="JSP225" s="716"/>
      <c r="JSQ225" s="716"/>
      <c r="JSR225" s="717"/>
      <c r="JSS225" s="715"/>
      <c r="JST225" s="716"/>
      <c r="JSU225" s="716"/>
      <c r="JSV225" s="716"/>
      <c r="JSW225" s="716"/>
      <c r="JSX225" s="717"/>
      <c r="JSY225" s="715"/>
      <c r="JSZ225" s="716"/>
      <c r="JTA225" s="716"/>
      <c r="JTB225" s="716"/>
      <c r="JTC225" s="716"/>
      <c r="JTD225" s="717"/>
      <c r="JTE225" s="715"/>
      <c r="JTF225" s="716"/>
      <c r="JTG225" s="716"/>
      <c r="JTH225" s="716"/>
      <c r="JTI225" s="716"/>
      <c r="JTJ225" s="717"/>
      <c r="JTK225" s="715"/>
      <c r="JTL225" s="716"/>
      <c r="JTM225" s="716"/>
      <c r="JTN225" s="716"/>
      <c r="JTO225" s="716"/>
      <c r="JTP225" s="717"/>
      <c r="JTQ225" s="715"/>
      <c r="JTR225" s="716"/>
      <c r="JTS225" s="716"/>
      <c r="JTT225" s="716"/>
      <c r="JTU225" s="716"/>
      <c r="JTV225" s="717"/>
      <c r="JTW225" s="715"/>
      <c r="JTX225" s="716"/>
      <c r="JTY225" s="716"/>
      <c r="JTZ225" s="716"/>
      <c r="JUA225" s="716"/>
      <c r="JUB225" s="717"/>
      <c r="JUC225" s="715"/>
      <c r="JUD225" s="716"/>
      <c r="JUE225" s="716"/>
      <c r="JUF225" s="716"/>
      <c r="JUG225" s="716"/>
      <c r="JUH225" s="717"/>
      <c r="JUI225" s="715"/>
      <c r="JUJ225" s="716"/>
      <c r="JUK225" s="716"/>
      <c r="JUL225" s="716"/>
      <c r="JUM225" s="716"/>
      <c r="JUN225" s="717"/>
      <c r="JUO225" s="715"/>
      <c r="JUP225" s="716"/>
      <c r="JUQ225" s="716"/>
      <c r="JUR225" s="716"/>
      <c r="JUS225" s="716"/>
      <c r="JUT225" s="717"/>
      <c r="JUU225" s="715"/>
      <c r="JUV225" s="716"/>
      <c r="JUW225" s="716"/>
      <c r="JUX225" s="716"/>
      <c r="JUY225" s="716"/>
      <c r="JUZ225" s="717"/>
      <c r="JVA225" s="715"/>
      <c r="JVB225" s="716"/>
      <c r="JVC225" s="716"/>
      <c r="JVD225" s="716"/>
      <c r="JVE225" s="716"/>
      <c r="JVF225" s="717"/>
      <c r="JVG225" s="715"/>
      <c r="JVH225" s="716"/>
      <c r="JVI225" s="716"/>
      <c r="JVJ225" s="716"/>
      <c r="JVK225" s="716"/>
      <c r="JVL225" s="717"/>
      <c r="JVM225" s="715"/>
      <c r="JVN225" s="716"/>
      <c r="JVO225" s="716"/>
      <c r="JVP225" s="716"/>
      <c r="JVQ225" s="716"/>
      <c r="JVR225" s="717"/>
      <c r="JVS225" s="715"/>
      <c r="JVT225" s="716"/>
      <c r="JVU225" s="716"/>
      <c r="JVV225" s="716"/>
      <c r="JVW225" s="716"/>
      <c r="JVX225" s="717"/>
      <c r="JVY225" s="715"/>
      <c r="JVZ225" s="716"/>
      <c r="JWA225" s="716"/>
      <c r="JWB225" s="716"/>
      <c r="JWC225" s="716"/>
      <c r="JWD225" s="717"/>
      <c r="JWE225" s="715"/>
      <c r="JWF225" s="716"/>
      <c r="JWG225" s="716"/>
      <c r="JWH225" s="716"/>
      <c r="JWI225" s="716"/>
      <c r="JWJ225" s="717"/>
      <c r="JWK225" s="715"/>
      <c r="JWL225" s="716"/>
      <c r="JWM225" s="716"/>
      <c r="JWN225" s="716"/>
      <c r="JWO225" s="716"/>
      <c r="JWP225" s="717"/>
      <c r="JWQ225" s="715"/>
      <c r="JWR225" s="716"/>
      <c r="JWS225" s="716"/>
      <c r="JWT225" s="716"/>
      <c r="JWU225" s="716"/>
      <c r="JWV225" s="717"/>
      <c r="JWW225" s="715"/>
      <c r="JWX225" s="716"/>
      <c r="JWY225" s="716"/>
      <c r="JWZ225" s="716"/>
      <c r="JXA225" s="716"/>
      <c r="JXB225" s="717"/>
      <c r="JXC225" s="715"/>
      <c r="JXD225" s="716"/>
      <c r="JXE225" s="716"/>
      <c r="JXF225" s="716"/>
      <c r="JXG225" s="716"/>
      <c r="JXH225" s="717"/>
      <c r="JXI225" s="715"/>
      <c r="JXJ225" s="716"/>
      <c r="JXK225" s="716"/>
      <c r="JXL225" s="716"/>
      <c r="JXM225" s="716"/>
      <c r="JXN225" s="717"/>
      <c r="JXO225" s="715"/>
      <c r="JXP225" s="716"/>
      <c r="JXQ225" s="716"/>
      <c r="JXR225" s="716"/>
      <c r="JXS225" s="716"/>
      <c r="JXT225" s="717"/>
      <c r="JXU225" s="715"/>
      <c r="JXV225" s="716"/>
      <c r="JXW225" s="716"/>
      <c r="JXX225" s="716"/>
      <c r="JXY225" s="716"/>
      <c r="JXZ225" s="717"/>
      <c r="JYA225" s="715"/>
      <c r="JYB225" s="716"/>
      <c r="JYC225" s="716"/>
      <c r="JYD225" s="716"/>
      <c r="JYE225" s="716"/>
      <c r="JYF225" s="717"/>
      <c r="JYG225" s="715"/>
      <c r="JYH225" s="716"/>
      <c r="JYI225" s="716"/>
      <c r="JYJ225" s="716"/>
      <c r="JYK225" s="716"/>
      <c r="JYL225" s="717"/>
      <c r="JYM225" s="715"/>
      <c r="JYN225" s="716"/>
      <c r="JYO225" s="716"/>
      <c r="JYP225" s="716"/>
      <c r="JYQ225" s="716"/>
      <c r="JYR225" s="717"/>
      <c r="JYS225" s="715"/>
      <c r="JYT225" s="716"/>
      <c r="JYU225" s="716"/>
      <c r="JYV225" s="716"/>
      <c r="JYW225" s="716"/>
      <c r="JYX225" s="717"/>
      <c r="JYY225" s="715"/>
      <c r="JYZ225" s="716"/>
      <c r="JZA225" s="716"/>
      <c r="JZB225" s="716"/>
      <c r="JZC225" s="716"/>
      <c r="JZD225" s="717"/>
      <c r="JZE225" s="715"/>
      <c r="JZF225" s="716"/>
      <c r="JZG225" s="716"/>
      <c r="JZH225" s="716"/>
      <c r="JZI225" s="716"/>
      <c r="JZJ225" s="717"/>
      <c r="JZK225" s="715"/>
      <c r="JZL225" s="716"/>
      <c r="JZM225" s="716"/>
      <c r="JZN225" s="716"/>
      <c r="JZO225" s="716"/>
      <c r="JZP225" s="717"/>
      <c r="JZQ225" s="715"/>
      <c r="JZR225" s="716"/>
      <c r="JZS225" s="716"/>
      <c r="JZT225" s="716"/>
      <c r="JZU225" s="716"/>
      <c r="JZV225" s="717"/>
      <c r="JZW225" s="715"/>
      <c r="JZX225" s="716"/>
      <c r="JZY225" s="716"/>
      <c r="JZZ225" s="716"/>
      <c r="KAA225" s="716"/>
      <c r="KAB225" s="717"/>
      <c r="KAC225" s="715"/>
      <c r="KAD225" s="716"/>
      <c r="KAE225" s="716"/>
      <c r="KAF225" s="716"/>
      <c r="KAG225" s="716"/>
      <c r="KAH225" s="717"/>
      <c r="KAI225" s="715"/>
      <c r="KAJ225" s="716"/>
      <c r="KAK225" s="716"/>
      <c r="KAL225" s="716"/>
      <c r="KAM225" s="716"/>
      <c r="KAN225" s="717"/>
      <c r="KAO225" s="715"/>
      <c r="KAP225" s="716"/>
      <c r="KAQ225" s="716"/>
      <c r="KAR225" s="716"/>
      <c r="KAS225" s="716"/>
      <c r="KAT225" s="717"/>
      <c r="KAU225" s="715"/>
      <c r="KAV225" s="716"/>
      <c r="KAW225" s="716"/>
      <c r="KAX225" s="716"/>
      <c r="KAY225" s="716"/>
      <c r="KAZ225" s="717"/>
      <c r="KBA225" s="715"/>
      <c r="KBB225" s="716"/>
      <c r="KBC225" s="716"/>
      <c r="KBD225" s="716"/>
      <c r="KBE225" s="716"/>
      <c r="KBF225" s="717"/>
      <c r="KBG225" s="715"/>
      <c r="KBH225" s="716"/>
      <c r="KBI225" s="716"/>
      <c r="KBJ225" s="716"/>
      <c r="KBK225" s="716"/>
      <c r="KBL225" s="717"/>
      <c r="KBM225" s="715"/>
      <c r="KBN225" s="716"/>
      <c r="KBO225" s="716"/>
      <c r="KBP225" s="716"/>
      <c r="KBQ225" s="716"/>
      <c r="KBR225" s="717"/>
      <c r="KBS225" s="715"/>
      <c r="KBT225" s="716"/>
      <c r="KBU225" s="716"/>
      <c r="KBV225" s="716"/>
      <c r="KBW225" s="716"/>
      <c r="KBX225" s="717"/>
      <c r="KBY225" s="715"/>
      <c r="KBZ225" s="716"/>
      <c r="KCA225" s="716"/>
      <c r="KCB225" s="716"/>
      <c r="KCC225" s="716"/>
      <c r="KCD225" s="717"/>
      <c r="KCE225" s="715"/>
      <c r="KCF225" s="716"/>
      <c r="KCG225" s="716"/>
      <c r="KCH225" s="716"/>
      <c r="KCI225" s="716"/>
      <c r="KCJ225" s="717"/>
      <c r="KCK225" s="715"/>
      <c r="KCL225" s="716"/>
      <c r="KCM225" s="716"/>
      <c r="KCN225" s="716"/>
      <c r="KCO225" s="716"/>
      <c r="KCP225" s="717"/>
      <c r="KCQ225" s="715"/>
      <c r="KCR225" s="716"/>
      <c r="KCS225" s="716"/>
      <c r="KCT225" s="716"/>
      <c r="KCU225" s="716"/>
      <c r="KCV225" s="717"/>
      <c r="KCW225" s="715"/>
      <c r="KCX225" s="716"/>
      <c r="KCY225" s="716"/>
      <c r="KCZ225" s="716"/>
      <c r="KDA225" s="716"/>
      <c r="KDB225" s="717"/>
      <c r="KDC225" s="715"/>
      <c r="KDD225" s="716"/>
      <c r="KDE225" s="716"/>
      <c r="KDF225" s="716"/>
      <c r="KDG225" s="716"/>
      <c r="KDH225" s="717"/>
      <c r="KDI225" s="715"/>
      <c r="KDJ225" s="716"/>
      <c r="KDK225" s="716"/>
      <c r="KDL225" s="716"/>
      <c r="KDM225" s="716"/>
      <c r="KDN225" s="717"/>
      <c r="KDO225" s="715"/>
      <c r="KDP225" s="716"/>
      <c r="KDQ225" s="716"/>
      <c r="KDR225" s="716"/>
      <c r="KDS225" s="716"/>
      <c r="KDT225" s="717"/>
      <c r="KDU225" s="715"/>
      <c r="KDV225" s="716"/>
      <c r="KDW225" s="716"/>
      <c r="KDX225" s="716"/>
      <c r="KDY225" s="716"/>
      <c r="KDZ225" s="717"/>
      <c r="KEA225" s="715"/>
      <c r="KEB225" s="716"/>
      <c r="KEC225" s="716"/>
      <c r="KED225" s="716"/>
      <c r="KEE225" s="716"/>
      <c r="KEF225" s="717"/>
      <c r="KEG225" s="715"/>
      <c r="KEH225" s="716"/>
      <c r="KEI225" s="716"/>
      <c r="KEJ225" s="716"/>
      <c r="KEK225" s="716"/>
      <c r="KEL225" s="717"/>
      <c r="KEM225" s="715"/>
      <c r="KEN225" s="716"/>
      <c r="KEO225" s="716"/>
      <c r="KEP225" s="716"/>
      <c r="KEQ225" s="716"/>
      <c r="KER225" s="717"/>
      <c r="KES225" s="715"/>
      <c r="KET225" s="716"/>
      <c r="KEU225" s="716"/>
      <c r="KEV225" s="716"/>
      <c r="KEW225" s="716"/>
      <c r="KEX225" s="717"/>
      <c r="KEY225" s="715"/>
      <c r="KEZ225" s="716"/>
      <c r="KFA225" s="716"/>
      <c r="KFB225" s="716"/>
      <c r="KFC225" s="716"/>
      <c r="KFD225" s="717"/>
      <c r="KFE225" s="715"/>
      <c r="KFF225" s="716"/>
      <c r="KFG225" s="716"/>
      <c r="KFH225" s="716"/>
      <c r="KFI225" s="716"/>
      <c r="KFJ225" s="717"/>
      <c r="KFK225" s="715"/>
      <c r="KFL225" s="716"/>
      <c r="KFM225" s="716"/>
      <c r="KFN225" s="716"/>
      <c r="KFO225" s="716"/>
      <c r="KFP225" s="717"/>
      <c r="KFQ225" s="715"/>
      <c r="KFR225" s="716"/>
      <c r="KFS225" s="716"/>
      <c r="KFT225" s="716"/>
      <c r="KFU225" s="716"/>
      <c r="KFV225" s="717"/>
      <c r="KFW225" s="715"/>
      <c r="KFX225" s="716"/>
      <c r="KFY225" s="716"/>
      <c r="KFZ225" s="716"/>
      <c r="KGA225" s="716"/>
      <c r="KGB225" s="717"/>
      <c r="KGC225" s="715"/>
      <c r="KGD225" s="716"/>
      <c r="KGE225" s="716"/>
      <c r="KGF225" s="716"/>
      <c r="KGG225" s="716"/>
      <c r="KGH225" s="717"/>
      <c r="KGI225" s="715"/>
      <c r="KGJ225" s="716"/>
      <c r="KGK225" s="716"/>
      <c r="KGL225" s="716"/>
      <c r="KGM225" s="716"/>
      <c r="KGN225" s="717"/>
      <c r="KGO225" s="715"/>
      <c r="KGP225" s="716"/>
      <c r="KGQ225" s="716"/>
      <c r="KGR225" s="716"/>
      <c r="KGS225" s="716"/>
      <c r="KGT225" s="717"/>
      <c r="KGU225" s="715"/>
      <c r="KGV225" s="716"/>
      <c r="KGW225" s="716"/>
      <c r="KGX225" s="716"/>
      <c r="KGY225" s="716"/>
      <c r="KGZ225" s="717"/>
      <c r="KHA225" s="715"/>
      <c r="KHB225" s="716"/>
      <c r="KHC225" s="716"/>
      <c r="KHD225" s="716"/>
      <c r="KHE225" s="716"/>
      <c r="KHF225" s="717"/>
      <c r="KHG225" s="715"/>
      <c r="KHH225" s="716"/>
      <c r="KHI225" s="716"/>
      <c r="KHJ225" s="716"/>
      <c r="KHK225" s="716"/>
      <c r="KHL225" s="717"/>
      <c r="KHM225" s="715"/>
      <c r="KHN225" s="716"/>
      <c r="KHO225" s="716"/>
      <c r="KHP225" s="716"/>
      <c r="KHQ225" s="716"/>
      <c r="KHR225" s="717"/>
      <c r="KHS225" s="715"/>
      <c r="KHT225" s="716"/>
      <c r="KHU225" s="716"/>
      <c r="KHV225" s="716"/>
      <c r="KHW225" s="716"/>
      <c r="KHX225" s="717"/>
      <c r="KHY225" s="715"/>
      <c r="KHZ225" s="716"/>
      <c r="KIA225" s="716"/>
      <c r="KIB225" s="716"/>
      <c r="KIC225" s="716"/>
      <c r="KID225" s="717"/>
      <c r="KIE225" s="715"/>
      <c r="KIF225" s="716"/>
      <c r="KIG225" s="716"/>
      <c r="KIH225" s="716"/>
      <c r="KII225" s="716"/>
      <c r="KIJ225" s="717"/>
      <c r="KIK225" s="715"/>
      <c r="KIL225" s="716"/>
      <c r="KIM225" s="716"/>
      <c r="KIN225" s="716"/>
      <c r="KIO225" s="716"/>
      <c r="KIP225" s="717"/>
      <c r="KIQ225" s="715"/>
      <c r="KIR225" s="716"/>
      <c r="KIS225" s="716"/>
      <c r="KIT225" s="716"/>
      <c r="KIU225" s="716"/>
      <c r="KIV225" s="717"/>
      <c r="KIW225" s="715"/>
      <c r="KIX225" s="716"/>
      <c r="KIY225" s="716"/>
      <c r="KIZ225" s="716"/>
      <c r="KJA225" s="716"/>
      <c r="KJB225" s="717"/>
      <c r="KJC225" s="715"/>
      <c r="KJD225" s="716"/>
      <c r="KJE225" s="716"/>
      <c r="KJF225" s="716"/>
      <c r="KJG225" s="716"/>
      <c r="KJH225" s="717"/>
      <c r="KJI225" s="715"/>
      <c r="KJJ225" s="716"/>
      <c r="KJK225" s="716"/>
      <c r="KJL225" s="716"/>
      <c r="KJM225" s="716"/>
      <c r="KJN225" s="717"/>
      <c r="KJO225" s="715"/>
      <c r="KJP225" s="716"/>
      <c r="KJQ225" s="716"/>
      <c r="KJR225" s="716"/>
      <c r="KJS225" s="716"/>
      <c r="KJT225" s="717"/>
      <c r="KJU225" s="715"/>
      <c r="KJV225" s="716"/>
      <c r="KJW225" s="716"/>
      <c r="KJX225" s="716"/>
      <c r="KJY225" s="716"/>
      <c r="KJZ225" s="717"/>
      <c r="KKA225" s="715"/>
      <c r="KKB225" s="716"/>
      <c r="KKC225" s="716"/>
      <c r="KKD225" s="716"/>
      <c r="KKE225" s="716"/>
      <c r="KKF225" s="717"/>
      <c r="KKG225" s="715"/>
      <c r="KKH225" s="716"/>
      <c r="KKI225" s="716"/>
      <c r="KKJ225" s="716"/>
      <c r="KKK225" s="716"/>
      <c r="KKL225" s="717"/>
      <c r="KKM225" s="715"/>
      <c r="KKN225" s="716"/>
      <c r="KKO225" s="716"/>
      <c r="KKP225" s="716"/>
      <c r="KKQ225" s="716"/>
      <c r="KKR225" s="717"/>
      <c r="KKS225" s="715"/>
      <c r="KKT225" s="716"/>
      <c r="KKU225" s="716"/>
      <c r="KKV225" s="716"/>
      <c r="KKW225" s="716"/>
      <c r="KKX225" s="717"/>
      <c r="KKY225" s="715"/>
      <c r="KKZ225" s="716"/>
      <c r="KLA225" s="716"/>
      <c r="KLB225" s="716"/>
      <c r="KLC225" s="716"/>
      <c r="KLD225" s="717"/>
      <c r="KLE225" s="715"/>
      <c r="KLF225" s="716"/>
      <c r="KLG225" s="716"/>
      <c r="KLH225" s="716"/>
      <c r="KLI225" s="716"/>
      <c r="KLJ225" s="717"/>
      <c r="KLK225" s="715"/>
      <c r="KLL225" s="716"/>
      <c r="KLM225" s="716"/>
      <c r="KLN225" s="716"/>
      <c r="KLO225" s="716"/>
      <c r="KLP225" s="717"/>
      <c r="KLQ225" s="715"/>
      <c r="KLR225" s="716"/>
      <c r="KLS225" s="716"/>
      <c r="KLT225" s="716"/>
      <c r="KLU225" s="716"/>
      <c r="KLV225" s="717"/>
      <c r="KLW225" s="715"/>
      <c r="KLX225" s="716"/>
      <c r="KLY225" s="716"/>
      <c r="KLZ225" s="716"/>
      <c r="KMA225" s="716"/>
      <c r="KMB225" s="717"/>
      <c r="KMC225" s="715"/>
      <c r="KMD225" s="716"/>
      <c r="KME225" s="716"/>
      <c r="KMF225" s="716"/>
      <c r="KMG225" s="716"/>
      <c r="KMH225" s="717"/>
      <c r="KMI225" s="715"/>
      <c r="KMJ225" s="716"/>
      <c r="KMK225" s="716"/>
      <c r="KML225" s="716"/>
      <c r="KMM225" s="716"/>
      <c r="KMN225" s="717"/>
      <c r="KMO225" s="715"/>
      <c r="KMP225" s="716"/>
      <c r="KMQ225" s="716"/>
      <c r="KMR225" s="716"/>
      <c r="KMS225" s="716"/>
      <c r="KMT225" s="717"/>
      <c r="KMU225" s="715"/>
      <c r="KMV225" s="716"/>
      <c r="KMW225" s="716"/>
      <c r="KMX225" s="716"/>
      <c r="KMY225" s="716"/>
      <c r="KMZ225" s="717"/>
      <c r="KNA225" s="715"/>
      <c r="KNB225" s="716"/>
      <c r="KNC225" s="716"/>
      <c r="KND225" s="716"/>
      <c r="KNE225" s="716"/>
      <c r="KNF225" s="717"/>
      <c r="KNG225" s="715"/>
      <c r="KNH225" s="716"/>
      <c r="KNI225" s="716"/>
      <c r="KNJ225" s="716"/>
      <c r="KNK225" s="716"/>
      <c r="KNL225" s="717"/>
      <c r="KNM225" s="715"/>
      <c r="KNN225" s="716"/>
      <c r="KNO225" s="716"/>
      <c r="KNP225" s="716"/>
      <c r="KNQ225" s="716"/>
      <c r="KNR225" s="717"/>
      <c r="KNS225" s="715"/>
      <c r="KNT225" s="716"/>
      <c r="KNU225" s="716"/>
      <c r="KNV225" s="716"/>
      <c r="KNW225" s="716"/>
      <c r="KNX225" s="717"/>
      <c r="KNY225" s="715"/>
      <c r="KNZ225" s="716"/>
      <c r="KOA225" s="716"/>
      <c r="KOB225" s="716"/>
      <c r="KOC225" s="716"/>
      <c r="KOD225" s="717"/>
      <c r="KOE225" s="715"/>
      <c r="KOF225" s="716"/>
      <c r="KOG225" s="716"/>
      <c r="KOH225" s="716"/>
      <c r="KOI225" s="716"/>
      <c r="KOJ225" s="717"/>
      <c r="KOK225" s="715"/>
      <c r="KOL225" s="716"/>
      <c r="KOM225" s="716"/>
      <c r="KON225" s="716"/>
      <c r="KOO225" s="716"/>
      <c r="KOP225" s="717"/>
      <c r="KOQ225" s="715"/>
      <c r="KOR225" s="716"/>
      <c r="KOS225" s="716"/>
      <c r="KOT225" s="716"/>
      <c r="KOU225" s="716"/>
      <c r="KOV225" s="717"/>
      <c r="KOW225" s="715"/>
      <c r="KOX225" s="716"/>
      <c r="KOY225" s="716"/>
      <c r="KOZ225" s="716"/>
      <c r="KPA225" s="716"/>
      <c r="KPB225" s="717"/>
      <c r="KPC225" s="715"/>
      <c r="KPD225" s="716"/>
      <c r="KPE225" s="716"/>
      <c r="KPF225" s="716"/>
      <c r="KPG225" s="716"/>
      <c r="KPH225" s="717"/>
      <c r="KPI225" s="715"/>
      <c r="KPJ225" s="716"/>
      <c r="KPK225" s="716"/>
      <c r="KPL225" s="716"/>
      <c r="KPM225" s="716"/>
      <c r="KPN225" s="717"/>
      <c r="KPO225" s="715"/>
      <c r="KPP225" s="716"/>
      <c r="KPQ225" s="716"/>
      <c r="KPR225" s="716"/>
      <c r="KPS225" s="716"/>
      <c r="KPT225" s="717"/>
      <c r="KPU225" s="715"/>
      <c r="KPV225" s="716"/>
      <c r="KPW225" s="716"/>
      <c r="KPX225" s="716"/>
      <c r="KPY225" s="716"/>
      <c r="KPZ225" s="717"/>
      <c r="KQA225" s="715"/>
      <c r="KQB225" s="716"/>
      <c r="KQC225" s="716"/>
      <c r="KQD225" s="716"/>
      <c r="KQE225" s="716"/>
      <c r="KQF225" s="717"/>
      <c r="KQG225" s="715"/>
      <c r="KQH225" s="716"/>
      <c r="KQI225" s="716"/>
      <c r="KQJ225" s="716"/>
      <c r="KQK225" s="716"/>
      <c r="KQL225" s="717"/>
      <c r="KQM225" s="715"/>
      <c r="KQN225" s="716"/>
      <c r="KQO225" s="716"/>
      <c r="KQP225" s="716"/>
      <c r="KQQ225" s="716"/>
      <c r="KQR225" s="717"/>
      <c r="KQS225" s="715"/>
      <c r="KQT225" s="716"/>
      <c r="KQU225" s="716"/>
      <c r="KQV225" s="716"/>
      <c r="KQW225" s="716"/>
      <c r="KQX225" s="717"/>
      <c r="KQY225" s="715"/>
      <c r="KQZ225" s="716"/>
      <c r="KRA225" s="716"/>
      <c r="KRB225" s="716"/>
      <c r="KRC225" s="716"/>
      <c r="KRD225" s="717"/>
      <c r="KRE225" s="715"/>
      <c r="KRF225" s="716"/>
      <c r="KRG225" s="716"/>
      <c r="KRH225" s="716"/>
      <c r="KRI225" s="716"/>
      <c r="KRJ225" s="717"/>
      <c r="KRK225" s="715"/>
      <c r="KRL225" s="716"/>
      <c r="KRM225" s="716"/>
      <c r="KRN225" s="716"/>
      <c r="KRO225" s="716"/>
      <c r="KRP225" s="717"/>
      <c r="KRQ225" s="715"/>
      <c r="KRR225" s="716"/>
      <c r="KRS225" s="716"/>
      <c r="KRT225" s="716"/>
      <c r="KRU225" s="716"/>
      <c r="KRV225" s="717"/>
      <c r="KRW225" s="715"/>
      <c r="KRX225" s="716"/>
      <c r="KRY225" s="716"/>
      <c r="KRZ225" s="716"/>
      <c r="KSA225" s="716"/>
      <c r="KSB225" s="717"/>
      <c r="KSC225" s="715"/>
      <c r="KSD225" s="716"/>
      <c r="KSE225" s="716"/>
      <c r="KSF225" s="716"/>
      <c r="KSG225" s="716"/>
      <c r="KSH225" s="717"/>
      <c r="KSI225" s="715"/>
      <c r="KSJ225" s="716"/>
      <c r="KSK225" s="716"/>
      <c r="KSL225" s="716"/>
      <c r="KSM225" s="716"/>
      <c r="KSN225" s="717"/>
      <c r="KSO225" s="715"/>
      <c r="KSP225" s="716"/>
      <c r="KSQ225" s="716"/>
      <c r="KSR225" s="716"/>
      <c r="KSS225" s="716"/>
      <c r="KST225" s="717"/>
      <c r="KSU225" s="715"/>
      <c r="KSV225" s="716"/>
      <c r="KSW225" s="716"/>
      <c r="KSX225" s="716"/>
      <c r="KSY225" s="716"/>
      <c r="KSZ225" s="717"/>
      <c r="KTA225" s="715"/>
      <c r="KTB225" s="716"/>
      <c r="KTC225" s="716"/>
      <c r="KTD225" s="716"/>
      <c r="KTE225" s="716"/>
      <c r="KTF225" s="717"/>
      <c r="KTG225" s="715"/>
      <c r="KTH225" s="716"/>
      <c r="KTI225" s="716"/>
      <c r="KTJ225" s="716"/>
      <c r="KTK225" s="716"/>
      <c r="KTL225" s="717"/>
      <c r="KTM225" s="715"/>
      <c r="KTN225" s="716"/>
      <c r="KTO225" s="716"/>
      <c r="KTP225" s="716"/>
      <c r="KTQ225" s="716"/>
      <c r="KTR225" s="717"/>
      <c r="KTS225" s="715"/>
      <c r="KTT225" s="716"/>
      <c r="KTU225" s="716"/>
      <c r="KTV225" s="716"/>
      <c r="KTW225" s="716"/>
      <c r="KTX225" s="717"/>
      <c r="KTY225" s="715"/>
      <c r="KTZ225" s="716"/>
      <c r="KUA225" s="716"/>
      <c r="KUB225" s="716"/>
      <c r="KUC225" s="716"/>
      <c r="KUD225" s="717"/>
      <c r="KUE225" s="715"/>
      <c r="KUF225" s="716"/>
      <c r="KUG225" s="716"/>
      <c r="KUH225" s="716"/>
      <c r="KUI225" s="716"/>
      <c r="KUJ225" s="717"/>
      <c r="KUK225" s="715"/>
      <c r="KUL225" s="716"/>
      <c r="KUM225" s="716"/>
      <c r="KUN225" s="716"/>
      <c r="KUO225" s="716"/>
      <c r="KUP225" s="717"/>
      <c r="KUQ225" s="715"/>
      <c r="KUR225" s="716"/>
      <c r="KUS225" s="716"/>
      <c r="KUT225" s="716"/>
      <c r="KUU225" s="716"/>
      <c r="KUV225" s="717"/>
      <c r="KUW225" s="715"/>
      <c r="KUX225" s="716"/>
      <c r="KUY225" s="716"/>
      <c r="KUZ225" s="716"/>
      <c r="KVA225" s="716"/>
      <c r="KVB225" s="717"/>
      <c r="KVC225" s="715"/>
      <c r="KVD225" s="716"/>
      <c r="KVE225" s="716"/>
      <c r="KVF225" s="716"/>
      <c r="KVG225" s="716"/>
      <c r="KVH225" s="717"/>
      <c r="KVI225" s="715"/>
      <c r="KVJ225" s="716"/>
      <c r="KVK225" s="716"/>
      <c r="KVL225" s="716"/>
      <c r="KVM225" s="716"/>
      <c r="KVN225" s="717"/>
      <c r="KVO225" s="715"/>
      <c r="KVP225" s="716"/>
      <c r="KVQ225" s="716"/>
      <c r="KVR225" s="716"/>
      <c r="KVS225" s="716"/>
      <c r="KVT225" s="717"/>
      <c r="KVU225" s="715"/>
      <c r="KVV225" s="716"/>
      <c r="KVW225" s="716"/>
      <c r="KVX225" s="716"/>
      <c r="KVY225" s="716"/>
      <c r="KVZ225" s="717"/>
      <c r="KWA225" s="715"/>
      <c r="KWB225" s="716"/>
      <c r="KWC225" s="716"/>
      <c r="KWD225" s="716"/>
      <c r="KWE225" s="716"/>
      <c r="KWF225" s="717"/>
      <c r="KWG225" s="715"/>
      <c r="KWH225" s="716"/>
      <c r="KWI225" s="716"/>
      <c r="KWJ225" s="716"/>
      <c r="KWK225" s="716"/>
      <c r="KWL225" s="717"/>
      <c r="KWM225" s="715"/>
      <c r="KWN225" s="716"/>
      <c r="KWO225" s="716"/>
      <c r="KWP225" s="716"/>
      <c r="KWQ225" s="716"/>
      <c r="KWR225" s="717"/>
      <c r="KWS225" s="715"/>
      <c r="KWT225" s="716"/>
      <c r="KWU225" s="716"/>
      <c r="KWV225" s="716"/>
      <c r="KWW225" s="716"/>
      <c r="KWX225" s="717"/>
      <c r="KWY225" s="715"/>
      <c r="KWZ225" s="716"/>
      <c r="KXA225" s="716"/>
      <c r="KXB225" s="716"/>
      <c r="KXC225" s="716"/>
      <c r="KXD225" s="717"/>
      <c r="KXE225" s="715"/>
      <c r="KXF225" s="716"/>
      <c r="KXG225" s="716"/>
      <c r="KXH225" s="716"/>
      <c r="KXI225" s="716"/>
      <c r="KXJ225" s="717"/>
      <c r="KXK225" s="715"/>
      <c r="KXL225" s="716"/>
      <c r="KXM225" s="716"/>
      <c r="KXN225" s="716"/>
      <c r="KXO225" s="716"/>
      <c r="KXP225" s="717"/>
      <c r="KXQ225" s="715"/>
      <c r="KXR225" s="716"/>
      <c r="KXS225" s="716"/>
      <c r="KXT225" s="716"/>
      <c r="KXU225" s="716"/>
      <c r="KXV225" s="717"/>
      <c r="KXW225" s="715"/>
      <c r="KXX225" s="716"/>
      <c r="KXY225" s="716"/>
      <c r="KXZ225" s="716"/>
      <c r="KYA225" s="716"/>
      <c r="KYB225" s="717"/>
      <c r="KYC225" s="715"/>
      <c r="KYD225" s="716"/>
      <c r="KYE225" s="716"/>
      <c r="KYF225" s="716"/>
      <c r="KYG225" s="716"/>
      <c r="KYH225" s="717"/>
      <c r="KYI225" s="715"/>
      <c r="KYJ225" s="716"/>
      <c r="KYK225" s="716"/>
      <c r="KYL225" s="716"/>
      <c r="KYM225" s="716"/>
      <c r="KYN225" s="717"/>
      <c r="KYO225" s="715"/>
      <c r="KYP225" s="716"/>
      <c r="KYQ225" s="716"/>
      <c r="KYR225" s="716"/>
      <c r="KYS225" s="716"/>
      <c r="KYT225" s="717"/>
      <c r="KYU225" s="715"/>
      <c r="KYV225" s="716"/>
      <c r="KYW225" s="716"/>
      <c r="KYX225" s="716"/>
      <c r="KYY225" s="716"/>
      <c r="KYZ225" s="717"/>
      <c r="KZA225" s="715"/>
      <c r="KZB225" s="716"/>
      <c r="KZC225" s="716"/>
      <c r="KZD225" s="716"/>
      <c r="KZE225" s="716"/>
      <c r="KZF225" s="717"/>
      <c r="KZG225" s="715"/>
      <c r="KZH225" s="716"/>
      <c r="KZI225" s="716"/>
      <c r="KZJ225" s="716"/>
      <c r="KZK225" s="716"/>
      <c r="KZL225" s="717"/>
      <c r="KZM225" s="715"/>
      <c r="KZN225" s="716"/>
      <c r="KZO225" s="716"/>
      <c r="KZP225" s="716"/>
      <c r="KZQ225" s="716"/>
      <c r="KZR225" s="717"/>
      <c r="KZS225" s="715"/>
      <c r="KZT225" s="716"/>
      <c r="KZU225" s="716"/>
      <c r="KZV225" s="716"/>
      <c r="KZW225" s="716"/>
      <c r="KZX225" s="717"/>
      <c r="KZY225" s="715"/>
      <c r="KZZ225" s="716"/>
      <c r="LAA225" s="716"/>
      <c r="LAB225" s="716"/>
      <c r="LAC225" s="716"/>
      <c r="LAD225" s="717"/>
      <c r="LAE225" s="715"/>
      <c r="LAF225" s="716"/>
      <c r="LAG225" s="716"/>
      <c r="LAH225" s="716"/>
      <c r="LAI225" s="716"/>
      <c r="LAJ225" s="717"/>
      <c r="LAK225" s="715"/>
      <c r="LAL225" s="716"/>
      <c r="LAM225" s="716"/>
      <c r="LAN225" s="716"/>
      <c r="LAO225" s="716"/>
      <c r="LAP225" s="717"/>
      <c r="LAQ225" s="715"/>
      <c r="LAR225" s="716"/>
      <c r="LAS225" s="716"/>
      <c r="LAT225" s="716"/>
      <c r="LAU225" s="716"/>
      <c r="LAV225" s="717"/>
      <c r="LAW225" s="715"/>
      <c r="LAX225" s="716"/>
      <c r="LAY225" s="716"/>
      <c r="LAZ225" s="716"/>
      <c r="LBA225" s="716"/>
      <c r="LBB225" s="717"/>
      <c r="LBC225" s="715"/>
      <c r="LBD225" s="716"/>
      <c r="LBE225" s="716"/>
      <c r="LBF225" s="716"/>
      <c r="LBG225" s="716"/>
      <c r="LBH225" s="717"/>
      <c r="LBI225" s="715"/>
      <c r="LBJ225" s="716"/>
      <c r="LBK225" s="716"/>
      <c r="LBL225" s="716"/>
      <c r="LBM225" s="716"/>
      <c r="LBN225" s="717"/>
      <c r="LBO225" s="715"/>
      <c r="LBP225" s="716"/>
      <c r="LBQ225" s="716"/>
      <c r="LBR225" s="716"/>
      <c r="LBS225" s="716"/>
      <c r="LBT225" s="717"/>
      <c r="LBU225" s="715"/>
      <c r="LBV225" s="716"/>
      <c r="LBW225" s="716"/>
      <c r="LBX225" s="716"/>
      <c r="LBY225" s="716"/>
      <c r="LBZ225" s="717"/>
      <c r="LCA225" s="715"/>
      <c r="LCB225" s="716"/>
      <c r="LCC225" s="716"/>
      <c r="LCD225" s="716"/>
      <c r="LCE225" s="716"/>
      <c r="LCF225" s="717"/>
      <c r="LCG225" s="715"/>
      <c r="LCH225" s="716"/>
      <c r="LCI225" s="716"/>
      <c r="LCJ225" s="716"/>
      <c r="LCK225" s="716"/>
      <c r="LCL225" s="717"/>
      <c r="LCM225" s="715"/>
      <c r="LCN225" s="716"/>
      <c r="LCO225" s="716"/>
      <c r="LCP225" s="716"/>
      <c r="LCQ225" s="716"/>
      <c r="LCR225" s="717"/>
      <c r="LCS225" s="715"/>
      <c r="LCT225" s="716"/>
      <c r="LCU225" s="716"/>
      <c r="LCV225" s="716"/>
      <c r="LCW225" s="716"/>
      <c r="LCX225" s="717"/>
      <c r="LCY225" s="715"/>
      <c r="LCZ225" s="716"/>
      <c r="LDA225" s="716"/>
      <c r="LDB225" s="716"/>
      <c r="LDC225" s="716"/>
      <c r="LDD225" s="717"/>
      <c r="LDE225" s="715"/>
      <c r="LDF225" s="716"/>
      <c r="LDG225" s="716"/>
      <c r="LDH225" s="716"/>
      <c r="LDI225" s="716"/>
      <c r="LDJ225" s="717"/>
      <c r="LDK225" s="715"/>
      <c r="LDL225" s="716"/>
      <c r="LDM225" s="716"/>
      <c r="LDN225" s="716"/>
      <c r="LDO225" s="716"/>
      <c r="LDP225" s="717"/>
      <c r="LDQ225" s="715"/>
      <c r="LDR225" s="716"/>
      <c r="LDS225" s="716"/>
      <c r="LDT225" s="716"/>
      <c r="LDU225" s="716"/>
      <c r="LDV225" s="717"/>
      <c r="LDW225" s="715"/>
      <c r="LDX225" s="716"/>
      <c r="LDY225" s="716"/>
      <c r="LDZ225" s="716"/>
      <c r="LEA225" s="716"/>
      <c r="LEB225" s="717"/>
      <c r="LEC225" s="715"/>
      <c r="LED225" s="716"/>
      <c r="LEE225" s="716"/>
      <c r="LEF225" s="716"/>
      <c r="LEG225" s="716"/>
      <c r="LEH225" s="717"/>
      <c r="LEI225" s="715"/>
      <c r="LEJ225" s="716"/>
      <c r="LEK225" s="716"/>
      <c r="LEL225" s="716"/>
      <c r="LEM225" s="716"/>
      <c r="LEN225" s="717"/>
      <c r="LEO225" s="715"/>
      <c r="LEP225" s="716"/>
      <c r="LEQ225" s="716"/>
      <c r="LER225" s="716"/>
      <c r="LES225" s="716"/>
      <c r="LET225" s="717"/>
      <c r="LEU225" s="715"/>
      <c r="LEV225" s="716"/>
      <c r="LEW225" s="716"/>
      <c r="LEX225" s="716"/>
      <c r="LEY225" s="716"/>
      <c r="LEZ225" s="717"/>
      <c r="LFA225" s="715"/>
      <c r="LFB225" s="716"/>
      <c r="LFC225" s="716"/>
      <c r="LFD225" s="716"/>
      <c r="LFE225" s="716"/>
      <c r="LFF225" s="717"/>
      <c r="LFG225" s="715"/>
      <c r="LFH225" s="716"/>
      <c r="LFI225" s="716"/>
      <c r="LFJ225" s="716"/>
      <c r="LFK225" s="716"/>
      <c r="LFL225" s="717"/>
      <c r="LFM225" s="715"/>
      <c r="LFN225" s="716"/>
      <c r="LFO225" s="716"/>
      <c r="LFP225" s="716"/>
      <c r="LFQ225" s="716"/>
      <c r="LFR225" s="717"/>
      <c r="LFS225" s="715"/>
      <c r="LFT225" s="716"/>
      <c r="LFU225" s="716"/>
      <c r="LFV225" s="716"/>
      <c r="LFW225" s="716"/>
      <c r="LFX225" s="717"/>
      <c r="LFY225" s="715"/>
      <c r="LFZ225" s="716"/>
      <c r="LGA225" s="716"/>
      <c r="LGB225" s="716"/>
      <c r="LGC225" s="716"/>
      <c r="LGD225" s="717"/>
      <c r="LGE225" s="715"/>
      <c r="LGF225" s="716"/>
      <c r="LGG225" s="716"/>
      <c r="LGH225" s="716"/>
      <c r="LGI225" s="716"/>
      <c r="LGJ225" s="717"/>
      <c r="LGK225" s="715"/>
      <c r="LGL225" s="716"/>
      <c r="LGM225" s="716"/>
      <c r="LGN225" s="716"/>
      <c r="LGO225" s="716"/>
      <c r="LGP225" s="717"/>
      <c r="LGQ225" s="715"/>
      <c r="LGR225" s="716"/>
      <c r="LGS225" s="716"/>
      <c r="LGT225" s="716"/>
      <c r="LGU225" s="716"/>
      <c r="LGV225" s="717"/>
      <c r="LGW225" s="715"/>
      <c r="LGX225" s="716"/>
      <c r="LGY225" s="716"/>
      <c r="LGZ225" s="716"/>
      <c r="LHA225" s="716"/>
      <c r="LHB225" s="717"/>
      <c r="LHC225" s="715"/>
      <c r="LHD225" s="716"/>
      <c r="LHE225" s="716"/>
      <c r="LHF225" s="716"/>
      <c r="LHG225" s="716"/>
      <c r="LHH225" s="717"/>
      <c r="LHI225" s="715"/>
      <c r="LHJ225" s="716"/>
      <c r="LHK225" s="716"/>
      <c r="LHL225" s="716"/>
      <c r="LHM225" s="716"/>
      <c r="LHN225" s="717"/>
      <c r="LHO225" s="715"/>
      <c r="LHP225" s="716"/>
      <c r="LHQ225" s="716"/>
      <c r="LHR225" s="716"/>
      <c r="LHS225" s="716"/>
      <c r="LHT225" s="717"/>
      <c r="LHU225" s="715"/>
      <c r="LHV225" s="716"/>
      <c r="LHW225" s="716"/>
      <c r="LHX225" s="716"/>
      <c r="LHY225" s="716"/>
      <c r="LHZ225" s="717"/>
      <c r="LIA225" s="715"/>
      <c r="LIB225" s="716"/>
      <c r="LIC225" s="716"/>
      <c r="LID225" s="716"/>
      <c r="LIE225" s="716"/>
      <c r="LIF225" s="717"/>
      <c r="LIG225" s="715"/>
      <c r="LIH225" s="716"/>
      <c r="LII225" s="716"/>
      <c r="LIJ225" s="716"/>
      <c r="LIK225" s="716"/>
      <c r="LIL225" s="717"/>
      <c r="LIM225" s="715"/>
      <c r="LIN225" s="716"/>
      <c r="LIO225" s="716"/>
      <c r="LIP225" s="716"/>
      <c r="LIQ225" s="716"/>
      <c r="LIR225" s="717"/>
      <c r="LIS225" s="715"/>
      <c r="LIT225" s="716"/>
      <c r="LIU225" s="716"/>
      <c r="LIV225" s="716"/>
      <c r="LIW225" s="716"/>
      <c r="LIX225" s="717"/>
      <c r="LIY225" s="715"/>
      <c r="LIZ225" s="716"/>
      <c r="LJA225" s="716"/>
      <c r="LJB225" s="716"/>
      <c r="LJC225" s="716"/>
      <c r="LJD225" s="717"/>
      <c r="LJE225" s="715"/>
      <c r="LJF225" s="716"/>
      <c r="LJG225" s="716"/>
      <c r="LJH225" s="716"/>
      <c r="LJI225" s="716"/>
      <c r="LJJ225" s="717"/>
      <c r="LJK225" s="715"/>
      <c r="LJL225" s="716"/>
      <c r="LJM225" s="716"/>
      <c r="LJN225" s="716"/>
      <c r="LJO225" s="716"/>
      <c r="LJP225" s="717"/>
      <c r="LJQ225" s="715"/>
      <c r="LJR225" s="716"/>
      <c r="LJS225" s="716"/>
      <c r="LJT225" s="716"/>
      <c r="LJU225" s="716"/>
      <c r="LJV225" s="717"/>
      <c r="LJW225" s="715"/>
      <c r="LJX225" s="716"/>
      <c r="LJY225" s="716"/>
      <c r="LJZ225" s="716"/>
      <c r="LKA225" s="716"/>
      <c r="LKB225" s="717"/>
      <c r="LKC225" s="715"/>
      <c r="LKD225" s="716"/>
      <c r="LKE225" s="716"/>
      <c r="LKF225" s="716"/>
      <c r="LKG225" s="716"/>
      <c r="LKH225" s="717"/>
      <c r="LKI225" s="715"/>
      <c r="LKJ225" s="716"/>
      <c r="LKK225" s="716"/>
      <c r="LKL225" s="716"/>
      <c r="LKM225" s="716"/>
      <c r="LKN225" s="717"/>
      <c r="LKO225" s="715"/>
      <c r="LKP225" s="716"/>
      <c r="LKQ225" s="716"/>
      <c r="LKR225" s="716"/>
      <c r="LKS225" s="716"/>
      <c r="LKT225" s="717"/>
      <c r="LKU225" s="715"/>
      <c r="LKV225" s="716"/>
      <c r="LKW225" s="716"/>
      <c r="LKX225" s="716"/>
      <c r="LKY225" s="716"/>
      <c r="LKZ225" s="717"/>
      <c r="LLA225" s="715"/>
      <c r="LLB225" s="716"/>
      <c r="LLC225" s="716"/>
      <c r="LLD225" s="716"/>
      <c r="LLE225" s="716"/>
      <c r="LLF225" s="717"/>
      <c r="LLG225" s="715"/>
      <c r="LLH225" s="716"/>
      <c r="LLI225" s="716"/>
      <c r="LLJ225" s="716"/>
      <c r="LLK225" s="716"/>
      <c r="LLL225" s="717"/>
      <c r="LLM225" s="715"/>
      <c r="LLN225" s="716"/>
      <c r="LLO225" s="716"/>
      <c r="LLP225" s="716"/>
      <c r="LLQ225" s="716"/>
      <c r="LLR225" s="717"/>
      <c r="LLS225" s="715"/>
      <c r="LLT225" s="716"/>
      <c r="LLU225" s="716"/>
      <c r="LLV225" s="716"/>
      <c r="LLW225" s="716"/>
      <c r="LLX225" s="717"/>
      <c r="LLY225" s="715"/>
      <c r="LLZ225" s="716"/>
      <c r="LMA225" s="716"/>
      <c r="LMB225" s="716"/>
      <c r="LMC225" s="716"/>
      <c r="LMD225" s="717"/>
      <c r="LME225" s="715"/>
      <c r="LMF225" s="716"/>
      <c r="LMG225" s="716"/>
      <c r="LMH225" s="716"/>
      <c r="LMI225" s="716"/>
      <c r="LMJ225" s="717"/>
      <c r="LMK225" s="715"/>
      <c r="LML225" s="716"/>
      <c r="LMM225" s="716"/>
      <c r="LMN225" s="716"/>
      <c r="LMO225" s="716"/>
      <c r="LMP225" s="717"/>
      <c r="LMQ225" s="715"/>
      <c r="LMR225" s="716"/>
      <c r="LMS225" s="716"/>
      <c r="LMT225" s="716"/>
      <c r="LMU225" s="716"/>
      <c r="LMV225" s="717"/>
      <c r="LMW225" s="715"/>
      <c r="LMX225" s="716"/>
      <c r="LMY225" s="716"/>
      <c r="LMZ225" s="716"/>
      <c r="LNA225" s="716"/>
      <c r="LNB225" s="717"/>
      <c r="LNC225" s="715"/>
      <c r="LND225" s="716"/>
      <c r="LNE225" s="716"/>
      <c r="LNF225" s="716"/>
      <c r="LNG225" s="716"/>
      <c r="LNH225" s="717"/>
      <c r="LNI225" s="715"/>
      <c r="LNJ225" s="716"/>
      <c r="LNK225" s="716"/>
      <c r="LNL225" s="716"/>
      <c r="LNM225" s="716"/>
      <c r="LNN225" s="717"/>
      <c r="LNO225" s="715"/>
      <c r="LNP225" s="716"/>
      <c r="LNQ225" s="716"/>
      <c r="LNR225" s="716"/>
      <c r="LNS225" s="716"/>
      <c r="LNT225" s="717"/>
      <c r="LNU225" s="715"/>
      <c r="LNV225" s="716"/>
      <c r="LNW225" s="716"/>
      <c r="LNX225" s="716"/>
      <c r="LNY225" s="716"/>
      <c r="LNZ225" s="717"/>
      <c r="LOA225" s="715"/>
      <c r="LOB225" s="716"/>
      <c r="LOC225" s="716"/>
      <c r="LOD225" s="716"/>
      <c r="LOE225" s="716"/>
      <c r="LOF225" s="717"/>
      <c r="LOG225" s="715"/>
      <c r="LOH225" s="716"/>
      <c r="LOI225" s="716"/>
      <c r="LOJ225" s="716"/>
      <c r="LOK225" s="716"/>
      <c r="LOL225" s="717"/>
      <c r="LOM225" s="715"/>
      <c r="LON225" s="716"/>
      <c r="LOO225" s="716"/>
      <c r="LOP225" s="716"/>
      <c r="LOQ225" s="716"/>
      <c r="LOR225" s="717"/>
      <c r="LOS225" s="715"/>
      <c r="LOT225" s="716"/>
      <c r="LOU225" s="716"/>
      <c r="LOV225" s="716"/>
      <c r="LOW225" s="716"/>
      <c r="LOX225" s="717"/>
      <c r="LOY225" s="715"/>
      <c r="LOZ225" s="716"/>
      <c r="LPA225" s="716"/>
      <c r="LPB225" s="716"/>
      <c r="LPC225" s="716"/>
      <c r="LPD225" s="717"/>
      <c r="LPE225" s="715"/>
      <c r="LPF225" s="716"/>
      <c r="LPG225" s="716"/>
      <c r="LPH225" s="716"/>
      <c r="LPI225" s="716"/>
      <c r="LPJ225" s="717"/>
      <c r="LPK225" s="715"/>
      <c r="LPL225" s="716"/>
      <c r="LPM225" s="716"/>
      <c r="LPN225" s="716"/>
      <c r="LPO225" s="716"/>
      <c r="LPP225" s="717"/>
      <c r="LPQ225" s="715"/>
      <c r="LPR225" s="716"/>
      <c r="LPS225" s="716"/>
      <c r="LPT225" s="716"/>
      <c r="LPU225" s="716"/>
      <c r="LPV225" s="717"/>
      <c r="LPW225" s="715"/>
      <c r="LPX225" s="716"/>
      <c r="LPY225" s="716"/>
      <c r="LPZ225" s="716"/>
      <c r="LQA225" s="716"/>
      <c r="LQB225" s="717"/>
      <c r="LQC225" s="715"/>
      <c r="LQD225" s="716"/>
      <c r="LQE225" s="716"/>
      <c r="LQF225" s="716"/>
      <c r="LQG225" s="716"/>
      <c r="LQH225" s="717"/>
      <c r="LQI225" s="715"/>
      <c r="LQJ225" s="716"/>
      <c r="LQK225" s="716"/>
      <c r="LQL225" s="716"/>
      <c r="LQM225" s="716"/>
      <c r="LQN225" s="717"/>
      <c r="LQO225" s="715"/>
      <c r="LQP225" s="716"/>
      <c r="LQQ225" s="716"/>
      <c r="LQR225" s="716"/>
      <c r="LQS225" s="716"/>
      <c r="LQT225" s="717"/>
      <c r="LQU225" s="715"/>
      <c r="LQV225" s="716"/>
      <c r="LQW225" s="716"/>
      <c r="LQX225" s="716"/>
      <c r="LQY225" s="716"/>
      <c r="LQZ225" s="717"/>
      <c r="LRA225" s="715"/>
      <c r="LRB225" s="716"/>
      <c r="LRC225" s="716"/>
      <c r="LRD225" s="716"/>
      <c r="LRE225" s="716"/>
      <c r="LRF225" s="717"/>
      <c r="LRG225" s="715"/>
      <c r="LRH225" s="716"/>
      <c r="LRI225" s="716"/>
      <c r="LRJ225" s="716"/>
      <c r="LRK225" s="716"/>
      <c r="LRL225" s="717"/>
      <c r="LRM225" s="715"/>
      <c r="LRN225" s="716"/>
      <c r="LRO225" s="716"/>
      <c r="LRP225" s="716"/>
      <c r="LRQ225" s="716"/>
      <c r="LRR225" s="717"/>
      <c r="LRS225" s="715"/>
      <c r="LRT225" s="716"/>
      <c r="LRU225" s="716"/>
      <c r="LRV225" s="716"/>
      <c r="LRW225" s="716"/>
      <c r="LRX225" s="717"/>
      <c r="LRY225" s="715"/>
      <c r="LRZ225" s="716"/>
      <c r="LSA225" s="716"/>
      <c r="LSB225" s="716"/>
      <c r="LSC225" s="716"/>
      <c r="LSD225" s="717"/>
      <c r="LSE225" s="715"/>
      <c r="LSF225" s="716"/>
      <c r="LSG225" s="716"/>
      <c r="LSH225" s="716"/>
      <c r="LSI225" s="716"/>
      <c r="LSJ225" s="717"/>
      <c r="LSK225" s="715"/>
      <c r="LSL225" s="716"/>
      <c r="LSM225" s="716"/>
      <c r="LSN225" s="716"/>
      <c r="LSO225" s="716"/>
      <c r="LSP225" s="717"/>
      <c r="LSQ225" s="715"/>
      <c r="LSR225" s="716"/>
      <c r="LSS225" s="716"/>
      <c r="LST225" s="716"/>
      <c r="LSU225" s="716"/>
      <c r="LSV225" s="717"/>
      <c r="LSW225" s="715"/>
      <c r="LSX225" s="716"/>
      <c r="LSY225" s="716"/>
      <c r="LSZ225" s="716"/>
      <c r="LTA225" s="716"/>
      <c r="LTB225" s="717"/>
      <c r="LTC225" s="715"/>
      <c r="LTD225" s="716"/>
      <c r="LTE225" s="716"/>
      <c r="LTF225" s="716"/>
      <c r="LTG225" s="716"/>
      <c r="LTH225" s="717"/>
      <c r="LTI225" s="715"/>
      <c r="LTJ225" s="716"/>
      <c r="LTK225" s="716"/>
      <c r="LTL225" s="716"/>
      <c r="LTM225" s="716"/>
      <c r="LTN225" s="717"/>
      <c r="LTO225" s="715"/>
      <c r="LTP225" s="716"/>
      <c r="LTQ225" s="716"/>
      <c r="LTR225" s="716"/>
      <c r="LTS225" s="716"/>
      <c r="LTT225" s="717"/>
      <c r="LTU225" s="715"/>
      <c r="LTV225" s="716"/>
      <c r="LTW225" s="716"/>
      <c r="LTX225" s="716"/>
      <c r="LTY225" s="716"/>
      <c r="LTZ225" s="717"/>
      <c r="LUA225" s="715"/>
      <c r="LUB225" s="716"/>
      <c r="LUC225" s="716"/>
      <c r="LUD225" s="716"/>
      <c r="LUE225" s="716"/>
      <c r="LUF225" s="717"/>
      <c r="LUG225" s="715"/>
      <c r="LUH225" s="716"/>
      <c r="LUI225" s="716"/>
      <c r="LUJ225" s="716"/>
      <c r="LUK225" s="716"/>
      <c r="LUL225" s="717"/>
      <c r="LUM225" s="715"/>
      <c r="LUN225" s="716"/>
      <c r="LUO225" s="716"/>
      <c r="LUP225" s="716"/>
      <c r="LUQ225" s="716"/>
      <c r="LUR225" s="717"/>
      <c r="LUS225" s="715"/>
      <c r="LUT225" s="716"/>
      <c r="LUU225" s="716"/>
      <c r="LUV225" s="716"/>
      <c r="LUW225" s="716"/>
      <c r="LUX225" s="717"/>
      <c r="LUY225" s="715"/>
      <c r="LUZ225" s="716"/>
      <c r="LVA225" s="716"/>
      <c r="LVB225" s="716"/>
      <c r="LVC225" s="716"/>
      <c r="LVD225" s="717"/>
      <c r="LVE225" s="715"/>
      <c r="LVF225" s="716"/>
      <c r="LVG225" s="716"/>
      <c r="LVH225" s="716"/>
      <c r="LVI225" s="716"/>
      <c r="LVJ225" s="717"/>
      <c r="LVK225" s="715"/>
      <c r="LVL225" s="716"/>
      <c r="LVM225" s="716"/>
      <c r="LVN225" s="716"/>
      <c r="LVO225" s="716"/>
      <c r="LVP225" s="717"/>
      <c r="LVQ225" s="715"/>
      <c r="LVR225" s="716"/>
      <c r="LVS225" s="716"/>
      <c r="LVT225" s="716"/>
      <c r="LVU225" s="716"/>
      <c r="LVV225" s="717"/>
      <c r="LVW225" s="715"/>
      <c r="LVX225" s="716"/>
      <c r="LVY225" s="716"/>
      <c r="LVZ225" s="716"/>
      <c r="LWA225" s="716"/>
      <c r="LWB225" s="717"/>
      <c r="LWC225" s="715"/>
      <c r="LWD225" s="716"/>
      <c r="LWE225" s="716"/>
      <c r="LWF225" s="716"/>
      <c r="LWG225" s="716"/>
      <c r="LWH225" s="717"/>
      <c r="LWI225" s="715"/>
      <c r="LWJ225" s="716"/>
      <c r="LWK225" s="716"/>
      <c r="LWL225" s="716"/>
      <c r="LWM225" s="716"/>
      <c r="LWN225" s="717"/>
      <c r="LWO225" s="715"/>
      <c r="LWP225" s="716"/>
      <c r="LWQ225" s="716"/>
      <c r="LWR225" s="716"/>
      <c r="LWS225" s="716"/>
      <c r="LWT225" s="717"/>
      <c r="LWU225" s="715"/>
      <c r="LWV225" s="716"/>
      <c r="LWW225" s="716"/>
      <c r="LWX225" s="716"/>
      <c r="LWY225" s="716"/>
      <c r="LWZ225" s="717"/>
      <c r="LXA225" s="715"/>
      <c r="LXB225" s="716"/>
      <c r="LXC225" s="716"/>
      <c r="LXD225" s="716"/>
      <c r="LXE225" s="716"/>
      <c r="LXF225" s="717"/>
      <c r="LXG225" s="715"/>
      <c r="LXH225" s="716"/>
      <c r="LXI225" s="716"/>
      <c r="LXJ225" s="716"/>
      <c r="LXK225" s="716"/>
      <c r="LXL225" s="717"/>
      <c r="LXM225" s="715"/>
      <c r="LXN225" s="716"/>
      <c r="LXO225" s="716"/>
      <c r="LXP225" s="716"/>
      <c r="LXQ225" s="716"/>
      <c r="LXR225" s="717"/>
      <c r="LXS225" s="715"/>
      <c r="LXT225" s="716"/>
      <c r="LXU225" s="716"/>
      <c r="LXV225" s="716"/>
      <c r="LXW225" s="716"/>
      <c r="LXX225" s="717"/>
      <c r="LXY225" s="715"/>
      <c r="LXZ225" s="716"/>
      <c r="LYA225" s="716"/>
      <c r="LYB225" s="716"/>
      <c r="LYC225" s="716"/>
      <c r="LYD225" s="717"/>
      <c r="LYE225" s="715"/>
      <c r="LYF225" s="716"/>
      <c r="LYG225" s="716"/>
      <c r="LYH225" s="716"/>
      <c r="LYI225" s="716"/>
      <c r="LYJ225" s="717"/>
      <c r="LYK225" s="715"/>
      <c r="LYL225" s="716"/>
      <c r="LYM225" s="716"/>
      <c r="LYN225" s="716"/>
      <c r="LYO225" s="716"/>
      <c r="LYP225" s="717"/>
      <c r="LYQ225" s="715"/>
      <c r="LYR225" s="716"/>
      <c r="LYS225" s="716"/>
      <c r="LYT225" s="716"/>
      <c r="LYU225" s="716"/>
      <c r="LYV225" s="717"/>
      <c r="LYW225" s="715"/>
      <c r="LYX225" s="716"/>
      <c r="LYY225" s="716"/>
      <c r="LYZ225" s="716"/>
      <c r="LZA225" s="716"/>
      <c r="LZB225" s="717"/>
      <c r="LZC225" s="715"/>
      <c r="LZD225" s="716"/>
      <c r="LZE225" s="716"/>
      <c r="LZF225" s="716"/>
      <c r="LZG225" s="716"/>
      <c r="LZH225" s="717"/>
      <c r="LZI225" s="715"/>
      <c r="LZJ225" s="716"/>
      <c r="LZK225" s="716"/>
      <c r="LZL225" s="716"/>
      <c r="LZM225" s="716"/>
      <c r="LZN225" s="717"/>
      <c r="LZO225" s="715"/>
      <c r="LZP225" s="716"/>
      <c r="LZQ225" s="716"/>
      <c r="LZR225" s="716"/>
      <c r="LZS225" s="716"/>
      <c r="LZT225" s="717"/>
      <c r="LZU225" s="715"/>
      <c r="LZV225" s="716"/>
      <c r="LZW225" s="716"/>
      <c r="LZX225" s="716"/>
      <c r="LZY225" s="716"/>
      <c r="LZZ225" s="717"/>
      <c r="MAA225" s="715"/>
      <c r="MAB225" s="716"/>
      <c r="MAC225" s="716"/>
      <c r="MAD225" s="716"/>
      <c r="MAE225" s="716"/>
      <c r="MAF225" s="717"/>
      <c r="MAG225" s="715"/>
      <c r="MAH225" s="716"/>
      <c r="MAI225" s="716"/>
      <c r="MAJ225" s="716"/>
      <c r="MAK225" s="716"/>
      <c r="MAL225" s="717"/>
      <c r="MAM225" s="715"/>
      <c r="MAN225" s="716"/>
      <c r="MAO225" s="716"/>
      <c r="MAP225" s="716"/>
      <c r="MAQ225" s="716"/>
      <c r="MAR225" s="717"/>
      <c r="MAS225" s="715"/>
      <c r="MAT225" s="716"/>
      <c r="MAU225" s="716"/>
      <c r="MAV225" s="716"/>
      <c r="MAW225" s="716"/>
      <c r="MAX225" s="717"/>
      <c r="MAY225" s="715"/>
      <c r="MAZ225" s="716"/>
      <c r="MBA225" s="716"/>
      <c r="MBB225" s="716"/>
      <c r="MBC225" s="716"/>
      <c r="MBD225" s="717"/>
      <c r="MBE225" s="715"/>
      <c r="MBF225" s="716"/>
      <c r="MBG225" s="716"/>
      <c r="MBH225" s="716"/>
      <c r="MBI225" s="716"/>
      <c r="MBJ225" s="717"/>
      <c r="MBK225" s="715"/>
      <c r="MBL225" s="716"/>
      <c r="MBM225" s="716"/>
      <c r="MBN225" s="716"/>
      <c r="MBO225" s="716"/>
      <c r="MBP225" s="717"/>
      <c r="MBQ225" s="715"/>
      <c r="MBR225" s="716"/>
      <c r="MBS225" s="716"/>
      <c r="MBT225" s="716"/>
      <c r="MBU225" s="716"/>
      <c r="MBV225" s="717"/>
      <c r="MBW225" s="715"/>
      <c r="MBX225" s="716"/>
      <c r="MBY225" s="716"/>
      <c r="MBZ225" s="716"/>
      <c r="MCA225" s="716"/>
      <c r="MCB225" s="717"/>
      <c r="MCC225" s="715"/>
      <c r="MCD225" s="716"/>
      <c r="MCE225" s="716"/>
      <c r="MCF225" s="716"/>
      <c r="MCG225" s="716"/>
      <c r="MCH225" s="717"/>
      <c r="MCI225" s="715"/>
      <c r="MCJ225" s="716"/>
      <c r="MCK225" s="716"/>
      <c r="MCL225" s="716"/>
      <c r="MCM225" s="716"/>
      <c r="MCN225" s="717"/>
      <c r="MCO225" s="715"/>
      <c r="MCP225" s="716"/>
      <c r="MCQ225" s="716"/>
      <c r="MCR225" s="716"/>
      <c r="MCS225" s="716"/>
      <c r="MCT225" s="717"/>
      <c r="MCU225" s="715"/>
      <c r="MCV225" s="716"/>
      <c r="MCW225" s="716"/>
      <c r="MCX225" s="716"/>
      <c r="MCY225" s="716"/>
      <c r="MCZ225" s="717"/>
      <c r="MDA225" s="715"/>
      <c r="MDB225" s="716"/>
      <c r="MDC225" s="716"/>
      <c r="MDD225" s="716"/>
      <c r="MDE225" s="716"/>
      <c r="MDF225" s="717"/>
      <c r="MDG225" s="715"/>
      <c r="MDH225" s="716"/>
      <c r="MDI225" s="716"/>
      <c r="MDJ225" s="716"/>
      <c r="MDK225" s="716"/>
      <c r="MDL225" s="717"/>
      <c r="MDM225" s="715"/>
      <c r="MDN225" s="716"/>
      <c r="MDO225" s="716"/>
      <c r="MDP225" s="716"/>
      <c r="MDQ225" s="716"/>
      <c r="MDR225" s="717"/>
      <c r="MDS225" s="715"/>
      <c r="MDT225" s="716"/>
      <c r="MDU225" s="716"/>
      <c r="MDV225" s="716"/>
      <c r="MDW225" s="716"/>
      <c r="MDX225" s="717"/>
      <c r="MDY225" s="715"/>
      <c r="MDZ225" s="716"/>
      <c r="MEA225" s="716"/>
      <c r="MEB225" s="716"/>
      <c r="MEC225" s="716"/>
      <c r="MED225" s="717"/>
      <c r="MEE225" s="715"/>
      <c r="MEF225" s="716"/>
      <c r="MEG225" s="716"/>
      <c r="MEH225" s="716"/>
      <c r="MEI225" s="716"/>
      <c r="MEJ225" s="717"/>
      <c r="MEK225" s="715"/>
      <c r="MEL225" s="716"/>
      <c r="MEM225" s="716"/>
      <c r="MEN225" s="716"/>
      <c r="MEO225" s="716"/>
      <c r="MEP225" s="717"/>
      <c r="MEQ225" s="715"/>
      <c r="MER225" s="716"/>
      <c r="MES225" s="716"/>
      <c r="MET225" s="716"/>
      <c r="MEU225" s="716"/>
      <c r="MEV225" s="717"/>
      <c r="MEW225" s="715"/>
      <c r="MEX225" s="716"/>
      <c r="MEY225" s="716"/>
      <c r="MEZ225" s="716"/>
      <c r="MFA225" s="716"/>
      <c r="MFB225" s="717"/>
      <c r="MFC225" s="715"/>
      <c r="MFD225" s="716"/>
      <c r="MFE225" s="716"/>
      <c r="MFF225" s="716"/>
      <c r="MFG225" s="716"/>
      <c r="MFH225" s="717"/>
      <c r="MFI225" s="715"/>
      <c r="MFJ225" s="716"/>
      <c r="MFK225" s="716"/>
      <c r="MFL225" s="716"/>
      <c r="MFM225" s="716"/>
      <c r="MFN225" s="717"/>
      <c r="MFO225" s="715"/>
      <c r="MFP225" s="716"/>
      <c r="MFQ225" s="716"/>
      <c r="MFR225" s="716"/>
      <c r="MFS225" s="716"/>
      <c r="MFT225" s="717"/>
      <c r="MFU225" s="715"/>
      <c r="MFV225" s="716"/>
      <c r="MFW225" s="716"/>
      <c r="MFX225" s="716"/>
      <c r="MFY225" s="716"/>
      <c r="MFZ225" s="717"/>
      <c r="MGA225" s="715"/>
      <c r="MGB225" s="716"/>
      <c r="MGC225" s="716"/>
      <c r="MGD225" s="716"/>
      <c r="MGE225" s="716"/>
      <c r="MGF225" s="717"/>
      <c r="MGG225" s="715"/>
      <c r="MGH225" s="716"/>
      <c r="MGI225" s="716"/>
      <c r="MGJ225" s="716"/>
      <c r="MGK225" s="716"/>
      <c r="MGL225" s="717"/>
      <c r="MGM225" s="715"/>
      <c r="MGN225" s="716"/>
      <c r="MGO225" s="716"/>
      <c r="MGP225" s="716"/>
      <c r="MGQ225" s="716"/>
      <c r="MGR225" s="717"/>
      <c r="MGS225" s="715"/>
      <c r="MGT225" s="716"/>
      <c r="MGU225" s="716"/>
      <c r="MGV225" s="716"/>
      <c r="MGW225" s="716"/>
      <c r="MGX225" s="717"/>
      <c r="MGY225" s="715"/>
      <c r="MGZ225" s="716"/>
      <c r="MHA225" s="716"/>
      <c r="MHB225" s="716"/>
      <c r="MHC225" s="716"/>
      <c r="MHD225" s="717"/>
      <c r="MHE225" s="715"/>
      <c r="MHF225" s="716"/>
      <c r="MHG225" s="716"/>
      <c r="MHH225" s="716"/>
      <c r="MHI225" s="716"/>
      <c r="MHJ225" s="717"/>
      <c r="MHK225" s="715"/>
      <c r="MHL225" s="716"/>
      <c r="MHM225" s="716"/>
      <c r="MHN225" s="716"/>
      <c r="MHO225" s="716"/>
      <c r="MHP225" s="717"/>
      <c r="MHQ225" s="715"/>
      <c r="MHR225" s="716"/>
      <c r="MHS225" s="716"/>
      <c r="MHT225" s="716"/>
      <c r="MHU225" s="716"/>
      <c r="MHV225" s="717"/>
      <c r="MHW225" s="715"/>
      <c r="MHX225" s="716"/>
      <c r="MHY225" s="716"/>
      <c r="MHZ225" s="716"/>
      <c r="MIA225" s="716"/>
      <c r="MIB225" s="717"/>
      <c r="MIC225" s="715"/>
      <c r="MID225" s="716"/>
      <c r="MIE225" s="716"/>
      <c r="MIF225" s="716"/>
      <c r="MIG225" s="716"/>
      <c r="MIH225" s="717"/>
      <c r="MII225" s="715"/>
      <c r="MIJ225" s="716"/>
      <c r="MIK225" s="716"/>
      <c r="MIL225" s="716"/>
      <c r="MIM225" s="716"/>
      <c r="MIN225" s="717"/>
      <c r="MIO225" s="715"/>
      <c r="MIP225" s="716"/>
      <c r="MIQ225" s="716"/>
      <c r="MIR225" s="716"/>
      <c r="MIS225" s="716"/>
      <c r="MIT225" s="717"/>
      <c r="MIU225" s="715"/>
      <c r="MIV225" s="716"/>
      <c r="MIW225" s="716"/>
      <c r="MIX225" s="716"/>
      <c r="MIY225" s="716"/>
      <c r="MIZ225" s="717"/>
      <c r="MJA225" s="715"/>
      <c r="MJB225" s="716"/>
      <c r="MJC225" s="716"/>
      <c r="MJD225" s="716"/>
      <c r="MJE225" s="716"/>
      <c r="MJF225" s="717"/>
      <c r="MJG225" s="715"/>
      <c r="MJH225" s="716"/>
      <c r="MJI225" s="716"/>
      <c r="MJJ225" s="716"/>
      <c r="MJK225" s="716"/>
      <c r="MJL225" s="717"/>
      <c r="MJM225" s="715"/>
      <c r="MJN225" s="716"/>
      <c r="MJO225" s="716"/>
      <c r="MJP225" s="716"/>
      <c r="MJQ225" s="716"/>
      <c r="MJR225" s="717"/>
      <c r="MJS225" s="715"/>
      <c r="MJT225" s="716"/>
      <c r="MJU225" s="716"/>
      <c r="MJV225" s="716"/>
      <c r="MJW225" s="716"/>
      <c r="MJX225" s="717"/>
      <c r="MJY225" s="715"/>
      <c r="MJZ225" s="716"/>
      <c r="MKA225" s="716"/>
      <c r="MKB225" s="716"/>
      <c r="MKC225" s="716"/>
      <c r="MKD225" s="717"/>
      <c r="MKE225" s="715"/>
      <c r="MKF225" s="716"/>
      <c r="MKG225" s="716"/>
      <c r="MKH225" s="716"/>
      <c r="MKI225" s="716"/>
      <c r="MKJ225" s="717"/>
      <c r="MKK225" s="715"/>
      <c r="MKL225" s="716"/>
      <c r="MKM225" s="716"/>
      <c r="MKN225" s="716"/>
      <c r="MKO225" s="716"/>
      <c r="MKP225" s="717"/>
      <c r="MKQ225" s="715"/>
      <c r="MKR225" s="716"/>
      <c r="MKS225" s="716"/>
      <c r="MKT225" s="716"/>
      <c r="MKU225" s="716"/>
      <c r="MKV225" s="717"/>
      <c r="MKW225" s="715"/>
      <c r="MKX225" s="716"/>
      <c r="MKY225" s="716"/>
      <c r="MKZ225" s="716"/>
      <c r="MLA225" s="716"/>
      <c r="MLB225" s="717"/>
      <c r="MLC225" s="715"/>
      <c r="MLD225" s="716"/>
      <c r="MLE225" s="716"/>
      <c r="MLF225" s="716"/>
      <c r="MLG225" s="716"/>
      <c r="MLH225" s="717"/>
      <c r="MLI225" s="715"/>
      <c r="MLJ225" s="716"/>
      <c r="MLK225" s="716"/>
      <c r="MLL225" s="716"/>
      <c r="MLM225" s="716"/>
      <c r="MLN225" s="717"/>
      <c r="MLO225" s="715"/>
      <c r="MLP225" s="716"/>
      <c r="MLQ225" s="716"/>
      <c r="MLR225" s="716"/>
      <c r="MLS225" s="716"/>
      <c r="MLT225" s="717"/>
      <c r="MLU225" s="715"/>
      <c r="MLV225" s="716"/>
      <c r="MLW225" s="716"/>
      <c r="MLX225" s="716"/>
      <c r="MLY225" s="716"/>
      <c r="MLZ225" s="717"/>
      <c r="MMA225" s="715"/>
      <c r="MMB225" s="716"/>
      <c r="MMC225" s="716"/>
      <c r="MMD225" s="716"/>
      <c r="MME225" s="716"/>
      <c r="MMF225" s="717"/>
      <c r="MMG225" s="715"/>
      <c r="MMH225" s="716"/>
      <c r="MMI225" s="716"/>
      <c r="MMJ225" s="716"/>
      <c r="MMK225" s="716"/>
      <c r="MML225" s="717"/>
      <c r="MMM225" s="715"/>
      <c r="MMN225" s="716"/>
      <c r="MMO225" s="716"/>
      <c r="MMP225" s="716"/>
      <c r="MMQ225" s="716"/>
      <c r="MMR225" s="717"/>
      <c r="MMS225" s="715"/>
      <c r="MMT225" s="716"/>
      <c r="MMU225" s="716"/>
      <c r="MMV225" s="716"/>
      <c r="MMW225" s="716"/>
      <c r="MMX225" s="717"/>
      <c r="MMY225" s="715"/>
      <c r="MMZ225" s="716"/>
      <c r="MNA225" s="716"/>
      <c r="MNB225" s="716"/>
      <c r="MNC225" s="716"/>
      <c r="MND225" s="717"/>
      <c r="MNE225" s="715"/>
      <c r="MNF225" s="716"/>
      <c r="MNG225" s="716"/>
      <c r="MNH225" s="716"/>
      <c r="MNI225" s="716"/>
      <c r="MNJ225" s="717"/>
      <c r="MNK225" s="715"/>
      <c r="MNL225" s="716"/>
      <c r="MNM225" s="716"/>
      <c r="MNN225" s="716"/>
      <c r="MNO225" s="716"/>
      <c r="MNP225" s="717"/>
      <c r="MNQ225" s="715"/>
      <c r="MNR225" s="716"/>
      <c r="MNS225" s="716"/>
      <c r="MNT225" s="716"/>
      <c r="MNU225" s="716"/>
      <c r="MNV225" s="717"/>
      <c r="MNW225" s="715"/>
      <c r="MNX225" s="716"/>
      <c r="MNY225" s="716"/>
      <c r="MNZ225" s="716"/>
      <c r="MOA225" s="716"/>
      <c r="MOB225" s="717"/>
      <c r="MOC225" s="715"/>
      <c r="MOD225" s="716"/>
      <c r="MOE225" s="716"/>
      <c r="MOF225" s="716"/>
      <c r="MOG225" s="716"/>
      <c r="MOH225" s="717"/>
      <c r="MOI225" s="715"/>
      <c r="MOJ225" s="716"/>
      <c r="MOK225" s="716"/>
      <c r="MOL225" s="716"/>
      <c r="MOM225" s="716"/>
      <c r="MON225" s="717"/>
      <c r="MOO225" s="715"/>
      <c r="MOP225" s="716"/>
      <c r="MOQ225" s="716"/>
      <c r="MOR225" s="716"/>
      <c r="MOS225" s="716"/>
      <c r="MOT225" s="717"/>
      <c r="MOU225" s="715"/>
      <c r="MOV225" s="716"/>
      <c r="MOW225" s="716"/>
      <c r="MOX225" s="716"/>
      <c r="MOY225" s="716"/>
      <c r="MOZ225" s="717"/>
      <c r="MPA225" s="715"/>
      <c r="MPB225" s="716"/>
      <c r="MPC225" s="716"/>
      <c r="MPD225" s="716"/>
      <c r="MPE225" s="716"/>
      <c r="MPF225" s="717"/>
      <c r="MPG225" s="715"/>
      <c r="MPH225" s="716"/>
      <c r="MPI225" s="716"/>
      <c r="MPJ225" s="716"/>
      <c r="MPK225" s="716"/>
      <c r="MPL225" s="717"/>
      <c r="MPM225" s="715"/>
      <c r="MPN225" s="716"/>
      <c r="MPO225" s="716"/>
      <c r="MPP225" s="716"/>
      <c r="MPQ225" s="716"/>
      <c r="MPR225" s="717"/>
      <c r="MPS225" s="715"/>
      <c r="MPT225" s="716"/>
      <c r="MPU225" s="716"/>
      <c r="MPV225" s="716"/>
      <c r="MPW225" s="716"/>
      <c r="MPX225" s="717"/>
      <c r="MPY225" s="715"/>
      <c r="MPZ225" s="716"/>
      <c r="MQA225" s="716"/>
      <c r="MQB225" s="716"/>
      <c r="MQC225" s="716"/>
      <c r="MQD225" s="717"/>
      <c r="MQE225" s="715"/>
      <c r="MQF225" s="716"/>
      <c r="MQG225" s="716"/>
      <c r="MQH225" s="716"/>
      <c r="MQI225" s="716"/>
      <c r="MQJ225" s="717"/>
      <c r="MQK225" s="715"/>
      <c r="MQL225" s="716"/>
      <c r="MQM225" s="716"/>
      <c r="MQN225" s="716"/>
      <c r="MQO225" s="716"/>
      <c r="MQP225" s="717"/>
      <c r="MQQ225" s="715"/>
      <c r="MQR225" s="716"/>
      <c r="MQS225" s="716"/>
      <c r="MQT225" s="716"/>
      <c r="MQU225" s="716"/>
      <c r="MQV225" s="717"/>
      <c r="MQW225" s="715"/>
      <c r="MQX225" s="716"/>
      <c r="MQY225" s="716"/>
      <c r="MQZ225" s="716"/>
      <c r="MRA225" s="716"/>
      <c r="MRB225" s="717"/>
      <c r="MRC225" s="715"/>
      <c r="MRD225" s="716"/>
      <c r="MRE225" s="716"/>
      <c r="MRF225" s="716"/>
      <c r="MRG225" s="716"/>
      <c r="MRH225" s="717"/>
      <c r="MRI225" s="715"/>
      <c r="MRJ225" s="716"/>
      <c r="MRK225" s="716"/>
      <c r="MRL225" s="716"/>
      <c r="MRM225" s="716"/>
      <c r="MRN225" s="717"/>
      <c r="MRO225" s="715"/>
      <c r="MRP225" s="716"/>
      <c r="MRQ225" s="716"/>
      <c r="MRR225" s="716"/>
      <c r="MRS225" s="716"/>
      <c r="MRT225" s="717"/>
      <c r="MRU225" s="715"/>
      <c r="MRV225" s="716"/>
      <c r="MRW225" s="716"/>
      <c r="MRX225" s="716"/>
      <c r="MRY225" s="716"/>
      <c r="MRZ225" s="717"/>
      <c r="MSA225" s="715"/>
      <c r="MSB225" s="716"/>
      <c r="MSC225" s="716"/>
      <c r="MSD225" s="716"/>
      <c r="MSE225" s="716"/>
      <c r="MSF225" s="717"/>
      <c r="MSG225" s="715"/>
      <c r="MSH225" s="716"/>
      <c r="MSI225" s="716"/>
      <c r="MSJ225" s="716"/>
      <c r="MSK225" s="716"/>
      <c r="MSL225" s="717"/>
      <c r="MSM225" s="715"/>
      <c r="MSN225" s="716"/>
      <c r="MSO225" s="716"/>
      <c r="MSP225" s="716"/>
      <c r="MSQ225" s="716"/>
      <c r="MSR225" s="717"/>
      <c r="MSS225" s="715"/>
      <c r="MST225" s="716"/>
      <c r="MSU225" s="716"/>
      <c r="MSV225" s="716"/>
      <c r="MSW225" s="716"/>
      <c r="MSX225" s="717"/>
      <c r="MSY225" s="715"/>
      <c r="MSZ225" s="716"/>
      <c r="MTA225" s="716"/>
      <c r="MTB225" s="716"/>
      <c r="MTC225" s="716"/>
      <c r="MTD225" s="717"/>
      <c r="MTE225" s="715"/>
      <c r="MTF225" s="716"/>
      <c r="MTG225" s="716"/>
      <c r="MTH225" s="716"/>
      <c r="MTI225" s="716"/>
      <c r="MTJ225" s="717"/>
      <c r="MTK225" s="715"/>
      <c r="MTL225" s="716"/>
      <c r="MTM225" s="716"/>
      <c r="MTN225" s="716"/>
      <c r="MTO225" s="716"/>
      <c r="MTP225" s="717"/>
      <c r="MTQ225" s="715"/>
      <c r="MTR225" s="716"/>
      <c r="MTS225" s="716"/>
      <c r="MTT225" s="716"/>
      <c r="MTU225" s="716"/>
      <c r="MTV225" s="717"/>
      <c r="MTW225" s="715"/>
      <c r="MTX225" s="716"/>
      <c r="MTY225" s="716"/>
      <c r="MTZ225" s="716"/>
      <c r="MUA225" s="716"/>
      <c r="MUB225" s="717"/>
      <c r="MUC225" s="715"/>
      <c r="MUD225" s="716"/>
      <c r="MUE225" s="716"/>
      <c r="MUF225" s="716"/>
      <c r="MUG225" s="716"/>
      <c r="MUH225" s="717"/>
      <c r="MUI225" s="715"/>
      <c r="MUJ225" s="716"/>
      <c r="MUK225" s="716"/>
      <c r="MUL225" s="716"/>
      <c r="MUM225" s="716"/>
      <c r="MUN225" s="717"/>
      <c r="MUO225" s="715"/>
      <c r="MUP225" s="716"/>
      <c r="MUQ225" s="716"/>
      <c r="MUR225" s="716"/>
      <c r="MUS225" s="716"/>
      <c r="MUT225" s="717"/>
      <c r="MUU225" s="715"/>
      <c r="MUV225" s="716"/>
      <c r="MUW225" s="716"/>
      <c r="MUX225" s="716"/>
      <c r="MUY225" s="716"/>
      <c r="MUZ225" s="717"/>
      <c r="MVA225" s="715"/>
      <c r="MVB225" s="716"/>
      <c r="MVC225" s="716"/>
      <c r="MVD225" s="716"/>
      <c r="MVE225" s="716"/>
      <c r="MVF225" s="717"/>
      <c r="MVG225" s="715"/>
      <c r="MVH225" s="716"/>
      <c r="MVI225" s="716"/>
      <c r="MVJ225" s="716"/>
      <c r="MVK225" s="716"/>
      <c r="MVL225" s="717"/>
      <c r="MVM225" s="715"/>
      <c r="MVN225" s="716"/>
      <c r="MVO225" s="716"/>
      <c r="MVP225" s="716"/>
      <c r="MVQ225" s="716"/>
      <c r="MVR225" s="717"/>
      <c r="MVS225" s="715"/>
      <c r="MVT225" s="716"/>
      <c r="MVU225" s="716"/>
      <c r="MVV225" s="716"/>
      <c r="MVW225" s="716"/>
      <c r="MVX225" s="717"/>
      <c r="MVY225" s="715"/>
      <c r="MVZ225" s="716"/>
      <c r="MWA225" s="716"/>
      <c r="MWB225" s="716"/>
      <c r="MWC225" s="716"/>
      <c r="MWD225" s="717"/>
      <c r="MWE225" s="715"/>
      <c r="MWF225" s="716"/>
      <c r="MWG225" s="716"/>
      <c r="MWH225" s="716"/>
      <c r="MWI225" s="716"/>
      <c r="MWJ225" s="717"/>
      <c r="MWK225" s="715"/>
      <c r="MWL225" s="716"/>
      <c r="MWM225" s="716"/>
      <c r="MWN225" s="716"/>
      <c r="MWO225" s="716"/>
      <c r="MWP225" s="717"/>
      <c r="MWQ225" s="715"/>
      <c r="MWR225" s="716"/>
      <c r="MWS225" s="716"/>
      <c r="MWT225" s="716"/>
      <c r="MWU225" s="716"/>
      <c r="MWV225" s="717"/>
      <c r="MWW225" s="715"/>
      <c r="MWX225" s="716"/>
      <c r="MWY225" s="716"/>
      <c r="MWZ225" s="716"/>
      <c r="MXA225" s="716"/>
      <c r="MXB225" s="717"/>
      <c r="MXC225" s="715"/>
      <c r="MXD225" s="716"/>
      <c r="MXE225" s="716"/>
      <c r="MXF225" s="716"/>
      <c r="MXG225" s="716"/>
      <c r="MXH225" s="717"/>
      <c r="MXI225" s="715"/>
      <c r="MXJ225" s="716"/>
      <c r="MXK225" s="716"/>
      <c r="MXL225" s="716"/>
      <c r="MXM225" s="716"/>
      <c r="MXN225" s="717"/>
      <c r="MXO225" s="715"/>
      <c r="MXP225" s="716"/>
      <c r="MXQ225" s="716"/>
      <c r="MXR225" s="716"/>
      <c r="MXS225" s="716"/>
      <c r="MXT225" s="717"/>
      <c r="MXU225" s="715"/>
      <c r="MXV225" s="716"/>
      <c r="MXW225" s="716"/>
      <c r="MXX225" s="716"/>
      <c r="MXY225" s="716"/>
      <c r="MXZ225" s="717"/>
      <c r="MYA225" s="715"/>
      <c r="MYB225" s="716"/>
      <c r="MYC225" s="716"/>
      <c r="MYD225" s="716"/>
      <c r="MYE225" s="716"/>
      <c r="MYF225" s="717"/>
      <c r="MYG225" s="715"/>
      <c r="MYH225" s="716"/>
      <c r="MYI225" s="716"/>
      <c r="MYJ225" s="716"/>
      <c r="MYK225" s="716"/>
      <c r="MYL225" s="717"/>
      <c r="MYM225" s="715"/>
      <c r="MYN225" s="716"/>
      <c r="MYO225" s="716"/>
      <c r="MYP225" s="716"/>
      <c r="MYQ225" s="716"/>
      <c r="MYR225" s="717"/>
      <c r="MYS225" s="715"/>
      <c r="MYT225" s="716"/>
      <c r="MYU225" s="716"/>
      <c r="MYV225" s="716"/>
      <c r="MYW225" s="716"/>
      <c r="MYX225" s="717"/>
      <c r="MYY225" s="715"/>
      <c r="MYZ225" s="716"/>
      <c r="MZA225" s="716"/>
      <c r="MZB225" s="716"/>
      <c r="MZC225" s="716"/>
      <c r="MZD225" s="717"/>
      <c r="MZE225" s="715"/>
      <c r="MZF225" s="716"/>
      <c r="MZG225" s="716"/>
      <c r="MZH225" s="716"/>
      <c r="MZI225" s="716"/>
      <c r="MZJ225" s="717"/>
      <c r="MZK225" s="715"/>
      <c r="MZL225" s="716"/>
      <c r="MZM225" s="716"/>
      <c r="MZN225" s="716"/>
      <c r="MZO225" s="716"/>
      <c r="MZP225" s="717"/>
      <c r="MZQ225" s="715"/>
      <c r="MZR225" s="716"/>
      <c r="MZS225" s="716"/>
      <c r="MZT225" s="716"/>
      <c r="MZU225" s="716"/>
      <c r="MZV225" s="717"/>
      <c r="MZW225" s="715"/>
      <c r="MZX225" s="716"/>
      <c r="MZY225" s="716"/>
      <c r="MZZ225" s="716"/>
      <c r="NAA225" s="716"/>
      <c r="NAB225" s="717"/>
      <c r="NAC225" s="715"/>
      <c r="NAD225" s="716"/>
      <c r="NAE225" s="716"/>
      <c r="NAF225" s="716"/>
      <c r="NAG225" s="716"/>
      <c r="NAH225" s="717"/>
      <c r="NAI225" s="715"/>
      <c r="NAJ225" s="716"/>
      <c r="NAK225" s="716"/>
      <c r="NAL225" s="716"/>
      <c r="NAM225" s="716"/>
      <c r="NAN225" s="717"/>
      <c r="NAO225" s="715"/>
      <c r="NAP225" s="716"/>
      <c r="NAQ225" s="716"/>
      <c r="NAR225" s="716"/>
      <c r="NAS225" s="716"/>
      <c r="NAT225" s="717"/>
      <c r="NAU225" s="715"/>
      <c r="NAV225" s="716"/>
      <c r="NAW225" s="716"/>
      <c r="NAX225" s="716"/>
      <c r="NAY225" s="716"/>
      <c r="NAZ225" s="717"/>
      <c r="NBA225" s="715"/>
      <c r="NBB225" s="716"/>
      <c r="NBC225" s="716"/>
      <c r="NBD225" s="716"/>
      <c r="NBE225" s="716"/>
      <c r="NBF225" s="717"/>
      <c r="NBG225" s="715"/>
      <c r="NBH225" s="716"/>
      <c r="NBI225" s="716"/>
      <c r="NBJ225" s="716"/>
      <c r="NBK225" s="716"/>
      <c r="NBL225" s="717"/>
      <c r="NBM225" s="715"/>
      <c r="NBN225" s="716"/>
      <c r="NBO225" s="716"/>
      <c r="NBP225" s="716"/>
      <c r="NBQ225" s="716"/>
      <c r="NBR225" s="717"/>
      <c r="NBS225" s="715"/>
      <c r="NBT225" s="716"/>
      <c r="NBU225" s="716"/>
      <c r="NBV225" s="716"/>
      <c r="NBW225" s="716"/>
      <c r="NBX225" s="717"/>
      <c r="NBY225" s="715"/>
      <c r="NBZ225" s="716"/>
      <c r="NCA225" s="716"/>
      <c r="NCB225" s="716"/>
      <c r="NCC225" s="716"/>
      <c r="NCD225" s="717"/>
      <c r="NCE225" s="715"/>
      <c r="NCF225" s="716"/>
      <c r="NCG225" s="716"/>
      <c r="NCH225" s="716"/>
      <c r="NCI225" s="716"/>
      <c r="NCJ225" s="717"/>
      <c r="NCK225" s="715"/>
      <c r="NCL225" s="716"/>
      <c r="NCM225" s="716"/>
      <c r="NCN225" s="716"/>
      <c r="NCO225" s="716"/>
      <c r="NCP225" s="717"/>
      <c r="NCQ225" s="715"/>
      <c r="NCR225" s="716"/>
      <c r="NCS225" s="716"/>
      <c r="NCT225" s="716"/>
      <c r="NCU225" s="716"/>
      <c r="NCV225" s="717"/>
      <c r="NCW225" s="715"/>
      <c r="NCX225" s="716"/>
      <c r="NCY225" s="716"/>
      <c r="NCZ225" s="716"/>
      <c r="NDA225" s="716"/>
      <c r="NDB225" s="717"/>
      <c r="NDC225" s="715"/>
      <c r="NDD225" s="716"/>
      <c r="NDE225" s="716"/>
      <c r="NDF225" s="716"/>
      <c r="NDG225" s="716"/>
      <c r="NDH225" s="717"/>
      <c r="NDI225" s="715"/>
      <c r="NDJ225" s="716"/>
      <c r="NDK225" s="716"/>
      <c r="NDL225" s="716"/>
      <c r="NDM225" s="716"/>
      <c r="NDN225" s="717"/>
      <c r="NDO225" s="715"/>
      <c r="NDP225" s="716"/>
      <c r="NDQ225" s="716"/>
      <c r="NDR225" s="716"/>
      <c r="NDS225" s="716"/>
      <c r="NDT225" s="717"/>
      <c r="NDU225" s="715"/>
      <c r="NDV225" s="716"/>
      <c r="NDW225" s="716"/>
      <c r="NDX225" s="716"/>
      <c r="NDY225" s="716"/>
      <c r="NDZ225" s="717"/>
      <c r="NEA225" s="715"/>
      <c r="NEB225" s="716"/>
      <c r="NEC225" s="716"/>
      <c r="NED225" s="716"/>
      <c r="NEE225" s="716"/>
      <c r="NEF225" s="717"/>
      <c r="NEG225" s="715"/>
      <c r="NEH225" s="716"/>
      <c r="NEI225" s="716"/>
      <c r="NEJ225" s="716"/>
      <c r="NEK225" s="716"/>
      <c r="NEL225" s="717"/>
      <c r="NEM225" s="715"/>
      <c r="NEN225" s="716"/>
      <c r="NEO225" s="716"/>
      <c r="NEP225" s="716"/>
      <c r="NEQ225" s="716"/>
      <c r="NER225" s="717"/>
      <c r="NES225" s="715"/>
      <c r="NET225" s="716"/>
      <c r="NEU225" s="716"/>
      <c r="NEV225" s="716"/>
      <c r="NEW225" s="716"/>
      <c r="NEX225" s="717"/>
      <c r="NEY225" s="715"/>
      <c r="NEZ225" s="716"/>
      <c r="NFA225" s="716"/>
      <c r="NFB225" s="716"/>
      <c r="NFC225" s="716"/>
      <c r="NFD225" s="717"/>
      <c r="NFE225" s="715"/>
      <c r="NFF225" s="716"/>
      <c r="NFG225" s="716"/>
      <c r="NFH225" s="716"/>
      <c r="NFI225" s="716"/>
      <c r="NFJ225" s="717"/>
      <c r="NFK225" s="715"/>
      <c r="NFL225" s="716"/>
      <c r="NFM225" s="716"/>
      <c r="NFN225" s="716"/>
      <c r="NFO225" s="716"/>
      <c r="NFP225" s="717"/>
      <c r="NFQ225" s="715"/>
      <c r="NFR225" s="716"/>
      <c r="NFS225" s="716"/>
      <c r="NFT225" s="716"/>
      <c r="NFU225" s="716"/>
      <c r="NFV225" s="717"/>
      <c r="NFW225" s="715"/>
      <c r="NFX225" s="716"/>
      <c r="NFY225" s="716"/>
      <c r="NFZ225" s="716"/>
      <c r="NGA225" s="716"/>
      <c r="NGB225" s="717"/>
      <c r="NGC225" s="715"/>
      <c r="NGD225" s="716"/>
      <c r="NGE225" s="716"/>
      <c r="NGF225" s="716"/>
      <c r="NGG225" s="716"/>
      <c r="NGH225" s="717"/>
      <c r="NGI225" s="715"/>
      <c r="NGJ225" s="716"/>
      <c r="NGK225" s="716"/>
      <c r="NGL225" s="716"/>
      <c r="NGM225" s="716"/>
      <c r="NGN225" s="717"/>
      <c r="NGO225" s="715"/>
      <c r="NGP225" s="716"/>
      <c r="NGQ225" s="716"/>
      <c r="NGR225" s="716"/>
      <c r="NGS225" s="716"/>
      <c r="NGT225" s="717"/>
      <c r="NGU225" s="715"/>
      <c r="NGV225" s="716"/>
      <c r="NGW225" s="716"/>
      <c r="NGX225" s="716"/>
      <c r="NGY225" s="716"/>
      <c r="NGZ225" s="717"/>
      <c r="NHA225" s="715"/>
      <c r="NHB225" s="716"/>
      <c r="NHC225" s="716"/>
      <c r="NHD225" s="716"/>
      <c r="NHE225" s="716"/>
      <c r="NHF225" s="717"/>
      <c r="NHG225" s="715"/>
      <c r="NHH225" s="716"/>
      <c r="NHI225" s="716"/>
      <c r="NHJ225" s="716"/>
      <c r="NHK225" s="716"/>
      <c r="NHL225" s="717"/>
      <c r="NHM225" s="715"/>
      <c r="NHN225" s="716"/>
      <c r="NHO225" s="716"/>
      <c r="NHP225" s="716"/>
      <c r="NHQ225" s="716"/>
      <c r="NHR225" s="717"/>
      <c r="NHS225" s="715"/>
      <c r="NHT225" s="716"/>
      <c r="NHU225" s="716"/>
      <c r="NHV225" s="716"/>
      <c r="NHW225" s="716"/>
      <c r="NHX225" s="717"/>
      <c r="NHY225" s="715"/>
      <c r="NHZ225" s="716"/>
      <c r="NIA225" s="716"/>
      <c r="NIB225" s="716"/>
      <c r="NIC225" s="716"/>
      <c r="NID225" s="717"/>
      <c r="NIE225" s="715"/>
      <c r="NIF225" s="716"/>
      <c r="NIG225" s="716"/>
      <c r="NIH225" s="716"/>
      <c r="NII225" s="716"/>
      <c r="NIJ225" s="717"/>
      <c r="NIK225" s="715"/>
      <c r="NIL225" s="716"/>
      <c r="NIM225" s="716"/>
      <c r="NIN225" s="716"/>
      <c r="NIO225" s="716"/>
      <c r="NIP225" s="717"/>
      <c r="NIQ225" s="715"/>
      <c r="NIR225" s="716"/>
      <c r="NIS225" s="716"/>
      <c r="NIT225" s="716"/>
      <c r="NIU225" s="716"/>
      <c r="NIV225" s="717"/>
      <c r="NIW225" s="715"/>
      <c r="NIX225" s="716"/>
      <c r="NIY225" s="716"/>
      <c r="NIZ225" s="716"/>
      <c r="NJA225" s="716"/>
      <c r="NJB225" s="717"/>
      <c r="NJC225" s="715"/>
      <c r="NJD225" s="716"/>
      <c r="NJE225" s="716"/>
      <c r="NJF225" s="716"/>
      <c r="NJG225" s="716"/>
      <c r="NJH225" s="717"/>
      <c r="NJI225" s="715"/>
      <c r="NJJ225" s="716"/>
      <c r="NJK225" s="716"/>
      <c r="NJL225" s="716"/>
      <c r="NJM225" s="716"/>
      <c r="NJN225" s="717"/>
      <c r="NJO225" s="715"/>
      <c r="NJP225" s="716"/>
      <c r="NJQ225" s="716"/>
      <c r="NJR225" s="716"/>
      <c r="NJS225" s="716"/>
      <c r="NJT225" s="717"/>
      <c r="NJU225" s="715"/>
      <c r="NJV225" s="716"/>
      <c r="NJW225" s="716"/>
      <c r="NJX225" s="716"/>
      <c r="NJY225" s="716"/>
      <c r="NJZ225" s="717"/>
      <c r="NKA225" s="715"/>
      <c r="NKB225" s="716"/>
      <c r="NKC225" s="716"/>
      <c r="NKD225" s="716"/>
      <c r="NKE225" s="716"/>
      <c r="NKF225" s="717"/>
      <c r="NKG225" s="715"/>
      <c r="NKH225" s="716"/>
      <c r="NKI225" s="716"/>
      <c r="NKJ225" s="716"/>
      <c r="NKK225" s="716"/>
      <c r="NKL225" s="717"/>
      <c r="NKM225" s="715"/>
      <c r="NKN225" s="716"/>
      <c r="NKO225" s="716"/>
      <c r="NKP225" s="716"/>
      <c r="NKQ225" s="716"/>
      <c r="NKR225" s="717"/>
      <c r="NKS225" s="715"/>
      <c r="NKT225" s="716"/>
      <c r="NKU225" s="716"/>
      <c r="NKV225" s="716"/>
      <c r="NKW225" s="716"/>
      <c r="NKX225" s="717"/>
      <c r="NKY225" s="715"/>
      <c r="NKZ225" s="716"/>
      <c r="NLA225" s="716"/>
      <c r="NLB225" s="716"/>
      <c r="NLC225" s="716"/>
      <c r="NLD225" s="717"/>
      <c r="NLE225" s="715"/>
      <c r="NLF225" s="716"/>
      <c r="NLG225" s="716"/>
      <c r="NLH225" s="716"/>
      <c r="NLI225" s="716"/>
      <c r="NLJ225" s="717"/>
      <c r="NLK225" s="715"/>
      <c r="NLL225" s="716"/>
      <c r="NLM225" s="716"/>
      <c r="NLN225" s="716"/>
      <c r="NLO225" s="716"/>
      <c r="NLP225" s="717"/>
      <c r="NLQ225" s="715"/>
      <c r="NLR225" s="716"/>
      <c r="NLS225" s="716"/>
      <c r="NLT225" s="716"/>
      <c r="NLU225" s="716"/>
      <c r="NLV225" s="717"/>
      <c r="NLW225" s="715"/>
      <c r="NLX225" s="716"/>
      <c r="NLY225" s="716"/>
      <c r="NLZ225" s="716"/>
      <c r="NMA225" s="716"/>
      <c r="NMB225" s="717"/>
      <c r="NMC225" s="715"/>
      <c r="NMD225" s="716"/>
      <c r="NME225" s="716"/>
      <c r="NMF225" s="716"/>
      <c r="NMG225" s="716"/>
      <c r="NMH225" s="717"/>
      <c r="NMI225" s="715"/>
      <c r="NMJ225" s="716"/>
      <c r="NMK225" s="716"/>
      <c r="NML225" s="716"/>
      <c r="NMM225" s="716"/>
      <c r="NMN225" s="717"/>
      <c r="NMO225" s="715"/>
      <c r="NMP225" s="716"/>
      <c r="NMQ225" s="716"/>
      <c r="NMR225" s="716"/>
      <c r="NMS225" s="716"/>
      <c r="NMT225" s="717"/>
      <c r="NMU225" s="715"/>
      <c r="NMV225" s="716"/>
      <c r="NMW225" s="716"/>
      <c r="NMX225" s="716"/>
      <c r="NMY225" s="716"/>
      <c r="NMZ225" s="717"/>
      <c r="NNA225" s="715"/>
      <c r="NNB225" s="716"/>
      <c r="NNC225" s="716"/>
      <c r="NND225" s="716"/>
      <c r="NNE225" s="716"/>
      <c r="NNF225" s="717"/>
      <c r="NNG225" s="715"/>
      <c r="NNH225" s="716"/>
      <c r="NNI225" s="716"/>
      <c r="NNJ225" s="716"/>
      <c r="NNK225" s="716"/>
      <c r="NNL225" s="717"/>
      <c r="NNM225" s="715"/>
      <c r="NNN225" s="716"/>
      <c r="NNO225" s="716"/>
      <c r="NNP225" s="716"/>
      <c r="NNQ225" s="716"/>
      <c r="NNR225" s="717"/>
      <c r="NNS225" s="715"/>
      <c r="NNT225" s="716"/>
      <c r="NNU225" s="716"/>
      <c r="NNV225" s="716"/>
      <c r="NNW225" s="716"/>
      <c r="NNX225" s="717"/>
      <c r="NNY225" s="715"/>
      <c r="NNZ225" s="716"/>
      <c r="NOA225" s="716"/>
      <c r="NOB225" s="716"/>
      <c r="NOC225" s="716"/>
      <c r="NOD225" s="717"/>
      <c r="NOE225" s="715"/>
      <c r="NOF225" s="716"/>
      <c r="NOG225" s="716"/>
      <c r="NOH225" s="716"/>
      <c r="NOI225" s="716"/>
      <c r="NOJ225" s="717"/>
      <c r="NOK225" s="715"/>
      <c r="NOL225" s="716"/>
      <c r="NOM225" s="716"/>
      <c r="NON225" s="716"/>
      <c r="NOO225" s="716"/>
      <c r="NOP225" s="717"/>
      <c r="NOQ225" s="715"/>
      <c r="NOR225" s="716"/>
      <c r="NOS225" s="716"/>
      <c r="NOT225" s="716"/>
      <c r="NOU225" s="716"/>
      <c r="NOV225" s="717"/>
      <c r="NOW225" s="715"/>
      <c r="NOX225" s="716"/>
      <c r="NOY225" s="716"/>
      <c r="NOZ225" s="716"/>
      <c r="NPA225" s="716"/>
      <c r="NPB225" s="717"/>
      <c r="NPC225" s="715"/>
      <c r="NPD225" s="716"/>
      <c r="NPE225" s="716"/>
      <c r="NPF225" s="716"/>
      <c r="NPG225" s="716"/>
      <c r="NPH225" s="717"/>
      <c r="NPI225" s="715"/>
      <c r="NPJ225" s="716"/>
      <c r="NPK225" s="716"/>
      <c r="NPL225" s="716"/>
      <c r="NPM225" s="716"/>
      <c r="NPN225" s="717"/>
      <c r="NPO225" s="715"/>
      <c r="NPP225" s="716"/>
      <c r="NPQ225" s="716"/>
      <c r="NPR225" s="716"/>
      <c r="NPS225" s="716"/>
      <c r="NPT225" s="717"/>
      <c r="NPU225" s="715"/>
      <c r="NPV225" s="716"/>
      <c r="NPW225" s="716"/>
      <c r="NPX225" s="716"/>
      <c r="NPY225" s="716"/>
      <c r="NPZ225" s="717"/>
      <c r="NQA225" s="715"/>
      <c r="NQB225" s="716"/>
      <c r="NQC225" s="716"/>
      <c r="NQD225" s="716"/>
      <c r="NQE225" s="716"/>
      <c r="NQF225" s="717"/>
      <c r="NQG225" s="715"/>
      <c r="NQH225" s="716"/>
      <c r="NQI225" s="716"/>
      <c r="NQJ225" s="716"/>
      <c r="NQK225" s="716"/>
      <c r="NQL225" s="717"/>
      <c r="NQM225" s="715"/>
      <c r="NQN225" s="716"/>
      <c r="NQO225" s="716"/>
      <c r="NQP225" s="716"/>
      <c r="NQQ225" s="716"/>
      <c r="NQR225" s="717"/>
      <c r="NQS225" s="715"/>
      <c r="NQT225" s="716"/>
      <c r="NQU225" s="716"/>
      <c r="NQV225" s="716"/>
      <c r="NQW225" s="716"/>
      <c r="NQX225" s="717"/>
      <c r="NQY225" s="715"/>
      <c r="NQZ225" s="716"/>
      <c r="NRA225" s="716"/>
      <c r="NRB225" s="716"/>
      <c r="NRC225" s="716"/>
      <c r="NRD225" s="717"/>
      <c r="NRE225" s="715"/>
      <c r="NRF225" s="716"/>
      <c r="NRG225" s="716"/>
      <c r="NRH225" s="716"/>
      <c r="NRI225" s="716"/>
      <c r="NRJ225" s="717"/>
      <c r="NRK225" s="715"/>
      <c r="NRL225" s="716"/>
      <c r="NRM225" s="716"/>
      <c r="NRN225" s="716"/>
      <c r="NRO225" s="716"/>
      <c r="NRP225" s="717"/>
      <c r="NRQ225" s="715"/>
      <c r="NRR225" s="716"/>
      <c r="NRS225" s="716"/>
      <c r="NRT225" s="716"/>
      <c r="NRU225" s="716"/>
      <c r="NRV225" s="717"/>
      <c r="NRW225" s="715"/>
      <c r="NRX225" s="716"/>
      <c r="NRY225" s="716"/>
      <c r="NRZ225" s="716"/>
      <c r="NSA225" s="716"/>
      <c r="NSB225" s="717"/>
      <c r="NSC225" s="715"/>
      <c r="NSD225" s="716"/>
      <c r="NSE225" s="716"/>
      <c r="NSF225" s="716"/>
      <c r="NSG225" s="716"/>
      <c r="NSH225" s="717"/>
      <c r="NSI225" s="715"/>
      <c r="NSJ225" s="716"/>
      <c r="NSK225" s="716"/>
      <c r="NSL225" s="716"/>
      <c r="NSM225" s="716"/>
      <c r="NSN225" s="717"/>
      <c r="NSO225" s="715"/>
      <c r="NSP225" s="716"/>
      <c r="NSQ225" s="716"/>
      <c r="NSR225" s="716"/>
      <c r="NSS225" s="716"/>
      <c r="NST225" s="717"/>
      <c r="NSU225" s="715"/>
      <c r="NSV225" s="716"/>
      <c r="NSW225" s="716"/>
      <c r="NSX225" s="716"/>
      <c r="NSY225" s="716"/>
      <c r="NSZ225" s="717"/>
      <c r="NTA225" s="715"/>
      <c r="NTB225" s="716"/>
      <c r="NTC225" s="716"/>
      <c r="NTD225" s="716"/>
      <c r="NTE225" s="716"/>
      <c r="NTF225" s="717"/>
      <c r="NTG225" s="715"/>
      <c r="NTH225" s="716"/>
      <c r="NTI225" s="716"/>
      <c r="NTJ225" s="716"/>
      <c r="NTK225" s="716"/>
      <c r="NTL225" s="717"/>
      <c r="NTM225" s="715"/>
      <c r="NTN225" s="716"/>
      <c r="NTO225" s="716"/>
      <c r="NTP225" s="716"/>
      <c r="NTQ225" s="716"/>
      <c r="NTR225" s="717"/>
      <c r="NTS225" s="715"/>
      <c r="NTT225" s="716"/>
      <c r="NTU225" s="716"/>
      <c r="NTV225" s="716"/>
      <c r="NTW225" s="716"/>
      <c r="NTX225" s="717"/>
      <c r="NTY225" s="715"/>
      <c r="NTZ225" s="716"/>
      <c r="NUA225" s="716"/>
      <c r="NUB225" s="716"/>
      <c r="NUC225" s="716"/>
      <c r="NUD225" s="717"/>
      <c r="NUE225" s="715"/>
      <c r="NUF225" s="716"/>
      <c r="NUG225" s="716"/>
      <c r="NUH225" s="716"/>
      <c r="NUI225" s="716"/>
      <c r="NUJ225" s="717"/>
      <c r="NUK225" s="715"/>
      <c r="NUL225" s="716"/>
      <c r="NUM225" s="716"/>
      <c r="NUN225" s="716"/>
      <c r="NUO225" s="716"/>
      <c r="NUP225" s="717"/>
      <c r="NUQ225" s="715"/>
      <c r="NUR225" s="716"/>
      <c r="NUS225" s="716"/>
      <c r="NUT225" s="716"/>
      <c r="NUU225" s="716"/>
      <c r="NUV225" s="717"/>
      <c r="NUW225" s="715"/>
      <c r="NUX225" s="716"/>
      <c r="NUY225" s="716"/>
      <c r="NUZ225" s="716"/>
      <c r="NVA225" s="716"/>
      <c r="NVB225" s="717"/>
      <c r="NVC225" s="715"/>
      <c r="NVD225" s="716"/>
      <c r="NVE225" s="716"/>
      <c r="NVF225" s="716"/>
      <c r="NVG225" s="716"/>
      <c r="NVH225" s="717"/>
      <c r="NVI225" s="715"/>
      <c r="NVJ225" s="716"/>
      <c r="NVK225" s="716"/>
      <c r="NVL225" s="716"/>
      <c r="NVM225" s="716"/>
      <c r="NVN225" s="717"/>
      <c r="NVO225" s="715"/>
      <c r="NVP225" s="716"/>
      <c r="NVQ225" s="716"/>
      <c r="NVR225" s="716"/>
      <c r="NVS225" s="716"/>
      <c r="NVT225" s="717"/>
      <c r="NVU225" s="715"/>
      <c r="NVV225" s="716"/>
      <c r="NVW225" s="716"/>
      <c r="NVX225" s="716"/>
      <c r="NVY225" s="716"/>
      <c r="NVZ225" s="717"/>
      <c r="NWA225" s="715"/>
      <c r="NWB225" s="716"/>
      <c r="NWC225" s="716"/>
      <c r="NWD225" s="716"/>
      <c r="NWE225" s="716"/>
      <c r="NWF225" s="717"/>
      <c r="NWG225" s="715"/>
      <c r="NWH225" s="716"/>
      <c r="NWI225" s="716"/>
      <c r="NWJ225" s="716"/>
      <c r="NWK225" s="716"/>
      <c r="NWL225" s="717"/>
      <c r="NWM225" s="715"/>
      <c r="NWN225" s="716"/>
      <c r="NWO225" s="716"/>
      <c r="NWP225" s="716"/>
      <c r="NWQ225" s="716"/>
      <c r="NWR225" s="717"/>
      <c r="NWS225" s="715"/>
      <c r="NWT225" s="716"/>
      <c r="NWU225" s="716"/>
      <c r="NWV225" s="716"/>
      <c r="NWW225" s="716"/>
      <c r="NWX225" s="717"/>
      <c r="NWY225" s="715"/>
      <c r="NWZ225" s="716"/>
      <c r="NXA225" s="716"/>
      <c r="NXB225" s="716"/>
      <c r="NXC225" s="716"/>
      <c r="NXD225" s="717"/>
      <c r="NXE225" s="715"/>
      <c r="NXF225" s="716"/>
      <c r="NXG225" s="716"/>
      <c r="NXH225" s="716"/>
      <c r="NXI225" s="716"/>
      <c r="NXJ225" s="717"/>
      <c r="NXK225" s="715"/>
      <c r="NXL225" s="716"/>
      <c r="NXM225" s="716"/>
      <c r="NXN225" s="716"/>
      <c r="NXO225" s="716"/>
      <c r="NXP225" s="717"/>
      <c r="NXQ225" s="715"/>
      <c r="NXR225" s="716"/>
      <c r="NXS225" s="716"/>
      <c r="NXT225" s="716"/>
      <c r="NXU225" s="716"/>
      <c r="NXV225" s="717"/>
      <c r="NXW225" s="715"/>
      <c r="NXX225" s="716"/>
      <c r="NXY225" s="716"/>
      <c r="NXZ225" s="716"/>
      <c r="NYA225" s="716"/>
      <c r="NYB225" s="717"/>
      <c r="NYC225" s="715"/>
      <c r="NYD225" s="716"/>
      <c r="NYE225" s="716"/>
      <c r="NYF225" s="716"/>
      <c r="NYG225" s="716"/>
      <c r="NYH225" s="717"/>
      <c r="NYI225" s="715"/>
      <c r="NYJ225" s="716"/>
      <c r="NYK225" s="716"/>
      <c r="NYL225" s="716"/>
      <c r="NYM225" s="716"/>
      <c r="NYN225" s="717"/>
      <c r="NYO225" s="715"/>
      <c r="NYP225" s="716"/>
      <c r="NYQ225" s="716"/>
      <c r="NYR225" s="716"/>
      <c r="NYS225" s="716"/>
      <c r="NYT225" s="717"/>
      <c r="NYU225" s="715"/>
      <c r="NYV225" s="716"/>
      <c r="NYW225" s="716"/>
      <c r="NYX225" s="716"/>
      <c r="NYY225" s="716"/>
      <c r="NYZ225" s="717"/>
      <c r="NZA225" s="715"/>
      <c r="NZB225" s="716"/>
      <c r="NZC225" s="716"/>
      <c r="NZD225" s="716"/>
      <c r="NZE225" s="716"/>
      <c r="NZF225" s="717"/>
      <c r="NZG225" s="715"/>
      <c r="NZH225" s="716"/>
      <c r="NZI225" s="716"/>
      <c r="NZJ225" s="716"/>
      <c r="NZK225" s="716"/>
      <c r="NZL225" s="717"/>
      <c r="NZM225" s="715"/>
      <c r="NZN225" s="716"/>
      <c r="NZO225" s="716"/>
      <c r="NZP225" s="716"/>
      <c r="NZQ225" s="716"/>
      <c r="NZR225" s="717"/>
      <c r="NZS225" s="715"/>
      <c r="NZT225" s="716"/>
      <c r="NZU225" s="716"/>
      <c r="NZV225" s="716"/>
      <c r="NZW225" s="716"/>
      <c r="NZX225" s="717"/>
      <c r="NZY225" s="715"/>
      <c r="NZZ225" s="716"/>
      <c r="OAA225" s="716"/>
      <c r="OAB225" s="716"/>
      <c r="OAC225" s="716"/>
      <c r="OAD225" s="717"/>
      <c r="OAE225" s="715"/>
      <c r="OAF225" s="716"/>
      <c r="OAG225" s="716"/>
      <c r="OAH225" s="716"/>
      <c r="OAI225" s="716"/>
      <c r="OAJ225" s="717"/>
      <c r="OAK225" s="715"/>
      <c r="OAL225" s="716"/>
      <c r="OAM225" s="716"/>
      <c r="OAN225" s="716"/>
      <c r="OAO225" s="716"/>
      <c r="OAP225" s="717"/>
      <c r="OAQ225" s="715"/>
      <c r="OAR225" s="716"/>
      <c r="OAS225" s="716"/>
      <c r="OAT225" s="716"/>
      <c r="OAU225" s="716"/>
      <c r="OAV225" s="717"/>
      <c r="OAW225" s="715"/>
      <c r="OAX225" s="716"/>
      <c r="OAY225" s="716"/>
      <c r="OAZ225" s="716"/>
      <c r="OBA225" s="716"/>
      <c r="OBB225" s="717"/>
      <c r="OBC225" s="715"/>
      <c r="OBD225" s="716"/>
      <c r="OBE225" s="716"/>
      <c r="OBF225" s="716"/>
      <c r="OBG225" s="716"/>
      <c r="OBH225" s="717"/>
      <c r="OBI225" s="715"/>
      <c r="OBJ225" s="716"/>
      <c r="OBK225" s="716"/>
      <c r="OBL225" s="716"/>
      <c r="OBM225" s="716"/>
      <c r="OBN225" s="717"/>
      <c r="OBO225" s="715"/>
      <c r="OBP225" s="716"/>
      <c r="OBQ225" s="716"/>
      <c r="OBR225" s="716"/>
      <c r="OBS225" s="716"/>
      <c r="OBT225" s="717"/>
      <c r="OBU225" s="715"/>
      <c r="OBV225" s="716"/>
      <c r="OBW225" s="716"/>
      <c r="OBX225" s="716"/>
      <c r="OBY225" s="716"/>
      <c r="OBZ225" s="717"/>
      <c r="OCA225" s="715"/>
      <c r="OCB225" s="716"/>
      <c r="OCC225" s="716"/>
      <c r="OCD225" s="716"/>
      <c r="OCE225" s="716"/>
      <c r="OCF225" s="717"/>
      <c r="OCG225" s="715"/>
      <c r="OCH225" s="716"/>
      <c r="OCI225" s="716"/>
      <c r="OCJ225" s="716"/>
      <c r="OCK225" s="716"/>
      <c r="OCL225" s="717"/>
      <c r="OCM225" s="715"/>
      <c r="OCN225" s="716"/>
      <c r="OCO225" s="716"/>
      <c r="OCP225" s="716"/>
      <c r="OCQ225" s="716"/>
      <c r="OCR225" s="717"/>
      <c r="OCS225" s="715"/>
      <c r="OCT225" s="716"/>
      <c r="OCU225" s="716"/>
      <c r="OCV225" s="716"/>
      <c r="OCW225" s="716"/>
      <c r="OCX225" s="717"/>
      <c r="OCY225" s="715"/>
      <c r="OCZ225" s="716"/>
      <c r="ODA225" s="716"/>
      <c r="ODB225" s="716"/>
      <c r="ODC225" s="716"/>
      <c r="ODD225" s="717"/>
      <c r="ODE225" s="715"/>
      <c r="ODF225" s="716"/>
      <c r="ODG225" s="716"/>
      <c r="ODH225" s="716"/>
      <c r="ODI225" s="716"/>
      <c r="ODJ225" s="717"/>
      <c r="ODK225" s="715"/>
      <c r="ODL225" s="716"/>
      <c r="ODM225" s="716"/>
      <c r="ODN225" s="716"/>
      <c r="ODO225" s="716"/>
      <c r="ODP225" s="717"/>
      <c r="ODQ225" s="715"/>
      <c r="ODR225" s="716"/>
      <c r="ODS225" s="716"/>
      <c r="ODT225" s="716"/>
      <c r="ODU225" s="716"/>
      <c r="ODV225" s="717"/>
      <c r="ODW225" s="715"/>
      <c r="ODX225" s="716"/>
      <c r="ODY225" s="716"/>
      <c r="ODZ225" s="716"/>
      <c r="OEA225" s="716"/>
      <c r="OEB225" s="717"/>
      <c r="OEC225" s="715"/>
      <c r="OED225" s="716"/>
      <c r="OEE225" s="716"/>
      <c r="OEF225" s="716"/>
      <c r="OEG225" s="716"/>
      <c r="OEH225" s="717"/>
      <c r="OEI225" s="715"/>
      <c r="OEJ225" s="716"/>
      <c r="OEK225" s="716"/>
      <c r="OEL225" s="716"/>
      <c r="OEM225" s="716"/>
      <c r="OEN225" s="717"/>
      <c r="OEO225" s="715"/>
      <c r="OEP225" s="716"/>
      <c r="OEQ225" s="716"/>
      <c r="OER225" s="716"/>
      <c r="OES225" s="716"/>
      <c r="OET225" s="717"/>
      <c r="OEU225" s="715"/>
      <c r="OEV225" s="716"/>
      <c r="OEW225" s="716"/>
      <c r="OEX225" s="716"/>
      <c r="OEY225" s="716"/>
      <c r="OEZ225" s="717"/>
      <c r="OFA225" s="715"/>
      <c r="OFB225" s="716"/>
      <c r="OFC225" s="716"/>
      <c r="OFD225" s="716"/>
      <c r="OFE225" s="716"/>
      <c r="OFF225" s="717"/>
      <c r="OFG225" s="715"/>
      <c r="OFH225" s="716"/>
      <c r="OFI225" s="716"/>
      <c r="OFJ225" s="716"/>
      <c r="OFK225" s="716"/>
      <c r="OFL225" s="717"/>
      <c r="OFM225" s="715"/>
      <c r="OFN225" s="716"/>
      <c r="OFO225" s="716"/>
      <c r="OFP225" s="716"/>
      <c r="OFQ225" s="716"/>
      <c r="OFR225" s="717"/>
      <c r="OFS225" s="715"/>
      <c r="OFT225" s="716"/>
      <c r="OFU225" s="716"/>
      <c r="OFV225" s="716"/>
      <c r="OFW225" s="716"/>
      <c r="OFX225" s="717"/>
      <c r="OFY225" s="715"/>
      <c r="OFZ225" s="716"/>
      <c r="OGA225" s="716"/>
      <c r="OGB225" s="716"/>
      <c r="OGC225" s="716"/>
      <c r="OGD225" s="717"/>
      <c r="OGE225" s="715"/>
      <c r="OGF225" s="716"/>
      <c r="OGG225" s="716"/>
      <c r="OGH225" s="716"/>
      <c r="OGI225" s="716"/>
      <c r="OGJ225" s="717"/>
      <c r="OGK225" s="715"/>
      <c r="OGL225" s="716"/>
      <c r="OGM225" s="716"/>
      <c r="OGN225" s="716"/>
      <c r="OGO225" s="716"/>
      <c r="OGP225" s="717"/>
      <c r="OGQ225" s="715"/>
      <c r="OGR225" s="716"/>
      <c r="OGS225" s="716"/>
      <c r="OGT225" s="716"/>
      <c r="OGU225" s="716"/>
      <c r="OGV225" s="717"/>
      <c r="OGW225" s="715"/>
      <c r="OGX225" s="716"/>
      <c r="OGY225" s="716"/>
      <c r="OGZ225" s="716"/>
      <c r="OHA225" s="716"/>
      <c r="OHB225" s="717"/>
      <c r="OHC225" s="715"/>
      <c r="OHD225" s="716"/>
      <c r="OHE225" s="716"/>
      <c r="OHF225" s="716"/>
      <c r="OHG225" s="716"/>
      <c r="OHH225" s="717"/>
      <c r="OHI225" s="715"/>
      <c r="OHJ225" s="716"/>
      <c r="OHK225" s="716"/>
      <c r="OHL225" s="716"/>
      <c r="OHM225" s="716"/>
      <c r="OHN225" s="717"/>
      <c r="OHO225" s="715"/>
      <c r="OHP225" s="716"/>
      <c r="OHQ225" s="716"/>
      <c r="OHR225" s="716"/>
      <c r="OHS225" s="716"/>
      <c r="OHT225" s="717"/>
      <c r="OHU225" s="715"/>
      <c r="OHV225" s="716"/>
      <c r="OHW225" s="716"/>
      <c r="OHX225" s="716"/>
      <c r="OHY225" s="716"/>
      <c r="OHZ225" s="717"/>
      <c r="OIA225" s="715"/>
      <c r="OIB225" s="716"/>
      <c r="OIC225" s="716"/>
      <c r="OID225" s="716"/>
      <c r="OIE225" s="716"/>
      <c r="OIF225" s="717"/>
      <c r="OIG225" s="715"/>
      <c r="OIH225" s="716"/>
      <c r="OII225" s="716"/>
      <c r="OIJ225" s="716"/>
      <c r="OIK225" s="716"/>
      <c r="OIL225" s="717"/>
      <c r="OIM225" s="715"/>
      <c r="OIN225" s="716"/>
      <c r="OIO225" s="716"/>
      <c r="OIP225" s="716"/>
      <c r="OIQ225" s="716"/>
      <c r="OIR225" s="717"/>
      <c r="OIS225" s="715"/>
      <c r="OIT225" s="716"/>
      <c r="OIU225" s="716"/>
      <c r="OIV225" s="716"/>
      <c r="OIW225" s="716"/>
      <c r="OIX225" s="717"/>
      <c r="OIY225" s="715"/>
      <c r="OIZ225" s="716"/>
      <c r="OJA225" s="716"/>
      <c r="OJB225" s="716"/>
      <c r="OJC225" s="716"/>
      <c r="OJD225" s="717"/>
      <c r="OJE225" s="715"/>
      <c r="OJF225" s="716"/>
      <c r="OJG225" s="716"/>
      <c r="OJH225" s="716"/>
      <c r="OJI225" s="716"/>
      <c r="OJJ225" s="717"/>
      <c r="OJK225" s="715"/>
      <c r="OJL225" s="716"/>
      <c r="OJM225" s="716"/>
      <c r="OJN225" s="716"/>
      <c r="OJO225" s="716"/>
      <c r="OJP225" s="717"/>
      <c r="OJQ225" s="715"/>
      <c r="OJR225" s="716"/>
      <c r="OJS225" s="716"/>
      <c r="OJT225" s="716"/>
      <c r="OJU225" s="716"/>
      <c r="OJV225" s="717"/>
      <c r="OJW225" s="715"/>
      <c r="OJX225" s="716"/>
      <c r="OJY225" s="716"/>
      <c r="OJZ225" s="716"/>
      <c r="OKA225" s="716"/>
      <c r="OKB225" s="717"/>
      <c r="OKC225" s="715"/>
      <c r="OKD225" s="716"/>
      <c r="OKE225" s="716"/>
      <c r="OKF225" s="716"/>
      <c r="OKG225" s="716"/>
      <c r="OKH225" s="717"/>
      <c r="OKI225" s="715"/>
      <c r="OKJ225" s="716"/>
      <c r="OKK225" s="716"/>
      <c r="OKL225" s="716"/>
      <c r="OKM225" s="716"/>
      <c r="OKN225" s="717"/>
      <c r="OKO225" s="715"/>
      <c r="OKP225" s="716"/>
      <c r="OKQ225" s="716"/>
      <c r="OKR225" s="716"/>
      <c r="OKS225" s="716"/>
      <c r="OKT225" s="717"/>
      <c r="OKU225" s="715"/>
      <c r="OKV225" s="716"/>
      <c r="OKW225" s="716"/>
      <c r="OKX225" s="716"/>
      <c r="OKY225" s="716"/>
      <c r="OKZ225" s="717"/>
      <c r="OLA225" s="715"/>
      <c r="OLB225" s="716"/>
      <c r="OLC225" s="716"/>
      <c r="OLD225" s="716"/>
      <c r="OLE225" s="716"/>
      <c r="OLF225" s="717"/>
      <c r="OLG225" s="715"/>
      <c r="OLH225" s="716"/>
      <c r="OLI225" s="716"/>
      <c r="OLJ225" s="716"/>
      <c r="OLK225" s="716"/>
      <c r="OLL225" s="717"/>
      <c r="OLM225" s="715"/>
      <c r="OLN225" s="716"/>
      <c r="OLO225" s="716"/>
      <c r="OLP225" s="716"/>
      <c r="OLQ225" s="716"/>
      <c r="OLR225" s="717"/>
      <c r="OLS225" s="715"/>
      <c r="OLT225" s="716"/>
      <c r="OLU225" s="716"/>
      <c r="OLV225" s="716"/>
      <c r="OLW225" s="716"/>
      <c r="OLX225" s="717"/>
      <c r="OLY225" s="715"/>
      <c r="OLZ225" s="716"/>
      <c r="OMA225" s="716"/>
      <c r="OMB225" s="716"/>
      <c r="OMC225" s="716"/>
      <c r="OMD225" s="717"/>
      <c r="OME225" s="715"/>
      <c r="OMF225" s="716"/>
      <c r="OMG225" s="716"/>
      <c r="OMH225" s="716"/>
      <c r="OMI225" s="716"/>
      <c r="OMJ225" s="717"/>
      <c r="OMK225" s="715"/>
      <c r="OML225" s="716"/>
      <c r="OMM225" s="716"/>
      <c r="OMN225" s="716"/>
      <c r="OMO225" s="716"/>
      <c r="OMP225" s="717"/>
      <c r="OMQ225" s="715"/>
      <c r="OMR225" s="716"/>
      <c r="OMS225" s="716"/>
      <c r="OMT225" s="716"/>
      <c r="OMU225" s="716"/>
      <c r="OMV225" s="717"/>
      <c r="OMW225" s="715"/>
      <c r="OMX225" s="716"/>
      <c r="OMY225" s="716"/>
      <c r="OMZ225" s="716"/>
      <c r="ONA225" s="716"/>
      <c r="ONB225" s="717"/>
      <c r="ONC225" s="715"/>
      <c r="OND225" s="716"/>
      <c r="ONE225" s="716"/>
      <c r="ONF225" s="716"/>
      <c r="ONG225" s="716"/>
      <c r="ONH225" s="717"/>
      <c r="ONI225" s="715"/>
      <c r="ONJ225" s="716"/>
      <c r="ONK225" s="716"/>
      <c r="ONL225" s="716"/>
      <c r="ONM225" s="716"/>
      <c r="ONN225" s="717"/>
      <c r="ONO225" s="715"/>
      <c r="ONP225" s="716"/>
      <c r="ONQ225" s="716"/>
      <c r="ONR225" s="716"/>
      <c r="ONS225" s="716"/>
      <c r="ONT225" s="717"/>
      <c r="ONU225" s="715"/>
      <c r="ONV225" s="716"/>
      <c r="ONW225" s="716"/>
      <c r="ONX225" s="716"/>
      <c r="ONY225" s="716"/>
      <c r="ONZ225" s="717"/>
      <c r="OOA225" s="715"/>
      <c r="OOB225" s="716"/>
      <c r="OOC225" s="716"/>
      <c r="OOD225" s="716"/>
      <c r="OOE225" s="716"/>
      <c r="OOF225" s="717"/>
      <c r="OOG225" s="715"/>
      <c r="OOH225" s="716"/>
      <c r="OOI225" s="716"/>
      <c r="OOJ225" s="716"/>
      <c r="OOK225" s="716"/>
      <c r="OOL225" s="717"/>
      <c r="OOM225" s="715"/>
      <c r="OON225" s="716"/>
      <c r="OOO225" s="716"/>
      <c r="OOP225" s="716"/>
      <c r="OOQ225" s="716"/>
      <c r="OOR225" s="717"/>
      <c r="OOS225" s="715"/>
      <c r="OOT225" s="716"/>
      <c r="OOU225" s="716"/>
      <c r="OOV225" s="716"/>
      <c r="OOW225" s="716"/>
      <c r="OOX225" s="717"/>
      <c r="OOY225" s="715"/>
      <c r="OOZ225" s="716"/>
      <c r="OPA225" s="716"/>
      <c r="OPB225" s="716"/>
      <c r="OPC225" s="716"/>
      <c r="OPD225" s="717"/>
      <c r="OPE225" s="715"/>
      <c r="OPF225" s="716"/>
      <c r="OPG225" s="716"/>
      <c r="OPH225" s="716"/>
      <c r="OPI225" s="716"/>
      <c r="OPJ225" s="717"/>
      <c r="OPK225" s="715"/>
      <c r="OPL225" s="716"/>
      <c r="OPM225" s="716"/>
      <c r="OPN225" s="716"/>
      <c r="OPO225" s="716"/>
      <c r="OPP225" s="717"/>
      <c r="OPQ225" s="715"/>
      <c r="OPR225" s="716"/>
      <c r="OPS225" s="716"/>
      <c r="OPT225" s="716"/>
      <c r="OPU225" s="716"/>
      <c r="OPV225" s="717"/>
      <c r="OPW225" s="715"/>
      <c r="OPX225" s="716"/>
      <c r="OPY225" s="716"/>
      <c r="OPZ225" s="716"/>
      <c r="OQA225" s="716"/>
      <c r="OQB225" s="717"/>
      <c r="OQC225" s="715"/>
      <c r="OQD225" s="716"/>
      <c r="OQE225" s="716"/>
      <c r="OQF225" s="716"/>
      <c r="OQG225" s="716"/>
      <c r="OQH225" s="717"/>
      <c r="OQI225" s="715"/>
      <c r="OQJ225" s="716"/>
      <c r="OQK225" s="716"/>
      <c r="OQL225" s="716"/>
      <c r="OQM225" s="716"/>
      <c r="OQN225" s="717"/>
      <c r="OQO225" s="715"/>
      <c r="OQP225" s="716"/>
      <c r="OQQ225" s="716"/>
      <c r="OQR225" s="716"/>
      <c r="OQS225" s="716"/>
      <c r="OQT225" s="717"/>
      <c r="OQU225" s="715"/>
      <c r="OQV225" s="716"/>
      <c r="OQW225" s="716"/>
      <c r="OQX225" s="716"/>
      <c r="OQY225" s="716"/>
      <c r="OQZ225" s="717"/>
      <c r="ORA225" s="715"/>
      <c r="ORB225" s="716"/>
      <c r="ORC225" s="716"/>
      <c r="ORD225" s="716"/>
      <c r="ORE225" s="716"/>
      <c r="ORF225" s="717"/>
      <c r="ORG225" s="715"/>
      <c r="ORH225" s="716"/>
      <c r="ORI225" s="716"/>
      <c r="ORJ225" s="716"/>
      <c r="ORK225" s="716"/>
      <c r="ORL225" s="717"/>
      <c r="ORM225" s="715"/>
      <c r="ORN225" s="716"/>
      <c r="ORO225" s="716"/>
      <c r="ORP225" s="716"/>
      <c r="ORQ225" s="716"/>
      <c r="ORR225" s="717"/>
      <c r="ORS225" s="715"/>
      <c r="ORT225" s="716"/>
      <c r="ORU225" s="716"/>
      <c r="ORV225" s="716"/>
      <c r="ORW225" s="716"/>
      <c r="ORX225" s="717"/>
      <c r="ORY225" s="715"/>
      <c r="ORZ225" s="716"/>
      <c r="OSA225" s="716"/>
      <c r="OSB225" s="716"/>
      <c r="OSC225" s="716"/>
      <c r="OSD225" s="717"/>
      <c r="OSE225" s="715"/>
      <c r="OSF225" s="716"/>
      <c r="OSG225" s="716"/>
      <c r="OSH225" s="716"/>
      <c r="OSI225" s="716"/>
      <c r="OSJ225" s="717"/>
      <c r="OSK225" s="715"/>
      <c r="OSL225" s="716"/>
      <c r="OSM225" s="716"/>
      <c r="OSN225" s="716"/>
      <c r="OSO225" s="716"/>
      <c r="OSP225" s="717"/>
      <c r="OSQ225" s="715"/>
      <c r="OSR225" s="716"/>
      <c r="OSS225" s="716"/>
      <c r="OST225" s="716"/>
      <c r="OSU225" s="716"/>
      <c r="OSV225" s="717"/>
      <c r="OSW225" s="715"/>
      <c r="OSX225" s="716"/>
      <c r="OSY225" s="716"/>
      <c r="OSZ225" s="716"/>
      <c r="OTA225" s="716"/>
      <c r="OTB225" s="717"/>
      <c r="OTC225" s="715"/>
      <c r="OTD225" s="716"/>
      <c r="OTE225" s="716"/>
      <c r="OTF225" s="716"/>
      <c r="OTG225" s="716"/>
      <c r="OTH225" s="717"/>
      <c r="OTI225" s="715"/>
      <c r="OTJ225" s="716"/>
      <c r="OTK225" s="716"/>
      <c r="OTL225" s="716"/>
      <c r="OTM225" s="716"/>
      <c r="OTN225" s="717"/>
      <c r="OTO225" s="715"/>
      <c r="OTP225" s="716"/>
      <c r="OTQ225" s="716"/>
      <c r="OTR225" s="716"/>
      <c r="OTS225" s="716"/>
      <c r="OTT225" s="717"/>
      <c r="OTU225" s="715"/>
      <c r="OTV225" s="716"/>
      <c r="OTW225" s="716"/>
      <c r="OTX225" s="716"/>
      <c r="OTY225" s="716"/>
      <c r="OTZ225" s="717"/>
      <c r="OUA225" s="715"/>
      <c r="OUB225" s="716"/>
      <c r="OUC225" s="716"/>
      <c r="OUD225" s="716"/>
      <c r="OUE225" s="716"/>
      <c r="OUF225" s="717"/>
      <c r="OUG225" s="715"/>
      <c r="OUH225" s="716"/>
      <c r="OUI225" s="716"/>
      <c r="OUJ225" s="716"/>
      <c r="OUK225" s="716"/>
      <c r="OUL225" s="717"/>
      <c r="OUM225" s="715"/>
      <c r="OUN225" s="716"/>
      <c r="OUO225" s="716"/>
      <c r="OUP225" s="716"/>
      <c r="OUQ225" s="716"/>
      <c r="OUR225" s="717"/>
      <c r="OUS225" s="715"/>
      <c r="OUT225" s="716"/>
      <c r="OUU225" s="716"/>
      <c r="OUV225" s="716"/>
      <c r="OUW225" s="716"/>
      <c r="OUX225" s="717"/>
      <c r="OUY225" s="715"/>
      <c r="OUZ225" s="716"/>
      <c r="OVA225" s="716"/>
      <c r="OVB225" s="716"/>
      <c r="OVC225" s="716"/>
      <c r="OVD225" s="717"/>
      <c r="OVE225" s="715"/>
      <c r="OVF225" s="716"/>
      <c r="OVG225" s="716"/>
      <c r="OVH225" s="716"/>
      <c r="OVI225" s="716"/>
      <c r="OVJ225" s="717"/>
      <c r="OVK225" s="715"/>
      <c r="OVL225" s="716"/>
      <c r="OVM225" s="716"/>
      <c r="OVN225" s="716"/>
      <c r="OVO225" s="716"/>
      <c r="OVP225" s="717"/>
      <c r="OVQ225" s="715"/>
      <c r="OVR225" s="716"/>
      <c r="OVS225" s="716"/>
      <c r="OVT225" s="716"/>
      <c r="OVU225" s="716"/>
      <c r="OVV225" s="717"/>
      <c r="OVW225" s="715"/>
      <c r="OVX225" s="716"/>
      <c r="OVY225" s="716"/>
      <c r="OVZ225" s="716"/>
      <c r="OWA225" s="716"/>
      <c r="OWB225" s="717"/>
      <c r="OWC225" s="715"/>
      <c r="OWD225" s="716"/>
      <c r="OWE225" s="716"/>
      <c r="OWF225" s="716"/>
      <c r="OWG225" s="716"/>
      <c r="OWH225" s="717"/>
      <c r="OWI225" s="715"/>
      <c r="OWJ225" s="716"/>
      <c r="OWK225" s="716"/>
      <c r="OWL225" s="716"/>
      <c r="OWM225" s="716"/>
      <c r="OWN225" s="717"/>
      <c r="OWO225" s="715"/>
      <c r="OWP225" s="716"/>
      <c r="OWQ225" s="716"/>
      <c r="OWR225" s="716"/>
      <c r="OWS225" s="716"/>
      <c r="OWT225" s="717"/>
      <c r="OWU225" s="715"/>
      <c r="OWV225" s="716"/>
      <c r="OWW225" s="716"/>
      <c r="OWX225" s="716"/>
      <c r="OWY225" s="716"/>
      <c r="OWZ225" s="717"/>
      <c r="OXA225" s="715"/>
      <c r="OXB225" s="716"/>
      <c r="OXC225" s="716"/>
      <c r="OXD225" s="716"/>
      <c r="OXE225" s="716"/>
      <c r="OXF225" s="717"/>
      <c r="OXG225" s="715"/>
      <c r="OXH225" s="716"/>
      <c r="OXI225" s="716"/>
      <c r="OXJ225" s="716"/>
      <c r="OXK225" s="716"/>
      <c r="OXL225" s="717"/>
      <c r="OXM225" s="715"/>
      <c r="OXN225" s="716"/>
      <c r="OXO225" s="716"/>
      <c r="OXP225" s="716"/>
      <c r="OXQ225" s="716"/>
      <c r="OXR225" s="717"/>
      <c r="OXS225" s="715"/>
      <c r="OXT225" s="716"/>
      <c r="OXU225" s="716"/>
      <c r="OXV225" s="716"/>
      <c r="OXW225" s="716"/>
      <c r="OXX225" s="717"/>
      <c r="OXY225" s="715"/>
      <c r="OXZ225" s="716"/>
      <c r="OYA225" s="716"/>
      <c r="OYB225" s="716"/>
      <c r="OYC225" s="716"/>
      <c r="OYD225" s="717"/>
      <c r="OYE225" s="715"/>
      <c r="OYF225" s="716"/>
      <c r="OYG225" s="716"/>
      <c r="OYH225" s="716"/>
      <c r="OYI225" s="716"/>
      <c r="OYJ225" s="717"/>
      <c r="OYK225" s="715"/>
      <c r="OYL225" s="716"/>
      <c r="OYM225" s="716"/>
      <c r="OYN225" s="716"/>
      <c r="OYO225" s="716"/>
      <c r="OYP225" s="717"/>
      <c r="OYQ225" s="715"/>
      <c r="OYR225" s="716"/>
      <c r="OYS225" s="716"/>
      <c r="OYT225" s="716"/>
      <c r="OYU225" s="716"/>
      <c r="OYV225" s="717"/>
      <c r="OYW225" s="715"/>
      <c r="OYX225" s="716"/>
      <c r="OYY225" s="716"/>
      <c r="OYZ225" s="716"/>
      <c r="OZA225" s="716"/>
      <c r="OZB225" s="717"/>
      <c r="OZC225" s="715"/>
      <c r="OZD225" s="716"/>
      <c r="OZE225" s="716"/>
      <c r="OZF225" s="716"/>
      <c r="OZG225" s="716"/>
      <c r="OZH225" s="717"/>
      <c r="OZI225" s="715"/>
      <c r="OZJ225" s="716"/>
      <c r="OZK225" s="716"/>
      <c r="OZL225" s="716"/>
      <c r="OZM225" s="716"/>
      <c r="OZN225" s="717"/>
      <c r="OZO225" s="715"/>
      <c r="OZP225" s="716"/>
      <c r="OZQ225" s="716"/>
      <c r="OZR225" s="716"/>
      <c r="OZS225" s="716"/>
      <c r="OZT225" s="717"/>
      <c r="OZU225" s="715"/>
      <c r="OZV225" s="716"/>
      <c r="OZW225" s="716"/>
      <c r="OZX225" s="716"/>
      <c r="OZY225" s="716"/>
      <c r="OZZ225" s="717"/>
      <c r="PAA225" s="715"/>
      <c r="PAB225" s="716"/>
      <c r="PAC225" s="716"/>
      <c r="PAD225" s="716"/>
      <c r="PAE225" s="716"/>
      <c r="PAF225" s="717"/>
      <c r="PAG225" s="715"/>
      <c r="PAH225" s="716"/>
      <c r="PAI225" s="716"/>
      <c r="PAJ225" s="716"/>
      <c r="PAK225" s="716"/>
      <c r="PAL225" s="717"/>
      <c r="PAM225" s="715"/>
      <c r="PAN225" s="716"/>
      <c r="PAO225" s="716"/>
      <c r="PAP225" s="716"/>
      <c r="PAQ225" s="716"/>
      <c r="PAR225" s="717"/>
      <c r="PAS225" s="715"/>
      <c r="PAT225" s="716"/>
      <c r="PAU225" s="716"/>
      <c r="PAV225" s="716"/>
      <c r="PAW225" s="716"/>
      <c r="PAX225" s="717"/>
      <c r="PAY225" s="715"/>
      <c r="PAZ225" s="716"/>
      <c r="PBA225" s="716"/>
      <c r="PBB225" s="716"/>
      <c r="PBC225" s="716"/>
      <c r="PBD225" s="717"/>
      <c r="PBE225" s="715"/>
      <c r="PBF225" s="716"/>
      <c r="PBG225" s="716"/>
      <c r="PBH225" s="716"/>
      <c r="PBI225" s="716"/>
      <c r="PBJ225" s="717"/>
      <c r="PBK225" s="715"/>
      <c r="PBL225" s="716"/>
      <c r="PBM225" s="716"/>
      <c r="PBN225" s="716"/>
      <c r="PBO225" s="716"/>
      <c r="PBP225" s="717"/>
      <c r="PBQ225" s="715"/>
      <c r="PBR225" s="716"/>
      <c r="PBS225" s="716"/>
      <c r="PBT225" s="716"/>
      <c r="PBU225" s="716"/>
      <c r="PBV225" s="717"/>
      <c r="PBW225" s="715"/>
      <c r="PBX225" s="716"/>
      <c r="PBY225" s="716"/>
      <c r="PBZ225" s="716"/>
      <c r="PCA225" s="716"/>
      <c r="PCB225" s="717"/>
      <c r="PCC225" s="715"/>
      <c r="PCD225" s="716"/>
      <c r="PCE225" s="716"/>
      <c r="PCF225" s="716"/>
      <c r="PCG225" s="716"/>
      <c r="PCH225" s="717"/>
      <c r="PCI225" s="715"/>
      <c r="PCJ225" s="716"/>
      <c r="PCK225" s="716"/>
      <c r="PCL225" s="716"/>
      <c r="PCM225" s="716"/>
      <c r="PCN225" s="717"/>
      <c r="PCO225" s="715"/>
      <c r="PCP225" s="716"/>
      <c r="PCQ225" s="716"/>
      <c r="PCR225" s="716"/>
      <c r="PCS225" s="716"/>
      <c r="PCT225" s="717"/>
      <c r="PCU225" s="715"/>
      <c r="PCV225" s="716"/>
      <c r="PCW225" s="716"/>
      <c r="PCX225" s="716"/>
      <c r="PCY225" s="716"/>
      <c r="PCZ225" s="717"/>
      <c r="PDA225" s="715"/>
      <c r="PDB225" s="716"/>
      <c r="PDC225" s="716"/>
      <c r="PDD225" s="716"/>
      <c r="PDE225" s="716"/>
      <c r="PDF225" s="717"/>
      <c r="PDG225" s="715"/>
      <c r="PDH225" s="716"/>
      <c r="PDI225" s="716"/>
      <c r="PDJ225" s="716"/>
      <c r="PDK225" s="716"/>
      <c r="PDL225" s="717"/>
      <c r="PDM225" s="715"/>
      <c r="PDN225" s="716"/>
      <c r="PDO225" s="716"/>
      <c r="PDP225" s="716"/>
      <c r="PDQ225" s="716"/>
      <c r="PDR225" s="717"/>
      <c r="PDS225" s="715"/>
      <c r="PDT225" s="716"/>
      <c r="PDU225" s="716"/>
      <c r="PDV225" s="716"/>
      <c r="PDW225" s="716"/>
      <c r="PDX225" s="717"/>
      <c r="PDY225" s="715"/>
      <c r="PDZ225" s="716"/>
      <c r="PEA225" s="716"/>
      <c r="PEB225" s="716"/>
      <c r="PEC225" s="716"/>
      <c r="PED225" s="717"/>
      <c r="PEE225" s="715"/>
      <c r="PEF225" s="716"/>
      <c r="PEG225" s="716"/>
      <c r="PEH225" s="716"/>
      <c r="PEI225" s="716"/>
      <c r="PEJ225" s="717"/>
      <c r="PEK225" s="715"/>
      <c r="PEL225" s="716"/>
      <c r="PEM225" s="716"/>
      <c r="PEN225" s="716"/>
      <c r="PEO225" s="716"/>
      <c r="PEP225" s="717"/>
      <c r="PEQ225" s="715"/>
      <c r="PER225" s="716"/>
      <c r="PES225" s="716"/>
      <c r="PET225" s="716"/>
      <c r="PEU225" s="716"/>
      <c r="PEV225" s="717"/>
      <c r="PEW225" s="715"/>
      <c r="PEX225" s="716"/>
      <c r="PEY225" s="716"/>
      <c r="PEZ225" s="716"/>
      <c r="PFA225" s="716"/>
      <c r="PFB225" s="717"/>
      <c r="PFC225" s="715"/>
      <c r="PFD225" s="716"/>
      <c r="PFE225" s="716"/>
      <c r="PFF225" s="716"/>
      <c r="PFG225" s="716"/>
      <c r="PFH225" s="717"/>
      <c r="PFI225" s="715"/>
      <c r="PFJ225" s="716"/>
      <c r="PFK225" s="716"/>
      <c r="PFL225" s="716"/>
      <c r="PFM225" s="716"/>
      <c r="PFN225" s="717"/>
      <c r="PFO225" s="715"/>
      <c r="PFP225" s="716"/>
      <c r="PFQ225" s="716"/>
      <c r="PFR225" s="716"/>
      <c r="PFS225" s="716"/>
      <c r="PFT225" s="717"/>
      <c r="PFU225" s="715"/>
      <c r="PFV225" s="716"/>
      <c r="PFW225" s="716"/>
      <c r="PFX225" s="716"/>
      <c r="PFY225" s="716"/>
      <c r="PFZ225" s="717"/>
      <c r="PGA225" s="715"/>
      <c r="PGB225" s="716"/>
      <c r="PGC225" s="716"/>
      <c r="PGD225" s="716"/>
      <c r="PGE225" s="716"/>
      <c r="PGF225" s="717"/>
      <c r="PGG225" s="715"/>
      <c r="PGH225" s="716"/>
      <c r="PGI225" s="716"/>
      <c r="PGJ225" s="716"/>
      <c r="PGK225" s="716"/>
      <c r="PGL225" s="717"/>
      <c r="PGM225" s="715"/>
      <c r="PGN225" s="716"/>
      <c r="PGO225" s="716"/>
      <c r="PGP225" s="716"/>
      <c r="PGQ225" s="716"/>
      <c r="PGR225" s="717"/>
      <c r="PGS225" s="715"/>
      <c r="PGT225" s="716"/>
      <c r="PGU225" s="716"/>
      <c r="PGV225" s="716"/>
      <c r="PGW225" s="716"/>
      <c r="PGX225" s="717"/>
      <c r="PGY225" s="715"/>
      <c r="PGZ225" s="716"/>
      <c r="PHA225" s="716"/>
      <c r="PHB225" s="716"/>
      <c r="PHC225" s="716"/>
      <c r="PHD225" s="717"/>
      <c r="PHE225" s="715"/>
      <c r="PHF225" s="716"/>
      <c r="PHG225" s="716"/>
      <c r="PHH225" s="716"/>
      <c r="PHI225" s="716"/>
      <c r="PHJ225" s="717"/>
      <c r="PHK225" s="715"/>
      <c r="PHL225" s="716"/>
      <c r="PHM225" s="716"/>
      <c r="PHN225" s="716"/>
      <c r="PHO225" s="716"/>
      <c r="PHP225" s="717"/>
      <c r="PHQ225" s="715"/>
      <c r="PHR225" s="716"/>
      <c r="PHS225" s="716"/>
      <c r="PHT225" s="716"/>
      <c r="PHU225" s="716"/>
      <c r="PHV225" s="717"/>
      <c r="PHW225" s="715"/>
      <c r="PHX225" s="716"/>
      <c r="PHY225" s="716"/>
      <c r="PHZ225" s="716"/>
      <c r="PIA225" s="716"/>
      <c r="PIB225" s="717"/>
      <c r="PIC225" s="715"/>
      <c r="PID225" s="716"/>
      <c r="PIE225" s="716"/>
      <c r="PIF225" s="716"/>
      <c r="PIG225" s="716"/>
      <c r="PIH225" s="717"/>
      <c r="PII225" s="715"/>
      <c r="PIJ225" s="716"/>
      <c r="PIK225" s="716"/>
      <c r="PIL225" s="716"/>
      <c r="PIM225" s="716"/>
      <c r="PIN225" s="717"/>
      <c r="PIO225" s="715"/>
      <c r="PIP225" s="716"/>
      <c r="PIQ225" s="716"/>
      <c r="PIR225" s="716"/>
      <c r="PIS225" s="716"/>
      <c r="PIT225" s="717"/>
      <c r="PIU225" s="715"/>
      <c r="PIV225" s="716"/>
      <c r="PIW225" s="716"/>
      <c r="PIX225" s="716"/>
      <c r="PIY225" s="716"/>
      <c r="PIZ225" s="717"/>
      <c r="PJA225" s="715"/>
      <c r="PJB225" s="716"/>
      <c r="PJC225" s="716"/>
      <c r="PJD225" s="716"/>
      <c r="PJE225" s="716"/>
      <c r="PJF225" s="717"/>
      <c r="PJG225" s="715"/>
      <c r="PJH225" s="716"/>
      <c r="PJI225" s="716"/>
      <c r="PJJ225" s="716"/>
      <c r="PJK225" s="716"/>
      <c r="PJL225" s="717"/>
      <c r="PJM225" s="715"/>
      <c r="PJN225" s="716"/>
      <c r="PJO225" s="716"/>
      <c r="PJP225" s="716"/>
      <c r="PJQ225" s="716"/>
      <c r="PJR225" s="717"/>
      <c r="PJS225" s="715"/>
      <c r="PJT225" s="716"/>
      <c r="PJU225" s="716"/>
      <c r="PJV225" s="716"/>
      <c r="PJW225" s="716"/>
      <c r="PJX225" s="717"/>
      <c r="PJY225" s="715"/>
      <c r="PJZ225" s="716"/>
      <c r="PKA225" s="716"/>
      <c r="PKB225" s="716"/>
      <c r="PKC225" s="716"/>
      <c r="PKD225" s="717"/>
      <c r="PKE225" s="715"/>
      <c r="PKF225" s="716"/>
      <c r="PKG225" s="716"/>
      <c r="PKH225" s="716"/>
      <c r="PKI225" s="716"/>
      <c r="PKJ225" s="717"/>
      <c r="PKK225" s="715"/>
      <c r="PKL225" s="716"/>
      <c r="PKM225" s="716"/>
      <c r="PKN225" s="716"/>
      <c r="PKO225" s="716"/>
      <c r="PKP225" s="717"/>
      <c r="PKQ225" s="715"/>
      <c r="PKR225" s="716"/>
      <c r="PKS225" s="716"/>
      <c r="PKT225" s="716"/>
      <c r="PKU225" s="716"/>
      <c r="PKV225" s="717"/>
      <c r="PKW225" s="715"/>
      <c r="PKX225" s="716"/>
      <c r="PKY225" s="716"/>
      <c r="PKZ225" s="716"/>
      <c r="PLA225" s="716"/>
      <c r="PLB225" s="717"/>
      <c r="PLC225" s="715"/>
      <c r="PLD225" s="716"/>
      <c r="PLE225" s="716"/>
      <c r="PLF225" s="716"/>
      <c r="PLG225" s="716"/>
      <c r="PLH225" s="717"/>
      <c r="PLI225" s="715"/>
      <c r="PLJ225" s="716"/>
      <c r="PLK225" s="716"/>
      <c r="PLL225" s="716"/>
      <c r="PLM225" s="716"/>
      <c r="PLN225" s="717"/>
      <c r="PLO225" s="715"/>
      <c r="PLP225" s="716"/>
      <c r="PLQ225" s="716"/>
      <c r="PLR225" s="716"/>
      <c r="PLS225" s="716"/>
      <c r="PLT225" s="717"/>
      <c r="PLU225" s="715"/>
      <c r="PLV225" s="716"/>
      <c r="PLW225" s="716"/>
      <c r="PLX225" s="716"/>
      <c r="PLY225" s="716"/>
      <c r="PLZ225" s="717"/>
      <c r="PMA225" s="715"/>
      <c r="PMB225" s="716"/>
      <c r="PMC225" s="716"/>
      <c r="PMD225" s="716"/>
      <c r="PME225" s="716"/>
      <c r="PMF225" s="717"/>
      <c r="PMG225" s="715"/>
      <c r="PMH225" s="716"/>
      <c r="PMI225" s="716"/>
      <c r="PMJ225" s="716"/>
      <c r="PMK225" s="716"/>
      <c r="PML225" s="717"/>
      <c r="PMM225" s="715"/>
      <c r="PMN225" s="716"/>
      <c r="PMO225" s="716"/>
      <c r="PMP225" s="716"/>
      <c r="PMQ225" s="716"/>
      <c r="PMR225" s="717"/>
      <c r="PMS225" s="715"/>
      <c r="PMT225" s="716"/>
      <c r="PMU225" s="716"/>
      <c r="PMV225" s="716"/>
      <c r="PMW225" s="716"/>
      <c r="PMX225" s="717"/>
      <c r="PMY225" s="715"/>
      <c r="PMZ225" s="716"/>
      <c r="PNA225" s="716"/>
      <c r="PNB225" s="716"/>
      <c r="PNC225" s="716"/>
      <c r="PND225" s="717"/>
      <c r="PNE225" s="715"/>
      <c r="PNF225" s="716"/>
      <c r="PNG225" s="716"/>
      <c r="PNH225" s="716"/>
      <c r="PNI225" s="716"/>
      <c r="PNJ225" s="717"/>
      <c r="PNK225" s="715"/>
      <c r="PNL225" s="716"/>
      <c r="PNM225" s="716"/>
      <c r="PNN225" s="716"/>
      <c r="PNO225" s="716"/>
      <c r="PNP225" s="717"/>
      <c r="PNQ225" s="715"/>
      <c r="PNR225" s="716"/>
      <c r="PNS225" s="716"/>
      <c r="PNT225" s="716"/>
      <c r="PNU225" s="716"/>
      <c r="PNV225" s="717"/>
      <c r="PNW225" s="715"/>
      <c r="PNX225" s="716"/>
      <c r="PNY225" s="716"/>
      <c r="PNZ225" s="716"/>
      <c r="POA225" s="716"/>
      <c r="POB225" s="717"/>
      <c r="POC225" s="715"/>
      <c r="POD225" s="716"/>
      <c r="POE225" s="716"/>
      <c r="POF225" s="716"/>
      <c r="POG225" s="716"/>
      <c r="POH225" s="717"/>
      <c r="POI225" s="715"/>
      <c r="POJ225" s="716"/>
      <c r="POK225" s="716"/>
      <c r="POL225" s="716"/>
      <c r="POM225" s="716"/>
      <c r="PON225" s="717"/>
      <c r="POO225" s="715"/>
      <c r="POP225" s="716"/>
      <c r="POQ225" s="716"/>
      <c r="POR225" s="716"/>
      <c r="POS225" s="716"/>
      <c r="POT225" s="717"/>
      <c r="POU225" s="715"/>
      <c r="POV225" s="716"/>
      <c r="POW225" s="716"/>
      <c r="POX225" s="716"/>
      <c r="POY225" s="716"/>
      <c r="POZ225" s="717"/>
      <c r="PPA225" s="715"/>
      <c r="PPB225" s="716"/>
      <c r="PPC225" s="716"/>
      <c r="PPD225" s="716"/>
      <c r="PPE225" s="716"/>
      <c r="PPF225" s="717"/>
      <c r="PPG225" s="715"/>
      <c r="PPH225" s="716"/>
      <c r="PPI225" s="716"/>
      <c r="PPJ225" s="716"/>
      <c r="PPK225" s="716"/>
      <c r="PPL225" s="717"/>
      <c r="PPM225" s="715"/>
      <c r="PPN225" s="716"/>
      <c r="PPO225" s="716"/>
      <c r="PPP225" s="716"/>
      <c r="PPQ225" s="716"/>
      <c r="PPR225" s="717"/>
      <c r="PPS225" s="715"/>
      <c r="PPT225" s="716"/>
      <c r="PPU225" s="716"/>
      <c r="PPV225" s="716"/>
      <c r="PPW225" s="716"/>
      <c r="PPX225" s="717"/>
      <c r="PPY225" s="715"/>
      <c r="PPZ225" s="716"/>
      <c r="PQA225" s="716"/>
      <c r="PQB225" s="716"/>
      <c r="PQC225" s="716"/>
      <c r="PQD225" s="717"/>
      <c r="PQE225" s="715"/>
      <c r="PQF225" s="716"/>
      <c r="PQG225" s="716"/>
      <c r="PQH225" s="716"/>
      <c r="PQI225" s="716"/>
      <c r="PQJ225" s="717"/>
      <c r="PQK225" s="715"/>
      <c r="PQL225" s="716"/>
      <c r="PQM225" s="716"/>
      <c r="PQN225" s="716"/>
      <c r="PQO225" s="716"/>
      <c r="PQP225" s="717"/>
      <c r="PQQ225" s="715"/>
      <c r="PQR225" s="716"/>
      <c r="PQS225" s="716"/>
      <c r="PQT225" s="716"/>
      <c r="PQU225" s="716"/>
      <c r="PQV225" s="717"/>
      <c r="PQW225" s="715"/>
      <c r="PQX225" s="716"/>
      <c r="PQY225" s="716"/>
      <c r="PQZ225" s="716"/>
      <c r="PRA225" s="716"/>
      <c r="PRB225" s="717"/>
      <c r="PRC225" s="715"/>
      <c r="PRD225" s="716"/>
      <c r="PRE225" s="716"/>
      <c r="PRF225" s="716"/>
      <c r="PRG225" s="716"/>
      <c r="PRH225" s="717"/>
      <c r="PRI225" s="715"/>
      <c r="PRJ225" s="716"/>
      <c r="PRK225" s="716"/>
      <c r="PRL225" s="716"/>
      <c r="PRM225" s="716"/>
      <c r="PRN225" s="717"/>
      <c r="PRO225" s="715"/>
      <c r="PRP225" s="716"/>
      <c r="PRQ225" s="716"/>
      <c r="PRR225" s="716"/>
      <c r="PRS225" s="716"/>
      <c r="PRT225" s="717"/>
      <c r="PRU225" s="715"/>
      <c r="PRV225" s="716"/>
      <c r="PRW225" s="716"/>
      <c r="PRX225" s="716"/>
      <c r="PRY225" s="716"/>
      <c r="PRZ225" s="717"/>
      <c r="PSA225" s="715"/>
      <c r="PSB225" s="716"/>
      <c r="PSC225" s="716"/>
      <c r="PSD225" s="716"/>
      <c r="PSE225" s="716"/>
      <c r="PSF225" s="717"/>
      <c r="PSG225" s="715"/>
      <c r="PSH225" s="716"/>
      <c r="PSI225" s="716"/>
      <c r="PSJ225" s="716"/>
      <c r="PSK225" s="716"/>
      <c r="PSL225" s="717"/>
      <c r="PSM225" s="715"/>
      <c r="PSN225" s="716"/>
      <c r="PSO225" s="716"/>
      <c r="PSP225" s="716"/>
      <c r="PSQ225" s="716"/>
      <c r="PSR225" s="717"/>
      <c r="PSS225" s="715"/>
      <c r="PST225" s="716"/>
      <c r="PSU225" s="716"/>
      <c r="PSV225" s="716"/>
      <c r="PSW225" s="716"/>
      <c r="PSX225" s="717"/>
      <c r="PSY225" s="715"/>
      <c r="PSZ225" s="716"/>
      <c r="PTA225" s="716"/>
      <c r="PTB225" s="716"/>
      <c r="PTC225" s="716"/>
      <c r="PTD225" s="717"/>
      <c r="PTE225" s="715"/>
      <c r="PTF225" s="716"/>
      <c r="PTG225" s="716"/>
      <c r="PTH225" s="716"/>
      <c r="PTI225" s="716"/>
      <c r="PTJ225" s="717"/>
      <c r="PTK225" s="715"/>
      <c r="PTL225" s="716"/>
      <c r="PTM225" s="716"/>
      <c r="PTN225" s="716"/>
      <c r="PTO225" s="716"/>
      <c r="PTP225" s="717"/>
      <c r="PTQ225" s="715"/>
      <c r="PTR225" s="716"/>
      <c r="PTS225" s="716"/>
      <c r="PTT225" s="716"/>
      <c r="PTU225" s="716"/>
      <c r="PTV225" s="717"/>
      <c r="PTW225" s="715"/>
      <c r="PTX225" s="716"/>
      <c r="PTY225" s="716"/>
      <c r="PTZ225" s="716"/>
      <c r="PUA225" s="716"/>
      <c r="PUB225" s="717"/>
      <c r="PUC225" s="715"/>
      <c r="PUD225" s="716"/>
      <c r="PUE225" s="716"/>
      <c r="PUF225" s="716"/>
      <c r="PUG225" s="716"/>
      <c r="PUH225" s="717"/>
      <c r="PUI225" s="715"/>
      <c r="PUJ225" s="716"/>
      <c r="PUK225" s="716"/>
      <c r="PUL225" s="716"/>
      <c r="PUM225" s="716"/>
      <c r="PUN225" s="717"/>
      <c r="PUO225" s="715"/>
      <c r="PUP225" s="716"/>
      <c r="PUQ225" s="716"/>
      <c r="PUR225" s="716"/>
      <c r="PUS225" s="716"/>
      <c r="PUT225" s="717"/>
      <c r="PUU225" s="715"/>
      <c r="PUV225" s="716"/>
      <c r="PUW225" s="716"/>
      <c r="PUX225" s="716"/>
      <c r="PUY225" s="716"/>
      <c r="PUZ225" s="717"/>
      <c r="PVA225" s="715"/>
      <c r="PVB225" s="716"/>
      <c r="PVC225" s="716"/>
      <c r="PVD225" s="716"/>
      <c r="PVE225" s="716"/>
      <c r="PVF225" s="717"/>
      <c r="PVG225" s="715"/>
      <c r="PVH225" s="716"/>
      <c r="PVI225" s="716"/>
      <c r="PVJ225" s="716"/>
      <c r="PVK225" s="716"/>
      <c r="PVL225" s="717"/>
      <c r="PVM225" s="715"/>
      <c r="PVN225" s="716"/>
      <c r="PVO225" s="716"/>
      <c r="PVP225" s="716"/>
      <c r="PVQ225" s="716"/>
      <c r="PVR225" s="717"/>
      <c r="PVS225" s="715"/>
      <c r="PVT225" s="716"/>
      <c r="PVU225" s="716"/>
      <c r="PVV225" s="716"/>
      <c r="PVW225" s="716"/>
      <c r="PVX225" s="717"/>
      <c r="PVY225" s="715"/>
      <c r="PVZ225" s="716"/>
      <c r="PWA225" s="716"/>
      <c r="PWB225" s="716"/>
      <c r="PWC225" s="716"/>
      <c r="PWD225" s="717"/>
      <c r="PWE225" s="715"/>
      <c r="PWF225" s="716"/>
      <c r="PWG225" s="716"/>
      <c r="PWH225" s="716"/>
      <c r="PWI225" s="716"/>
      <c r="PWJ225" s="717"/>
      <c r="PWK225" s="715"/>
      <c r="PWL225" s="716"/>
      <c r="PWM225" s="716"/>
      <c r="PWN225" s="716"/>
      <c r="PWO225" s="716"/>
      <c r="PWP225" s="717"/>
      <c r="PWQ225" s="715"/>
      <c r="PWR225" s="716"/>
      <c r="PWS225" s="716"/>
      <c r="PWT225" s="716"/>
      <c r="PWU225" s="716"/>
      <c r="PWV225" s="717"/>
      <c r="PWW225" s="715"/>
      <c r="PWX225" s="716"/>
      <c r="PWY225" s="716"/>
      <c r="PWZ225" s="716"/>
      <c r="PXA225" s="716"/>
      <c r="PXB225" s="717"/>
      <c r="PXC225" s="715"/>
      <c r="PXD225" s="716"/>
      <c r="PXE225" s="716"/>
      <c r="PXF225" s="716"/>
      <c r="PXG225" s="716"/>
      <c r="PXH225" s="717"/>
      <c r="PXI225" s="715"/>
      <c r="PXJ225" s="716"/>
      <c r="PXK225" s="716"/>
      <c r="PXL225" s="716"/>
      <c r="PXM225" s="716"/>
      <c r="PXN225" s="717"/>
      <c r="PXO225" s="715"/>
      <c r="PXP225" s="716"/>
      <c r="PXQ225" s="716"/>
      <c r="PXR225" s="716"/>
      <c r="PXS225" s="716"/>
      <c r="PXT225" s="717"/>
      <c r="PXU225" s="715"/>
      <c r="PXV225" s="716"/>
      <c r="PXW225" s="716"/>
      <c r="PXX225" s="716"/>
      <c r="PXY225" s="716"/>
      <c r="PXZ225" s="717"/>
      <c r="PYA225" s="715"/>
      <c r="PYB225" s="716"/>
      <c r="PYC225" s="716"/>
      <c r="PYD225" s="716"/>
      <c r="PYE225" s="716"/>
      <c r="PYF225" s="717"/>
      <c r="PYG225" s="715"/>
      <c r="PYH225" s="716"/>
      <c r="PYI225" s="716"/>
      <c r="PYJ225" s="716"/>
      <c r="PYK225" s="716"/>
      <c r="PYL225" s="717"/>
      <c r="PYM225" s="715"/>
      <c r="PYN225" s="716"/>
      <c r="PYO225" s="716"/>
      <c r="PYP225" s="716"/>
      <c r="PYQ225" s="716"/>
      <c r="PYR225" s="717"/>
      <c r="PYS225" s="715"/>
      <c r="PYT225" s="716"/>
      <c r="PYU225" s="716"/>
      <c r="PYV225" s="716"/>
      <c r="PYW225" s="716"/>
      <c r="PYX225" s="717"/>
      <c r="PYY225" s="715"/>
      <c r="PYZ225" s="716"/>
      <c r="PZA225" s="716"/>
      <c r="PZB225" s="716"/>
      <c r="PZC225" s="716"/>
      <c r="PZD225" s="717"/>
      <c r="PZE225" s="715"/>
      <c r="PZF225" s="716"/>
      <c r="PZG225" s="716"/>
      <c r="PZH225" s="716"/>
      <c r="PZI225" s="716"/>
      <c r="PZJ225" s="717"/>
      <c r="PZK225" s="715"/>
      <c r="PZL225" s="716"/>
      <c r="PZM225" s="716"/>
      <c r="PZN225" s="716"/>
      <c r="PZO225" s="716"/>
      <c r="PZP225" s="717"/>
      <c r="PZQ225" s="715"/>
      <c r="PZR225" s="716"/>
      <c r="PZS225" s="716"/>
      <c r="PZT225" s="716"/>
      <c r="PZU225" s="716"/>
      <c r="PZV225" s="717"/>
      <c r="PZW225" s="715"/>
      <c r="PZX225" s="716"/>
      <c r="PZY225" s="716"/>
      <c r="PZZ225" s="716"/>
      <c r="QAA225" s="716"/>
      <c r="QAB225" s="717"/>
      <c r="QAC225" s="715"/>
      <c r="QAD225" s="716"/>
      <c r="QAE225" s="716"/>
      <c r="QAF225" s="716"/>
      <c r="QAG225" s="716"/>
      <c r="QAH225" s="717"/>
      <c r="QAI225" s="715"/>
      <c r="QAJ225" s="716"/>
      <c r="QAK225" s="716"/>
      <c r="QAL225" s="716"/>
      <c r="QAM225" s="716"/>
      <c r="QAN225" s="717"/>
      <c r="QAO225" s="715"/>
      <c r="QAP225" s="716"/>
      <c r="QAQ225" s="716"/>
      <c r="QAR225" s="716"/>
      <c r="QAS225" s="716"/>
      <c r="QAT225" s="717"/>
      <c r="QAU225" s="715"/>
      <c r="QAV225" s="716"/>
      <c r="QAW225" s="716"/>
      <c r="QAX225" s="716"/>
      <c r="QAY225" s="716"/>
      <c r="QAZ225" s="717"/>
      <c r="QBA225" s="715"/>
      <c r="QBB225" s="716"/>
      <c r="QBC225" s="716"/>
      <c r="QBD225" s="716"/>
      <c r="QBE225" s="716"/>
      <c r="QBF225" s="717"/>
      <c r="QBG225" s="715"/>
      <c r="QBH225" s="716"/>
      <c r="QBI225" s="716"/>
      <c r="QBJ225" s="716"/>
      <c r="QBK225" s="716"/>
      <c r="QBL225" s="717"/>
      <c r="QBM225" s="715"/>
      <c r="QBN225" s="716"/>
      <c r="QBO225" s="716"/>
      <c r="QBP225" s="716"/>
      <c r="QBQ225" s="716"/>
      <c r="QBR225" s="717"/>
      <c r="QBS225" s="715"/>
      <c r="QBT225" s="716"/>
      <c r="QBU225" s="716"/>
      <c r="QBV225" s="716"/>
      <c r="QBW225" s="716"/>
      <c r="QBX225" s="717"/>
      <c r="QBY225" s="715"/>
      <c r="QBZ225" s="716"/>
      <c r="QCA225" s="716"/>
      <c r="QCB225" s="716"/>
      <c r="QCC225" s="716"/>
      <c r="QCD225" s="717"/>
      <c r="QCE225" s="715"/>
      <c r="QCF225" s="716"/>
      <c r="QCG225" s="716"/>
      <c r="QCH225" s="716"/>
      <c r="QCI225" s="716"/>
      <c r="QCJ225" s="717"/>
      <c r="QCK225" s="715"/>
      <c r="QCL225" s="716"/>
      <c r="QCM225" s="716"/>
      <c r="QCN225" s="716"/>
      <c r="QCO225" s="716"/>
      <c r="QCP225" s="717"/>
      <c r="QCQ225" s="715"/>
      <c r="QCR225" s="716"/>
      <c r="QCS225" s="716"/>
      <c r="QCT225" s="716"/>
      <c r="QCU225" s="716"/>
      <c r="QCV225" s="717"/>
      <c r="QCW225" s="715"/>
      <c r="QCX225" s="716"/>
      <c r="QCY225" s="716"/>
      <c r="QCZ225" s="716"/>
      <c r="QDA225" s="716"/>
      <c r="QDB225" s="717"/>
      <c r="QDC225" s="715"/>
      <c r="QDD225" s="716"/>
      <c r="QDE225" s="716"/>
      <c r="QDF225" s="716"/>
      <c r="QDG225" s="716"/>
      <c r="QDH225" s="717"/>
      <c r="QDI225" s="715"/>
      <c r="QDJ225" s="716"/>
      <c r="QDK225" s="716"/>
      <c r="QDL225" s="716"/>
      <c r="QDM225" s="716"/>
      <c r="QDN225" s="717"/>
      <c r="QDO225" s="715"/>
      <c r="QDP225" s="716"/>
      <c r="QDQ225" s="716"/>
      <c r="QDR225" s="716"/>
      <c r="QDS225" s="716"/>
      <c r="QDT225" s="717"/>
      <c r="QDU225" s="715"/>
      <c r="QDV225" s="716"/>
      <c r="QDW225" s="716"/>
      <c r="QDX225" s="716"/>
      <c r="QDY225" s="716"/>
      <c r="QDZ225" s="717"/>
      <c r="QEA225" s="715"/>
      <c r="QEB225" s="716"/>
      <c r="QEC225" s="716"/>
      <c r="QED225" s="716"/>
      <c r="QEE225" s="716"/>
      <c r="QEF225" s="717"/>
      <c r="QEG225" s="715"/>
      <c r="QEH225" s="716"/>
      <c r="QEI225" s="716"/>
      <c r="QEJ225" s="716"/>
      <c r="QEK225" s="716"/>
      <c r="QEL225" s="717"/>
      <c r="QEM225" s="715"/>
      <c r="QEN225" s="716"/>
      <c r="QEO225" s="716"/>
      <c r="QEP225" s="716"/>
      <c r="QEQ225" s="716"/>
      <c r="QER225" s="717"/>
      <c r="QES225" s="715"/>
      <c r="QET225" s="716"/>
      <c r="QEU225" s="716"/>
      <c r="QEV225" s="716"/>
      <c r="QEW225" s="716"/>
      <c r="QEX225" s="717"/>
      <c r="QEY225" s="715"/>
      <c r="QEZ225" s="716"/>
      <c r="QFA225" s="716"/>
      <c r="QFB225" s="716"/>
      <c r="QFC225" s="716"/>
      <c r="QFD225" s="717"/>
      <c r="QFE225" s="715"/>
      <c r="QFF225" s="716"/>
      <c r="QFG225" s="716"/>
      <c r="QFH225" s="716"/>
      <c r="QFI225" s="716"/>
      <c r="QFJ225" s="717"/>
      <c r="QFK225" s="715"/>
      <c r="QFL225" s="716"/>
      <c r="QFM225" s="716"/>
      <c r="QFN225" s="716"/>
      <c r="QFO225" s="716"/>
      <c r="QFP225" s="717"/>
      <c r="QFQ225" s="715"/>
      <c r="QFR225" s="716"/>
      <c r="QFS225" s="716"/>
      <c r="QFT225" s="716"/>
      <c r="QFU225" s="716"/>
      <c r="QFV225" s="717"/>
      <c r="QFW225" s="715"/>
      <c r="QFX225" s="716"/>
      <c r="QFY225" s="716"/>
      <c r="QFZ225" s="716"/>
      <c r="QGA225" s="716"/>
      <c r="QGB225" s="717"/>
      <c r="QGC225" s="715"/>
      <c r="QGD225" s="716"/>
      <c r="QGE225" s="716"/>
      <c r="QGF225" s="716"/>
      <c r="QGG225" s="716"/>
      <c r="QGH225" s="717"/>
      <c r="QGI225" s="715"/>
      <c r="QGJ225" s="716"/>
      <c r="QGK225" s="716"/>
      <c r="QGL225" s="716"/>
      <c r="QGM225" s="716"/>
      <c r="QGN225" s="717"/>
      <c r="QGO225" s="715"/>
      <c r="QGP225" s="716"/>
      <c r="QGQ225" s="716"/>
      <c r="QGR225" s="716"/>
      <c r="QGS225" s="716"/>
      <c r="QGT225" s="717"/>
      <c r="QGU225" s="715"/>
      <c r="QGV225" s="716"/>
      <c r="QGW225" s="716"/>
      <c r="QGX225" s="716"/>
      <c r="QGY225" s="716"/>
      <c r="QGZ225" s="717"/>
      <c r="QHA225" s="715"/>
      <c r="QHB225" s="716"/>
      <c r="QHC225" s="716"/>
      <c r="QHD225" s="716"/>
      <c r="QHE225" s="716"/>
      <c r="QHF225" s="717"/>
      <c r="QHG225" s="715"/>
      <c r="QHH225" s="716"/>
      <c r="QHI225" s="716"/>
      <c r="QHJ225" s="716"/>
      <c r="QHK225" s="716"/>
      <c r="QHL225" s="717"/>
      <c r="QHM225" s="715"/>
      <c r="QHN225" s="716"/>
      <c r="QHO225" s="716"/>
      <c r="QHP225" s="716"/>
      <c r="QHQ225" s="716"/>
      <c r="QHR225" s="717"/>
      <c r="QHS225" s="715"/>
      <c r="QHT225" s="716"/>
      <c r="QHU225" s="716"/>
      <c r="QHV225" s="716"/>
      <c r="QHW225" s="716"/>
      <c r="QHX225" s="717"/>
      <c r="QHY225" s="715"/>
      <c r="QHZ225" s="716"/>
      <c r="QIA225" s="716"/>
      <c r="QIB225" s="716"/>
      <c r="QIC225" s="716"/>
      <c r="QID225" s="717"/>
      <c r="QIE225" s="715"/>
      <c r="QIF225" s="716"/>
      <c r="QIG225" s="716"/>
      <c r="QIH225" s="716"/>
      <c r="QII225" s="716"/>
      <c r="QIJ225" s="717"/>
      <c r="QIK225" s="715"/>
      <c r="QIL225" s="716"/>
      <c r="QIM225" s="716"/>
      <c r="QIN225" s="716"/>
      <c r="QIO225" s="716"/>
      <c r="QIP225" s="717"/>
      <c r="QIQ225" s="715"/>
      <c r="QIR225" s="716"/>
      <c r="QIS225" s="716"/>
      <c r="QIT225" s="716"/>
      <c r="QIU225" s="716"/>
      <c r="QIV225" s="717"/>
      <c r="QIW225" s="715"/>
      <c r="QIX225" s="716"/>
      <c r="QIY225" s="716"/>
      <c r="QIZ225" s="716"/>
      <c r="QJA225" s="716"/>
      <c r="QJB225" s="717"/>
      <c r="QJC225" s="715"/>
      <c r="QJD225" s="716"/>
      <c r="QJE225" s="716"/>
      <c r="QJF225" s="716"/>
      <c r="QJG225" s="716"/>
      <c r="QJH225" s="717"/>
      <c r="QJI225" s="715"/>
      <c r="QJJ225" s="716"/>
      <c r="QJK225" s="716"/>
      <c r="QJL225" s="716"/>
      <c r="QJM225" s="716"/>
      <c r="QJN225" s="717"/>
      <c r="QJO225" s="715"/>
      <c r="QJP225" s="716"/>
      <c r="QJQ225" s="716"/>
      <c r="QJR225" s="716"/>
      <c r="QJS225" s="716"/>
      <c r="QJT225" s="717"/>
      <c r="QJU225" s="715"/>
      <c r="QJV225" s="716"/>
      <c r="QJW225" s="716"/>
      <c r="QJX225" s="716"/>
      <c r="QJY225" s="716"/>
      <c r="QJZ225" s="717"/>
      <c r="QKA225" s="715"/>
      <c r="QKB225" s="716"/>
      <c r="QKC225" s="716"/>
      <c r="QKD225" s="716"/>
      <c r="QKE225" s="716"/>
      <c r="QKF225" s="717"/>
      <c r="QKG225" s="715"/>
      <c r="QKH225" s="716"/>
      <c r="QKI225" s="716"/>
      <c r="QKJ225" s="716"/>
      <c r="QKK225" s="716"/>
      <c r="QKL225" s="717"/>
      <c r="QKM225" s="715"/>
      <c r="QKN225" s="716"/>
      <c r="QKO225" s="716"/>
      <c r="QKP225" s="716"/>
      <c r="QKQ225" s="716"/>
      <c r="QKR225" s="717"/>
      <c r="QKS225" s="715"/>
      <c r="QKT225" s="716"/>
      <c r="QKU225" s="716"/>
      <c r="QKV225" s="716"/>
      <c r="QKW225" s="716"/>
      <c r="QKX225" s="717"/>
      <c r="QKY225" s="715"/>
      <c r="QKZ225" s="716"/>
      <c r="QLA225" s="716"/>
      <c r="QLB225" s="716"/>
      <c r="QLC225" s="716"/>
      <c r="QLD225" s="717"/>
      <c r="QLE225" s="715"/>
      <c r="QLF225" s="716"/>
      <c r="QLG225" s="716"/>
      <c r="QLH225" s="716"/>
      <c r="QLI225" s="716"/>
      <c r="QLJ225" s="717"/>
      <c r="QLK225" s="715"/>
      <c r="QLL225" s="716"/>
      <c r="QLM225" s="716"/>
      <c r="QLN225" s="716"/>
      <c r="QLO225" s="716"/>
      <c r="QLP225" s="717"/>
      <c r="QLQ225" s="715"/>
      <c r="QLR225" s="716"/>
      <c r="QLS225" s="716"/>
      <c r="QLT225" s="716"/>
      <c r="QLU225" s="716"/>
      <c r="QLV225" s="717"/>
      <c r="QLW225" s="715"/>
      <c r="QLX225" s="716"/>
      <c r="QLY225" s="716"/>
      <c r="QLZ225" s="716"/>
      <c r="QMA225" s="716"/>
      <c r="QMB225" s="717"/>
      <c r="QMC225" s="715"/>
      <c r="QMD225" s="716"/>
      <c r="QME225" s="716"/>
      <c r="QMF225" s="716"/>
      <c r="QMG225" s="716"/>
      <c r="QMH225" s="717"/>
      <c r="QMI225" s="715"/>
      <c r="QMJ225" s="716"/>
      <c r="QMK225" s="716"/>
      <c r="QML225" s="716"/>
      <c r="QMM225" s="716"/>
      <c r="QMN225" s="717"/>
      <c r="QMO225" s="715"/>
      <c r="QMP225" s="716"/>
      <c r="QMQ225" s="716"/>
      <c r="QMR225" s="716"/>
      <c r="QMS225" s="716"/>
      <c r="QMT225" s="717"/>
      <c r="QMU225" s="715"/>
      <c r="QMV225" s="716"/>
      <c r="QMW225" s="716"/>
      <c r="QMX225" s="716"/>
      <c r="QMY225" s="716"/>
      <c r="QMZ225" s="717"/>
      <c r="QNA225" s="715"/>
      <c r="QNB225" s="716"/>
      <c r="QNC225" s="716"/>
      <c r="QND225" s="716"/>
      <c r="QNE225" s="716"/>
      <c r="QNF225" s="717"/>
      <c r="QNG225" s="715"/>
      <c r="QNH225" s="716"/>
      <c r="QNI225" s="716"/>
      <c r="QNJ225" s="716"/>
      <c r="QNK225" s="716"/>
      <c r="QNL225" s="717"/>
      <c r="QNM225" s="715"/>
      <c r="QNN225" s="716"/>
      <c r="QNO225" s="716"/>
      <c r="QNP225" s="716"/>
      <c r="QNQ225" s="716"/>
      <c r="QNR225" s="717"/>
      <c r="QNS225" s="715"/>
      <c r="QNT225" s="716"/>
      <c r="QNU225" s="716"/>
      <c r="QNV225" s="716"/>
      <c r="QNW225" s="716"/>
      <c r="QNX225" s="717"/>
      <c r="QNY225" s="715"/>
      <c r="QNZ225" s="716"/>
      <c r="QOA225" s="716"/>
      <c r="QOB225" s="716"/>
      <c r="QOC225" s="716"/>
      <c r="QOD225" s="717"/>
      <c r="QOE225" s="715"/>
      <c r="QOF225" s="716"/>
      <c r="QOG225" s="716"/>
      <c r="QOH225" s="716"/>
      <c r="QOI225" s="716"/>
      <c r="QOJ225" s="717"/>
      <c r="QOK225" s="715"/>
      <c r="QOL225" s="716"/>
      <c r="QOM225" s="716"/>
      <c r="QON225" s="716"/>
      <c r="QOO225" s="716"/>
      <c r="QOP225" s="717"/>
      <c r="QOQ225" s="715"/>
      <c r="QOR225" s="716"/>
      <c r="QOS225" s="716"/>
      <c r="QOT225" s="716"/>
      <c r="QOU225" s="716"/>
      <c r="QOV225" s="717"/>
      <c r="QOW225" s="715"/>
      <c r="QOX225" s="716"/>
      <c r="QOY225" s="716"/>
      <c r="QOZ225" s="716"/>
      <c r="QPA225" s="716"/>
      <c r="QPB225" s="717"/>
      <c r="QPC225" s="715"/>
      <c r="QPD225" s="716"/>
      <c r="QPE225" s="716"/>
      <c r="QPF225" s="716"/>
      <c r="QPG225" s="716"/>
      <c r="QPH225" s="717"/>
      <c r="QPI225" s="715"/>
      <c r="QPJ225" s="716"/>
      <c r="QPK225" s="716"/>
      <c r="QPL225" s="716"/>
      <c r="QPM225" s="716"/>
      <c r="QPN225" s="717"/>
      <c r="QPO225" s="715"/>
      <c r="QPP225" s="716"/>
      <c r="QPQ225" s="716"/>
      <c r="QPR225" s="716"/>
      <c r="QPS225" s="716"/>
      <c r="QPT225" s="717"/>
      <c r="QPU225" s="715"/>
      <c r="QPV225" s="716"/>
      <c r="QPW225" s="716"/>
      <c r="QPX225" s="716"/>
      <c r="QPY225" s="716"/>
      <c r="QPZ225" s="717"/>
      <c r="QQA225" s="715"/>
      <c r="QQB225" s="716"/>
      <c r="QQC225" s="716"/>
      <c r="QQD225" s="716"/>
      <c r="QQE225" s="716"/>
      <c r="QQF225" s="717"/>
      <c r="QQG225" s="715"/>
      <c r="QQH225" s="716"/>
      <c r="QQI225" s="716"/>
      <c r="QQJ225" s="716"/>
      <c r="QQK225" s="716"/>
      <c r="QQL225" s="717"/>
      <c r="QQM225" s="715"/>
      <c r="QQN225" s="716"/>
      <c r="QQO225" s="716"/>
      <c r="QQP225" s="716"/>
      <c r="QQQ225" s="716"/>
      <c r="QQR225" s="717"/>
      <c r="QQS225" s="715"/>
      <c r="QQT225" s="716"/>
      <c r="QQU225" s="716"/>
      <c r="QQV225" s="716"/>
      <c r="QQW225" s="716"/>
      <c r="QQX225" s="717"/>
      <c r="QQY225" s="715"/>
      <c r="QQZ225" s="716"/>
      <c r="QRA225" s="716"/>
      <c r="QRB225" s="716"/>
      <c r="QRC225" s="716"/>
      <c r="QRD225" s="717"/>
      <c r="QRE225" s="715"/>
      <c r="QRF225" s="716"/>
      <c r="QRG225" s="716"/>
      <c r="QRH225" s="716"/>
      <c r="QRI225" s="716"/>
      <c r="QRJ225" s="717"/>
      <c r="QRK225" s="715"/>
      <c r="QRL225" s="716"/>
      <c r="QRM225" s="716"/>
      <c r="QRN225" s="716"/>
      <c r="QRO225" s="716"/>
      <c r="QRP225" s="717"/>
      <c r="QRQ225" s="715"/>
      <c r="QRR225" s="716"/>
      <c r="QRS225" s="716"/>
      <c r="QRT225" s="716"/>
      <c r="QRU225" s="716"/>
      <c r="QRV225" s="717"/>
      <c r="QRW225" s="715"/>
      <c r="QRX225" s="716"/>
      <c r="QRY225" s="716"/>
      <c r="QRZ225" s="716"/>
      <c r="QSA225" s="716"/>
      <c r="QSB225" s="717"/>
      <c r="QSC225" s="715"/>
      <c r="QSD225" s="716"/>
      <c r="QSE225" s="716"/>
      <c r="QSF225" s="716"/>
      <c r="QSG225" s="716"/>
      <c r="QSH225" s="717"/>
      <c r="QSI225" s="715"/>
      <c r="QSJ225" s="716"/>
      <c r="QSK225" s="716"/>
      <c r="QSL225" s="716"/>
      <c r="QSM225" s="716"/>
      <c r="QSN225" s="717"/>
      <c r="QSO225" s="715"/>
      <c r="QSP225" s="716"/>
      <c r="QSQ225" s="716"/>
      <c r="QSR225" s="716"/>
      <c r="QSS225" s="716"/>
      <c r="QST225" s="717"/>
      <c r="QSU225" s="715"/>
      <c r="QSV225" s="716"/>
      <c r="QSW225" s="716"/>
      <c r="QSX225" s="716"/>
      <c r="QSY225" s="716"/>
      <c r="QSZ225" s="717"/>
      <c r="QTA225" s="715"/>
      <c r="QTB225" s="716"/>
      <c r="QTC225" s="716"/>
      <c r="QTD225" s="716"/>
      <c r="QTE225" s="716"/>
      <c r="QTF225" s="717"/>
      <c r="QTG225" s="715"/>
      <c r="QTH225" s="716"/>
      <c r="QTI225" s="716"/>
      <c r="QTJ225" s="716"/>
      <c r="QTK225" s="716"/>
      <c r="QTL225" s="717"/>
      <c r="QTM225" s="715"/>
      <c r="QTN225" s="716"/>
      <c r="QTO225" s="716"/>
      <c r="QTP225" s="716"/>
      <c r="QTQ225" s="716"/>
      <c r="QTR225" s="717"/>
      <c r="QTS225" s="715"/>
      <c r="QTT225" s="716"/>
      <c r="QTU225" s="716"/>
      <c r="QTV225" s="716"/>
      <c r="QTW225" s="716"/>
      <c r="QTX225" s="717"/>
      <c r="QTY225" s="715"/>
      <c r="QTZ225" s="716"/>
      <c r="QUA225" s="716"/>
      <c r="QUB225" s="716"/>
      <c r="QUC225" s="716"/>
      <c r="QUD225" s="717"/>
      <c r="QUE225" s="715"/>
      <c r="QUF225" s="716"/>
      <c r="QUG225" s="716"/>
      <c r="QUH225" s="716"/>
      <c r="QUI225" s="716"/>
      <c r="QUJ225" s="717"/>
      <c r="QUK225" s="715"/>
      <c r="QUL225" s="716"/>
      <c r="QUM225" s="716"/>
      <c r="QUN225" s="716"/>
      <c r="QUO225" s="716"/>
      <c r="QUP225" s="717"/>
      <c r="QUQ225" s="715"/>
      <c r="QUR225" s="716"/>
      <c r="QUS225" s="716"/>
      <c r="QUT225" s="716"/>
      <c r="QUU225" s="716"/>
      <c r="QUV225" s="717"/>
      <c r="QUW225" s="715"/>
      <c r="QUX225" s="716"/>
      <c r="QUY225" s="716"/>
      <c r="QUZ225" s="716"/>
      <c r="QVA225" s="716"/>
      <c r="QVB225" s="717"/>
      <c r="QVC225" s="715"/>
      <c r="QVD225" s="716"/>
      <c r="QVE225" s="716"/>
      <c r="QVF225" s="716"/>
      <c r="QVG225" s="716"/>
      <c r="QVH225" s="717"/>
      <c r="QVI225" s="715"/>
      <c r="QVJ225" s="716"/>
      <c r="QVK225" s="716"/>
      <c r="QVL225" s="716"/>
      <c r="QVM225" s="716"/>
      <c r="QVN225" s="717"/>
      <c r="QVO225" s="715"/>
      <c r="QVP225" s="716"/>
      <c r="QVQ225" s="716"/>
      <c r="QVR225" s="716"/>
      <c r="QVS225" s="716"/>
      <c r="QVT225" s="717"/>
      <c r="QVU225" s="715"/>
      <c r="QVV225" s="716"/>
      <c r="QVW225" s="716"/>
      <c r="QVX225" s="716"/>
      <c r="QVY225" s="716"/>
      <c r="QVZ225" s="717"/>
      <c r="QWA225" s="715"/>
      <c r="QWB225" s="716"/>
      <c r="QWC225" s="716"/>
      <c r="QWD225" s="716"/>
      <c r="QWE225" s="716"/>
      <c r="QWF225" s="717"/>
      <c r="QWG225" s="715"/>
      <c r="QWH225" s="716"/>
      <c r="QWI225" s="716"/>
      <c r="QWJ225" s="716"/>
      <c r="QWK225" s="716"/>
      <c r="QWL225" s="717"/>
      <c r="QWM225" s="715"/>
      <c r="QWN225" s="716"/>
      <c r="QWO225" s="716"/>
      <c r="QWP225" s="716"/>
      <c r="QWQ225" s="716"/>
      <c r="QWR225" s="717"/>
      <c r="QWS225" s="715"/>
      <c r="QWT225" s="716"/>
      <c r="QWU225" s="716"/>
      <c r="QWV225" s="716"/>
      <c r="QWW225" s="716"/>
      <c r="QWX225" s="717"/>
      <c r="QWY225" s="715"/>
      <c r="QWZ225" s="716"/>
      <c r="QXA225" s="716"/>
      <c r="QXB225" s="716"/>
      <c r="QXC225" s="716"/>
      <c r="QXD225" s="717"/>
      <c r="QXE225" s="715"/>
      <c r="QXF225" s="716"/>
      <c r="QXG225" s="716"/>
      <c r="QXH225" s="716"/>
      <c r="QXI225" s="716"/>
      <c r="QXJ225" s="717"/>
      <c r="QXK225" s="715"/>
      <c r="QXL225" s="716"/>
      <c r="QXM225" s="716"/>
      <c r="QXN225" s="716"/>
      <c r="QXO225" s="716"/>
      <c r="QXP225" s="717"/>
      <c r="QXQ225" s="715"/>
      <c r="QXR225" s="716"/>
      <c r="QXS225" s="716"/>
      <c r="QXT225" s="716"/>
      <c r="QXU225" s="716"/>
      <c r="QXV225" s="717"/>
      <c r="QXW225" s="715"/>
      <c r="QXX225" s="716"/>
      <c r="QXY225" s="716"/>
      <c r="QXZ225" s="716"/>
      <c r="QYA225" s="716"/>
      <c r="QYB225" s="717"/>
      <c r="QYC225" s="715"/>
      <c r="QYD225" s="716"/>
      <c r="QYE225" s="716"/>
      <c r="QYF225" s="716"/>
      <c r="QYG225" s="716"/>
      <c r="QYH225" s="717"/>
      <c r="QYI225" s="715"/>
      <c r="QYJ225" s="716"/>
      <c r="QYK225" s="716"/>
      <c r="QYL225" s="716"/>
      <c r="QYM225" s="716"/>
      <c r="QYN225" s="717"/>
      <c r="QYO225" s="715"/>
      <c r="QYP225" s="716"/>
      <c r="QYQ225" s="716"/>
      <c r="QYR225" s="716"/>
      <c r="QYS225" s="716"/>
      <c r="QYT225" s="717"/>
      <c r="QYU225" s="715"/>
      <c r="QYV225" s="716"/>
      <c r="QYW225" s="716"/>
      <c r="QYX225" s="716"/>
      <c r="QYY225" s="716"/>
      <c r="QYZ225" s="717"/>
      <c r="QZA225" s="715"/>
      <c r="QZB225" s="716"/>
      <c r="QZC225" s="716"/>
      <c r="QZD225" s="716"/>
      <c r="QZE225" s="716"/>
      <c r="QZF225" s="717"/>
      <c r="QZG225" s="715"/>
      <c r="QZH225" s="716"/>
      <c r="QZI225" s="716"/>
      <c r="QZJ225" s="716"/>
      <c r="QZK225" s="716"/>
      <c r="QZL225" s="717"/>
      <c r="QZM225" s="715"/>
      <c r="QZN225" s="716"/>
      <c r="QZO225" s="716"/>
      <c r="QZP225" s="716"/>
      <c r="QZQ225" s="716"/>
      <c r="QZR225" s="717"/>
      <c r="QZS225" s="715"/>
      <c r="QZT225" s="716"/>
      <c r="QZU225" s="716"/>
      <c r="QZV225" s="716"/>
      <c r="QZW225" s="716"/>
      <c r="QZX225" s="717"/>
      <c r="QZY225" s="715"/>
      <c r="QZZ225" s="716"/>
      <c r="RAA225" s="716"/>
      <c r="RAB225" s="716"/>
      <c r="RAC225" s="716"/>
      <c r="RAD225" s="717"/>
      <c r="RAE225" s="715"/>
      <c r="RAF225" s="716"/>
      <c r="RAG225" s="716"/>
      <c r="RAH225" s="716"/>
      <c r="RAI225" s="716"/>
      <c r="RAJ225" s="717"/>
      <c r="RAK225" s="715"/>
      <c r="RAL225" s="716"/>
      <c r="RAM225" s="716"/>
      <c r="RAN225" s="716"/>
      <c r="RAO225" s="716"/>
      <c r="RAP225" s="717"/>
      <c r="RAQ225" s="715"/>
      <c r="RAR225" s="716"/>
      <c r="RAS225" s="716"/>
      <c r="RAT225" s="716"/>
      <c r="RAU225" s="716"/>
      <c r="RAV225" s="717"/>
      <c r="RAW225" s="715"/>
      <c r="RAX225" s="716"/>
      <c r="RAY225" s="716"/>
      <c r="RAZ225" s="716"/>
      <c r="RBA225" s="716"/>
      <c r="RBB225" s="717"/>
      <c r="RBC225" s="715"/>
      <c r="RBD225" s="716"/>
      <c r="RBE225" s="716"/>
      <c r="RBF225" s="716"/>
      <c r="RBG225" s="716"/>
      <c r="RBH225" s="717"/>
      <c r="RBI225" s="715"/>
      <c r="RBJ225" s="716"/>
      <c r="RBK225" s="716"/>
      <c r="RBL225" s="716"/>
      <c r="RBM225" s="716"/>
      <c r="RBN225" s="717"/>
      <c r="RBO225" s="715"/>
      <c r="RBP225" s="716"/>
      <c r="RBQ225" s="716"/>
      <c r="RBR225" s="716"/>
      <c r="RBS225" s="716"/>
      <c r="RBT225" s="717"/>
      <c r="RBU225" s="715"/>
      <c r="RBV225" s="716"/>
      <c r="RBW225" s="716"/>
      <c r="RBX225" s="716"/>
      <c r="RBY225" s="716"/>
      <c r="RBZ225" s="717"/>
      <c r="RCA225" s="715"/>
      <c r="RCB225" s="716"/>
      <c r="RCC225" s="716"/>
      <c r="RCD225" s="716"/>
      <c r="RCE225" s="716"/>
      <c r="RCF225" s="717"/>
      <c r="RCG225" s="715"/>
      <c r="RCH225" s="716"/>
      <c r="RCI225" s="716"/>
      <c r="RCJ225" s="716"/>
      <c r="RCK225" s="716"/>
      <c r="RCL225" s="717"/>
      <c r="RCM225" s="715"/>
      <c r="RCN225" s="716"/>
      <c r="RCO225" s="716"/>
      <c r="RCP225" s="716"/>
      <c r="RCQ225" s="716"/>
      <c r="RCR225" s="717"/>
      <c r="RCS225" s="715"/>
      <c r="RCT225" s="716"/>
      <c r="RCU225" s="716"/>
      <c r="RCV225" s="716"/>
      <c r="RCW225" s="716"/>
      <c r="RCX225" s="717"/>
      <c r="RCY225" s="715"/>
      <c r="RCZ225" s="716"/>
      <c r="RDA225" s="716"/>
      <c r="RDB225" s="716"/>
      <c r="RDC225" s="716"/>
      <c r="RDD225" s="717"/>
      <c r="RDE225" s="715"/>
      <c r="RDF225" s="716"/>
      <c r="RDG225" s="716"/>
      <c r="RDH225" s="716"/>
      <c r="RDI225" s="716"/>
      <c r="RDJ225" s="717"/>
      <c r="RDK225" s="715"/>
      <c r="RDL225" s="716"/>
      <c r="RDM225" s="716"/>
      <c r="RDN225" s="716"/>
      <c r="RDO225" s="716"/>
      <c r="RDP225" s="717"/>
      <c r="RDQ225" s="715"/>
      <c r="RDR225" s="716"/>
      <c r="RDS225" s="716"/>
      <c r="RDT225" s="716"/>
      <c r="RDU225" s="716"/>
      <c r="RDV225" s="717"/>
      <c r="RDW225" s="715"/>
      <c r="RDX225" s="716"/>
      <c r="RDY225" s="716"/>
      <c r="RDZ225" s="716"/>
      <c r="REA225" s="716"/>
      <c r="REB225" s="717"/>
      <c r="REC225" s="715"/>
      <c r="RED225" s="716"/>
      <c r="REE225" s="716"/>
      <c r="REF225" s="716"/>
      <c r="REG225" s="716"/>
      <c r="REH225" s="717"/>
      <c r="REI225" s="715"/>
      <c r="REJ225" s="716"/>
      <c r="REK225" s="716"/>
      <c r="REL225" s="716"/>
      <c r="REM225" s="716"/>
      <c r="REN225" s="717"/>
      <c r="REO225" s="715"/>
      <c r="REP225" s="716"/>
      <c r="REQ225" s="716"/>
      <c r="RER225" s="716"/>
      <c r="RES225" s="716"/>
      <c r="RET225" s="717"/>
      <c r="REU225" s="715"/>
      <c r="REV225" s="716"/>
      <c r="REW225" s="716"/>
      <c r="REX225" s="716"/>
      <c r="REY225" s="716"/>
      <c r="REZ225" s="717"/>
      <c r="RFA225" s="715"/>
      <c r="RFB225" s="716"/>
      <c r="RFC225" s="716"/>
      <c r="RFD225" s="716"/>
      <c r="RFE225" s="716"/>
      <c r="RFF225" s="717"/>
      <c r="RFG225" s="715"/>
      <c r="RFH225" s="716"/>
      <c r="RFI225" s="716"/>
      <c r="RFJ225" s="716"/>
      <c r="RFK225" s="716"/>
      <c r="RFL225" s="717"/>
      <c r="RFM225" s="715"/>
      <c r="RFN225" s="716"/>
      <c r="RFO225" s="716"/>
      <c r="RFP225" s="716"/>
      <c r="RFQ225" s="716"/>
      <c r="RFR225" s="717"/>
      <c r="RFS225" s="715"/>
      <c r="RFT225" s="716"/>
      <c r="RFU225" s="716"/>
      <c r="RFV225" s="716"/>
      <c r="RFW225" s="716"/>
      <c r="RFX225" s="717"/>
      <c r="RFY225" s="715"/>
      <c r="RFZ225" s="716"/>
      <c r="RGA225" s="716"/>
      <c r="RGB225" s="716"/>
      <c r="RGC225" s="716"/>
      <c r="RGD225" s="717"/>
      <c r="RGE225" s="715"/>
      <c r="RGF225" s="716"/>
      <c r="RGG225" s="716"/>
      <c r="RGH225" s="716"/>
      <c r="RGI225" s="716"/>
      <c r="RGJ225" s="717"/>
      <c r="RGK225" s="715"/>
      <c r="RGL225" s="716"/>
      <c r="RGM225" s="716"/>
      <c r="RGN225" s="716"/>
      <c r="RGO225" s="716"/>
      <c r="RGP225" s="717"/>
      <c r="RGQ225" s="715"/>
      <c r="RGR225" s="716"/>
      <c r="RGS225" s="716"/>
      <c r="RGT225" s="716"/>
      <c r="RGU225" s="716"/>
      <c r="RGV225" s="717"/>
      <c r="RGW225" s="715"/>
      <c r="RGX225" s="716"/>
      <c r="RGY225" s="716"/>
      <c r="RGZ225" s="716"/>
      <c r="RHA225" s="716"/>
      <c r="RHB225" s="717"/>
      <c r="RHC225" s="715"/>
      <c r="RHD225" s="716"/>
      <c r="RHE225" s="716"/>
      <c r="RHF225" s="716"/>
      <c r="RHG225" s="716"/>
      <c r="RHH225" s="717"/>
      <c r="RHI225" s="715"/>
      <c r="RHJ225" s="716"/>
      <c r="RHK225" s="716"/>
      <c r="RHL225" s="716"/>
      <c r="RHM225" s="716"/>
      <c r="RHN225" s="717"/>
      <c r="RHO225" s="715"/>
      <c r="RHP225" s="716"/>
      <c r="RHQ225" s="716"/>
      <c r="RHR225" s="716"/>
      <c r="RHS225" s="716"/>
      <c r="RHT225" s="717"/>
      <c r="RHU225" s="715"/>
      <c r="RHV225" s="716"/>
      <c r="RHW225" s="716"/>
      <c r="RHX225" s="716"/>
      <c r="RHY225" s="716"/>
      <c r="RHZ225" s="717"/>
      <c r="RIA225" s="715"/>
      <c r="RIB225" s="716"/>
      <c r="RIC225" s="716"/>
      <c r="RID225" s="716"/>
      <c r="RIE225" s="716"/>
      <c r="RIF225" s="717"/>
      <c r="RIG225" s="715"/>
      <c r="RIH225" s="716"/>
      <c r="RII225" s="716"/>
      <c r="RIJ225" s="716"/>
      <c r="RIK225" s="716"/>
      <c r="RIL225" s="717"/>
      <c r="RIM225" s="715"/>
      <c r="RIN225" s="716"/>
      <c r="RIO225" s="716"/>
      <c r="RIP225" s="716"/>
      <c r="RIQ225" s="716"/>
      <c r="RIR225" s="717"/>
      <c r="RIS225" s="715"/>
      <c r="RIT225" s="716"/>
      <c r="RIU225" s="716"/>
      <c r="RIV225" s="716"/>
      <c r="RIW225" s="716"/>
      <c r="RIX225" s="717"/>
      <c r="RIY225" s="715"/>
      <c r="RIZ225" s="716"/>
      <c r="RJA225" s="716"/>
      <c r="RJB225" s="716"/>
      <c r="RJC225" s="716"/>
      <c r="RJD225" s="717"/>
      <c r="RJE225" s="715"/>
      <c r="RJF225" s="716"/>
      <c r="RJG225" s="716"/>
      <c r="RJH225" s="716"/>
      <c r="RJI225" s="716"/>
      <c r="RJJ225" s="717"/>
      <c r="RJK225" s="715"/>
      <c r="RJL225" s="716"/>
      <c r="RJM225" s="716"/>
      <c r="RJN225" s="716"/>
      <c r="RJO225" s="716"/>
      <c r="RJP225" s="717"/>
      <c r="RJQ225" s="715"/>
      <c r="RJR225" s="716"/>
      <c r="RJS225" s="716"/>
      <c r="RJT225" s="716"/>
      <c r="RJU225" s="716"/>
      <c r="RJV225" s="717"/>
      <c r="RJW225" s="715"/>
      <c r="RJX225" s="716"/>
      <c r="RJY225" s="716"/>
      <c r="RJZ225" s="716"/>
      <c r="RKA225" s="716"/>
      <c r="RKB225" s="717"/>
      <c r="RKC225" s="715"/>
      <c r="RKD225" s="716"/>
      <c r="RKE225" s="716"/>
      <c r="RKF225" s="716"/>
      <c r="RKG225" s="716"/>
      <c r="RKH225" s="717"/>
      <c r="RKI225" s="715"/>
      <c r="RKJ225" s="716"/>
      <c r="RKK225" s="716"/>
      <c r="RKL225" s="716"/>
      <c r="RKM225" s="716"/>
      <c r="RKN225" s="717"/>
      <c r="RKO225" s="715"/>
      <c r="RKP225" s="716"/>
      <c r="RKQ225" s="716"/>
      <c r="RKR225" s="716"/>
      <c r="RKS225" s="716"/>
      <c r="RKT225" s="717"/>
      <c r="RKU225" s="715"/>
      <c r="RKV225" s="716"/>
      <c r="RKW225" s="716"/>
      <c r="RKX225" s="716"/>
      <c r="RKY225" s="716"/>
      <c r="RKZ225" s="717"/>
      <c r="RLA225" s="715"/>
      <c r="RLB225" s="716"/>
      <c r="RLC225" s="716"/>
      <c r="RLD225" s="716"/>
      <c r="RLE225" s="716"/>
      <c r="RLF225" s="717"/>
      <c r="RLG225" s="715"/>
      <c r="RLH225" s="716"/>
      <c r="RLI225" s="716"/>
      <c r="RLJ225" s="716"/>
      <c r="RLK225" s="716"/>
      <c r="RLL225" s="717"/>
      <c r="RLM225" s="715"/>
      <c r="RLN225" s="716"/>
      <c r="RLO225" s="716"/>
      <c r="RLP225" s="716"/>
      <c r="RLQ225" s="716"/>
      <c r="RLR225" s="717"/>
      <c r="RLS225" s="715"/>
      <c r="RLT225" s="716"/>
      <c r="RLU225" s="716"/>
      <c r="RLV225" s="716"/>
      <c r="RLW225" s="716"/>
      <c r="RLX225" s="717"/>
      <c r="RLY225" s="715"/>
      <c r="RLZ225" s="716"/>
      <c r="RMA225" s="716"/>
      <c r="RMB225" s="716"/>
      <c r="RMC225" s="716"/>
      <c r="RMD225" s="717"/>
      <c r="RME225" s="715"/>
      <c r="RMF225" s="716"/>
      <c r="RMG225" s="716"/>
      <c r="RMH225" s="716"/>
      <c r="RMI225" s="716"/>
      <c r="RMJ225" s="717"/>
      <c r="RMK225" s="715"/>
      <c r="RML225" s="716"/>
      <c r="RMM225" s="716"/>
      <c r="RMN225" s="716"/>
      <c r="RMO225" s="716"/>
      <c r="RMP225" s="717"/>
      <c r="RMQ225" s="715"/>
      <c r="RMR225" s="716"/>
      <c r="RMS225" s="716"/>
      <c r="RMT225" s="716"/>
      <c r="RMU225" s="716"/>
      <c r="RMV225" s="717"/>
      <c r="RMW225" s="715"/>
      <c r="RMX225" s="716"/>
      <c r="RMY225" s="716"/>
      <c r="RMZ225" s="716"/>
      <c r="RNA225" s="716"/>
      <c r="RNB225" s="717"/>
      <c r="RNC225" s="715"/>
      <c r="RND225" s="716"/>
      <c r="RNE225" s="716"/>
      <c r="RNF225" s="716"/>
      <c r="RNG225" s="716"/>
      <c r="RNH225" s="717"/>
      <c r="RNI225" s="715"/>
      <c r="RNJ225" s="716"/>
      <c r="RNK225" s="716"/>
      <c r="RNL225" s="716"/>
      <c r="RNM225" s="716"/>
      <c r="RNN225" s="717"/>
      <c r="RNO225" s="715"/>
      <c r="RNP225" s="716"/>
      <c r="RNQ225" s="716"/>
      <c r="RNR225" s="716"/>
      <c r="RNS225" s="716"/>
      <c r="RNT225" s="717"/>
      <c r="RNU225" s="715"/>
      <c r="RNV225" s="716"/>
      <c r="RNW225" s="716"/>
      <c r="RNX225" s="716"/>
      <c r="RNY225" s="716"/>
      <c r="RNZ225" s="717"/>
      <c r="ROA225" s="715"/>
      <c r="ROB225" s="716"/>
      <c r="ROC225" s="716"/>
      <c r="ROD225" s="716"/>
      <c r="ROE225" s="716"/>
      <c r="ROF225" s="717"/>
      <c r="ROG225" s="715"/>
      <c r="ROH225" s="716"/>
      <c r="ROI225" s="716"/>
      <c r="ROJ225" s="716"/>
      <c r="ROK225" s="716"/>
      <c r="ROL225" s="717"/>
      <c r="ROM225" s="715"/>
      <c r="RON225" s="716"/>
      <c r="ROO225" s="716"/>
      <c r="ROP225" s="716"/>
      <c r="ROQ225" s="716"/>
      <c r="ROR225" s="717"/>
      <c r="ROS225" s="715"/>
      <c r="ROT225" s="716"/>
      <c r="ROU225" s="716"/>
      <c r="ROV225" s="716"/>
      <c r="ROW225" s="716"/>
      <c r="ROX225" s="717"/>
      <c r="ROY225" s="715"/>
      <c r="ROZ225" s="716"/>
      <c r="RPA225" s="716"/>
      <c r="RPB225" s="716"/>
      <c r="RPC225" s="716"/>
      <c r="RPD225" s="717"/>
      <c r="RPE225" s="715"/>
      <c r="RPF225" s="716"/>
      <c r="RPG225" s="716"/>
      <c r="RPH225" s="716"/>
      <c r="RPI225" s="716"/>
      <c r="RPJ225" s="717"/>
      <c r="RPK225" s="715"/>
      <c r="RPL225" s="716"/>
      <c r="RPM225" s="716"/>
      <c r="RPN225" s="716"/>
      <c r="RPO225" s="716"/>
      <c r="RPP225" s="717"/>
      <c r="RPQ225" s="715"/>
      <c r="RPR225" s="716"/>
      <c r="RPS225" s="716"/>
      <c r="RPT225" s="716"/>
      <c r="RPU225" s="716"/>
      <c r="RPV225" s="717"/>
      <c r="RPW225" s="715"/>
      <c r="RPX225" s="716"/>
      <c r="RPY225" s="716"/>
      <c r="RPZ225" s="716"/>
      <c r="RQA225" s="716"/>
      <c r="RQB225" s="717"/>
      <c r="RQC225" s="715"/>
      <c r="RQD225" s="716"/>
      <c r="RQE225" s="716"/>
      <c r="RQF225" s="716"/>
      <c r="RQG225" s="716"/>
      <c r="RQH225" s="717"/>
      <c r="RQI225" s="715"/>
      <c r="RQJ225" s="716"/>
      <c r="RQK225" s="716"/>
      <c r="RQL225" s="716"/>
      <c r="RQM225" s="716"/>
      <c r="RQN225" s="717"/>
      <c r="RQO225" s="715"/>
      <c r="RQP225" s="716"/>
      <c r="RQQ225" s="716"/>
      <c r="RQR225" s="716"/>
      <c r="RQS225" s="716"/>
      <c r="RQT225" s="717"/>
      <c r="RQU225" s="715"/>
      <c r="RQV225" s="716"/>
      <c r="RQW225" s="716"/>
      <c r="RQX225" s="716"/>
      <c r="RQY225" s="716"/>
      <c r="RQZ225" s="717"/>
      <c r="RRA225" s="715"/>
      <c r="RRB225" s="716"/>
      <c r="RRC225" s="716"/>
      <c r="RRD225" s="716"/>
      <c r="RRE225" s="716"/>
      <c r="RRF225" s="717"/>
      <c r="RRG225" s="715"/>
      <c r="RRH225" s="716"/>
      <c r="RRI225" s="716"/>
      <c r="RRJ225" s="716"/>
      <c r="RRK225" s="716"/>
      <c r="RRL225" s="717"/>
      <c r="RRM225" s="715"/>
      <c r="RRN225" s="716"/>
      <c r="RRO225" s="716"/>
      <c r="RRP225" s="716"/>
      <c r="RRQ225" s="716"/>
      <c r="RRR225" s="717"/>
      <c r="RRS225" s="715"/>
      <c r="RRT225" s="716"/>
      <c r="RRU225" s="716"/>
      <c r="RRV225" s="716"/>
      <c r="RRW225" s="716"/>
      <c r="RRX225" s="717"/>
      <c r="RRY225" s="715"/>
      <c r="RRZ225" s="716"/>
      <c r="RSA225" s="716"/>
      <c r="RSB225" s="716"/>
      <c r="RSC225" s="716"/>
      <c r="RSD225" s="717"/>
      <c r="RSE225" s="715"/>
      <c r="RSF225" s="716"/>
      <c r="RSG225" s="716"/>
      <c r="RSH225" s="716"/>
      <c r="RSI225" s="716"/>
      <c r="RSJ225" s="717"/>
      <c r="RSK225" s="715"/>
      <c r="RSL225" s="716"/>
      <c r="RSM225" s="716"/>
      <c r="RSN225" s="716"/>
      <c r="RSO225" s="716"/>
      <c r="RSP225" s="717"/>
      <c r="RSQ225" s="715"/>
      <c r="RSR225" s="716"/>
      <c r="RSS225" s="716"/>
      <c r="RST225" s="716"/>
      <c r="RSU225" s="716"/>
      <c r="RSV225" s="717"/>
      <c r="RSW225" s="715"/>
      <c r="RSX225" s="716"/>
      <c r="RSY225" s="716"/>
      <c r="RSZ225" s="716"/>
      <c r="RTA225" s="716"/>
      <c r="RTB225" s="717"/>
      <c r="RTC225" s="715"/>
      <c r="RTD225" s="716"/>
      <c r="RTE225" s="716"/>
      <c r="RTF225" s="716"/>
      <c r="RTG225" s="716"/>
      <c r="RTH225" s="717"/>
      <c r="RTI225" s="715"/>
      <c r="RTJ225" s="716"/>
      <c r="RTK225" s="716"/>
      <c r="RTL225" s="716"/>
      <c r="RTM225" s="716"/>
      <c r="RTN225" s="717"/>
      <c r="RTO225" s="715"/>
      <c r="RTP225" s="716"/>
      <c r="RTQ225" s="716"/>
      <c r="RTR225" s="716"/>
      <c r="RTS225" s="716"/>
      <c r="RTT225" s="717"/>
      <c r="RTU225" s="715"/>
      <c r="RTV225" s="716"/>
      <c r="RTW225" s="716"/>
      <c r="RTX225" s="716"/>
      <c r="RTY225" s="716"/>
      <c r="RTZ225" s="717"/>
      <c r="RUA225" s="715"/>
      <c r="RUB225" s="716"/>
      <c r="RUC225" s="716"/>
      <c r="RUD225" s="716"/>
      <c r="RUE225" s="716"/>
      <c r="RUF225" s="717"/>
      <c r="RUG225" s="715"/>
      <c r="RUH225" s="716"/>
      <c r="RUI225" s="716"/>
      <c r="RUJ225" s="716"/>
      <c r="RUK225" s="716"/>
      <c r="RUL225" s="717"/>
      <c r="RUM225" s="715"/>
      <c r="RUN225" s="716"/>
      <c r="RUO225" s="716"/>
      <c r="RUP225" s="716"/>
      <c r="RUQ225" s="716"/>
      <c r="RUR225" s="717"/>
      <c r="RUS225" s="715"/>
      <c r="RUT225" s="716"/>
      <c r="RUU225" s="716"/>
      <c r="RUV225" s="716"/>
      <c r="RUW225" s="716"/>
      <c r="RUX225" s="717"/>
      <c r="RUY225" s="715"/>
      <c r="RUZ225" s="716"/>
      <c r="RVA225" s="716"/>
      <c r="RVB225" s="716"/>
      <c r="RVC225" s="716"/>
      <c r="RVD225" s="717"/>
      <c r="RVE225" s="715"/>
      <c r="RVF225" s="716"/>
      <c r="RVG225" s="716"/>
      <c r="RVH225" s="716"/>
      <c r="RVI225" s="716"/>
      <c r="RVJ225" s="717"/>
      <c r="RVK225" s="715"/>
      <c r="RVL225" s="716"/>
      <c r="RVM225" s="716"/>
      <c r="RVN225" s="716"/>
      <c r="RVO225" s="716"/>
      <c r="RVP225" s="717"/>
      <c r="RVQ225" s="715"/>
      <c r="RVR225" s="716"/>
      <c r="RVS225" s="716"/>
      <c r="RVT225" s="716"/>
      <c r="RVU225" s="716"/>
      <c r="RVV225" s="717"/>
      <c r="RVW225" s="715"/>
      <c r="RVX225" s="716"/>
      <c r="RVY225" s="716"/>
      <c r="RVZ225" s="716"/>
      <c r="RWA225" s="716"/>
      <c r="RWB225" s="717"/>
      <c r="RWC225" s="715"/>
      <c r="RWD225" s="716"/>
      <c r="RWE225" s="716"/>
      <c r="RWF225" s="716"/>
      <c r="RWG225" s="716"/>
      <c r="RWH225" s="717"/>
      <c r="RWI225" s="715"/>
      <c r="RWJ225" s="716"/>
      <c r="RWK225" s="716"/>
      <c r="RWL225" s="716"/>
      <c r="RWM225" s="716"/>
      <c r="RWN225" s="717"/>
      <c r="RWO225" s="715"/>
      <c r="RWP225" s="716"/>
      <c r="RWQ225" s="716"/>
      <c r="RWR225" s="716"/>
      <c r="RWS225" s="716"/>
      <c r="RWT225" s="717"/>
      <c r="RWU225" s="715"/>
      <c r="RWV225" s="716"/>
      <c r="RWW225" s="716"/>
      <c r="RWX225" s="716"/>
      <c r="RWY225" s="716"/>
      <c r="RWZ225" s="717"/>
      <c r="RXA225" s="715"/>
      <c r="RXB225" s="716"/>
      <c r="RXC225" s="716"/>
      <c r="RXD225" s="716"/>
      <c r="RXE225" s="716"/>
      <c r="RXF225" s="717"/>
      <c r="RXG225" s="715"/>
      <c r="RXH225" s="716"/>
      <c r="RXI225" s="716"/>
      <c r="RXJ225" s="716"/>
      <c r="RXK225" s="716"/>
      <c r="RXL225" s="717"/>
      <c r="RXM225" s="715"/>
      <c r="RXN225" s="716"/>
      <c r="RXO225" s="716"/>
      <c r="RXP225" s="716"/>
      <c r="RXQ225" s="716"/>
      <c r="RXR225" s="717"/>
      <c r="RXS225" s="715"/>
      <c r="RXT225" s="716"/>
      <c r="RXU225" s="716"/>
      <c r="RXV225" s="716"/>
      <c r="RXW225" s="716"/>
      <c r="RXX225" s="717"/>
      <c r="RXY225" s="715"/>
      <c r="RXZ225" s="716"/>
      <c r="RYA225" s="716"/>
      <c r="RYB225" s="716"/>
      <c r="RYC225" s="716"/>
      <c r="RYD225" s="717"/>
      <c r="RYE225" s="715"/>
      <c r="RYF225" s="716"/>
      <c r="RYG225" s="716"/>
      <c r="RYH225" s="716"/>
      <c r="RYI225" s="716"/>
      <c r="RYJ225" s="717"/>
      <c r="RYK225" s="715"/>
      <c r="RYL225" s="716"/>
      <c r="RYM225" s="716"/>
      <c r="RYN225" s="716"/>
      <c r="RYO225" s="716"/>
      <c r="RYP225" s="717"/>
      <c r="RYQ225" s="715"/>
      <c r="RYR225" s="716"/>
      <c r="RYS225" s="716"/>
      <c r="RYT225" s="716"/>
      <c r="RYU225" s="716"/>
      <c r="RYV225" s="717"/>
      <c r="RYW225" s="715"/>
      <c r="RYX225" s="716"/>
      <c r="RYY225" s="716"/>
      <c r="RYZ225" s="716"/>
      <c r="RZA225" s="716"/>
      <c r="RZB225" s="717"/>
      <c r="RZC225" s="715"/>
      <c r="RZD225" s="716"/>
      <c r="RZE225" s="716"/>
      <c r="RZF225" s="716"/>
      <c r="RZG225" s="716"/>
      <c r="RZH225" s="717"/>
      <c r="RZI225" s="715"/>
      <c r="RZJ225" s="716"/>
      <c r="RZK225" s="716"/>
      <c r="RZL225" s="716"/>
      <c r="RZM225" s="716"/>
      <c r="RZN225" s="717"/>
      <c r="RZO225" s="715"/>
      <c r="RZP225" s="716"/>
      <c r="RZQ225" s="716"/>
      <c r="RZR225" s="716"/>
      <c r="RZS225" s="716"/>
      <c r="RZT225" s="717"/>
      <c r="RZU225" s="715"/>
      <c r="RZV225" s="716"/>
      <c r="RZW225" s="716"/>
      <c r="RZX225" s="716"/>
      <c r="RZY225" s="716"/>
      <c r="RZZ225" s="717"/>
      <c r="SAA225" s="715"/>
      <c r="SAB225" s="716"/>
      <c r="SAC225" s="716"/>
      <c r="SAD225" s="716"/>
      <c r="SAE225" s="716"/>
      <c r="SAF225" s="717"/>
      <c r="SAG225" s="715"/>
      <c r="SAH225" s="716"/>
      <c r="SAI225" s="716"/>
      <c r="SAJ225" s="716"/>
      <c r="SAK225" s="716"/>
      <c r="SAL225" s="717"/>
      <c r="SAM225" s="715"/>
      <c r="SAN225" s="716"/>
      <c r="SAO225" s="716"/>
      <c r="SAP225" s="716"/>
      <c r="SAQ225" s="716"/>
      <c r="SAR225" s="717"/>
      <c r="SAS225" s="715"/>
      <c r="SAT225" s="716"/>
      <c r="SAU225" s="716"/>
      <c r="SAV225" s="716"/>
      <c r="SAW225" s="716"/>
      <c r="SAX225" s="717"/>
      <c r="SAY225" s="715"/>
      <c r="SAZ225" s="716"/>
      <c r="SBA225" s="716"/>
      <c r="SBB225" s="716"/>
      <c r="SBC225" s="716"/>
      <c r="SBD225" s="717"/>
      <c r="SBE225" s="715"/>
      <c r="SBF225" s="716"/>
      <c r="SBG225" s="716"/>
      <c r="SBH225" s="716"/>
      <c r="SBI225" s="716"/>
      <c r="SBJ225" s="717"/>
      <c r="SBK225" s="715"/>
      <c r="SBL225" s="716"/>
      <c r="SBM225" s="716"/>
      <c r="SBN225" s="716"/>
      <c r="SBO225" s="716"/>
      <c r="SBP225" s="717"/>
      <c r="SBQ225" s="715"/>
      <c r="SBR225" s="716"/>
      <c r="SBS225" s="716"/>
      <c r="SBT225" s="716"/>
      <c r="SBU225" s="716"/>
      <c r="SBV225" s="717"/>
      <c r="SBW225" s="715"/>
      <c r="SBX225" s="716"/>
      <c r="SBY225" s="716"/>
      <c r="SBZ225" s="716"/>
      <c r="SCA225" s="716"/>
      <c r="SCB225" s="717"/>
      <c r="SCC225" s="715"/>
      <c r="SCD225" s="716"/>
      <c r="SCE225" s="716"/>
      <c r="SCF225" s="716"/>
      <c r="SCG225" s="716"/>
      <c r="SCH225" s="717"/>
      <c r="SCI225" s="715"/>
      <c r="SCJ225" s="716"/>
      <c r="SCK225" s="716"/>
      <c r="SCL225" s="716"/>
      <c r="SCM225" s="716"/>
      <c r="SCN225" s="717"/>
      <c r="SCO225" s="715"/>
      <c r="SCP225" s="716"/>
      <c r="SCQ225" s="716"/>
      <c r="SCR225" s="716"/>
      <c r="SCS225" s="716"/>
      <c r="SCT225" s="717"/>
      <c r="SCU225" s="715"/>
      <c r="SCV225" s="716"/>
      <c r="SCW225" s="716"/>
      <c r="SCX225" s="716"/>
      <c r="SCY225" s="716"/>
      <c r="SCZ225" s="717"/>
      <c r="SDA225" s="715"/>
      <c r="SDB225" s="716"/>
      <c r="SDC225" s="716"/>
      <c r="SDD225" s="716"/>
      <c r="SDE225" s="716"/>
      <c r="SDF225" s="717"/>
      <c r="SDG225" s="715"/>
      <c r="SDH225" s="716"/>
      <c r="SDI225" s="716"/>
      <c r="SDJ225" s="716"/>
      <c r="SDK225" s="716"/>
      <c r="SDL225" s="717"/>
      <c r="SDM225" s="715"/>
      <c r="SDN225" s="716"/>
      <c r="SDO225" s="716"/>
      <c r="SDP225" s="716"/>
      <c r="SDQ225" s="716"/>
      <c r="SDR225" s="717"/>
      <c r="SDS225" s="715"/>
      <c r="SDT225" s="716"/>
      <c r="SDU225" s="716"/>
      <c r="SDV225" s="716"/>
      <c r="SDW225" s="716"/>
      <c r="SDX225" s="717"/>
      <c r="SDY225" s="715"/>
      <c r="SDZ225" s="716"/>
      <c r="SEA225" s="716"/>
      <c r="SEB225" s="716"/>
      <c r="SEC225" s="716"/>
      <c r="SED225" s="717"/>
      <c r="SEE225" s="715"/>
      <c r="SEF225" s="716"/>
      <c r="SEG225" s="716"/>
      <c r="SEH225" s="716"/>
      <c r="SEI225" s="716"/>
      <c r="SEJ225" s="717"/>
      <c r="SEK225" s="715"/>
      <c r="SEL225" s="716"/>
      <c r="SEM225" s="716"/>
      <c r="SEN225" s="716"/>
      <c r="SEO225" s="716"/>
      <c r="SEP225" s="717"/>
      <c r="SEQ225" s="715"/>
      <c r="SER225" s="716"/>
      <c r="SES225" s="716"/>
      <c r="SET225" s="716"/>
      <c r="SEU225" s="716"/>
      <c r="SEV225" s="717"/>
      <c r="SEW225" s="715"/>
      <c r="SEX225" s="716"/>
      <c r="SEY225" s="716"/>
      <c r="SEZ225" s="716"/>
      <c r="SFA225" s="716"/>
      <c r="SFB225" s="717"/>
      <c r="SFC225" s="715"/>
      <c r="SFD225" s="716"/>
      <c r="SFE225" s="716"/>
      <c r="SFF225" s="716"/>
      <c r="SFG225" s="716"/>
      <c r="SFH225" s="717"/>
      <c r="SFI225" s="715"/>
      <c r="SFJ225" s="716"/>
      <c r="SFK225" s="716"/>
      <c r="SFL225" s="716"/>
      <c r="SFM225" s="716"/>
      <c r="SFN225" s="717"/>
      <c r="SFO225" s="715"/>
      <c r="SFP225" s="716"/>
      <c r="SFQ225" s="716"/>
      <c r="SFR225" s="716"/>
      <c r="SFS225" s="716"/>
      <c r="SFT225" s="717"/>
      <c r="SFU225" s="715"/>
      <c r="SFV225" s="716"/>
      <c r="SFW225" s="716"/>
      <c r="SFX225" s="716"/>
      <c r="SFY225" s="716"/>
      <c r="SFZ225" s="717"/>
      <c r="SGA225" s="715"/>
      <c r="SGB225" s="716"/>
      <c r="SGC225" s="716"/>
      <c r="SGD225" s="716"/>
      <c r="SGE225" s="716"/>
      <c r="SGF225" s="717"/>
      <c r="SGG225" s="715"/>
      <c r="SGH225" s="716"/>
      <c r="SGI225" s="716"/>
      <c r="SGJ225" s="716"/>
      <c r="SGK225" s="716"/>
      <c r="SGL225" s="717"/>
      <c r="SGM225" s="715"/>
      <c r="SGN225" s="716"/>
      <c r="SGO225" s="716"/>
      <c r="SGP225" s="716"/>
      <c r="SGQ225" s="716"/>
      <c r="SGR225" s="717"/>
      <c r="SGS225" s="715"/>
      <c r="SGT225" s="716"/>
      <c r="SGU225" s="716"/>
      <c r="SGV225" s="716"/>
      <c r="SGW225" s="716"/>
      <c r="SGX225" s="717"/>
      <c r="SGY225" s="715"/>
      <c r="SGZ225" s="716"/>
      <c r="SHA225" s="716"/>
      <c r="SHB225" s="716"/>
      <c r="SHC225" s="716"/>
      <c r="SHD225" s="717"/>
      <c r="SHE225" s="715"/>
      <c r="SHF225" s="716"/>
      <c r="SHG225" s="716"/>
      <c r="SHH225" s="716"/>
      <c r="SHI225" s="716"/>
      <c r="SHJ225" s="717"/>
      <c r="SHK225" s="715"/>
      <c r="SHL225" s="716"/>
      <c r="SHM225" s="716"/>
      <c r="SHN225" s="716"/>
      <c r="SHO225" s="716"/>
      <c r="SHP225" s="717"/>
      <c r="SHQ225" s="715"/>
      <c r="SHR225" s="716"/>
      <c r="SHS225" s="716"/>
      <c r="SHT225" s="716"/>
      <c r="SHU225" s="716"/>
      <c r="SHV225" s="717"/>
      <c r="SHW225" s="715"/>
      <c r="SHX225" s="716"/>
      <c r="SHY225" s="716"/>
      <c r="SHZ225" s="716"/>
      <c r="SIA225" s="716"/>
      <c r="SIB225" s="717"/>
      <c r="SIC225" s="715"/>
      <c r="SID225" s="716"/>
      <c r="SIE225" s="716"/>
      <c r="SIF225" s="716"/>
      <c r="SIG225" s="716"/>
      <c r="SIH225" s="717"/>
      <c r="SII225" s="715"/>
      <c r="SIJ225" s="716"/>
      <c r="SIK225" s="716"/>
      <c r="SIL225" s="716"/>
      <c r="SIM225" s="716"/>
      <c r="SIN225" s="717"/>
      <c r="SIO225" s="715"/>
      <c r="SIP225" s="716"/>
      <c r="SIQ225" s="716"/>
      <c r="SIR225" s="716"/>
      <c r="SIS225" s="716"/>
      <c r="SIT225" s="717"/>
      <c r="SIU225" s="715"/>
      <c r="SIV225" s="716"/>
      <c r="SIW225" s="716"/>
      <c r="SIX225" s="716"/>
      <c r="SIY225" s="716"/>
      <c r="SIZ225" s="717"/>
      <c r="SJA225" s="715"/>
      <c r="SJB225" s="716"/>
      <c r="SJC225" s="716"/>
      <c r="SJD225" s="716"/>
      <c r="SJE225" s="716"/>
      <c r="SJF225" s="717"/>
      <c r="SJG225" s="715"/>
      <c r="SJH225" s="716"/>
      <c r="SJI225" s="716"/>
      <c r="SJJ225" s="716"/>
      <c r="SJK225" s="716"/>
      <c r="SJL225" s="717"/>
      <c r="SJM225" s="715"/>
      <c r="SJN225" s="716"/>
      <c r="SJO225" s="716"/>
      <c r="SJP225" s="716"/>
      <c r="SJQ225" s="716"/>
      <c r="SJR225" s="717"/>
      <c r="SJS225" s="715"/>
      <c r="SJT225" s="716"/>
      <c r="SJU225" s="716"/>
      <c r="SJV225" s="716"/>
      <c r="SJW225" s="716"/>
      <c r="SJX225" s="717"/>
      <c r="SJY225" s="715"/>
      <c r="SJZ225" s="716"/>
      <c r="SKA225" s="716"/>
      <c r="SKB225" s="716"/>
      <c r="SKC225" s="716"/>
      <c r="SKD225" s="717"/>
      <c r="SKE225" s="715"/>
      <c r="SKF225" s="716"/>
      <c r="SKG225" s="716"/>
      <c r="SKH225" s="716"/>
      <c r="SKI225" s="716"/>
      <c r="SKJ225" s="717"/>
      <c r="SKK225" s="715"/>
      <c r="SKL225" s="716"/>
      <c r="SKM225" s="716"/>
      <c r="SKN225" s="716"/>
      <c r="SKO225" s="716"/>
      <c r="SKP225" s="717"/>
      <c r="SKQ225" s="715"/>
      <c r="SKR225" s="716"/>
      <c r="SKS225" s="716"/>
      <c r="SKT225" s="716"/>
      <c r="SKU225" s="716"/>
      <c r="SKV225" s="717"/>
      <c r="SKW225" s="715"/>
      <c r="SKX225" s="716"/>
      <c r="SKY225" s="716"/>
      <c r="SKZ225" s="716"/>
      <c r="SLA225" s="716"/>
      <c r="SLB225" s="717"/>
      <c r="SLC225" s="715"/>
      <c r="SLD225" s="716"/>
      <c r="SLE225" s="716"/>
      <c r="SLF225" s="716"/>
      <c r="SLG225" s="716"/>
      <c r="SLH225" s="717"/>
      <c r="SLI225" s="715"/>
      <c r="SLJ225" s="716"/>
      <c r="SLK225" s="716"/>
      <c r="SLL225" s="716"/>
      <c r="SLM225" s="716"/>
      <c r="SLN225" s="717"/>
      <c r="SLO225" s="715"/>
      <c r="SLP225" s="716"/>
      <c r="SLQ225" s="716"/>
      <c r="SLR225" s="716"/>
      <c r="SLS225" s="716"/>
      <c r="SLT225" s="717"/>
      <c r="SLU225" s="715"/>
      <c r="SLV225" s="716"/>
      <c r="SLW225" s="716"/>
      <c r="SLX225" s="716"/>
      <c r="SLY225" s="716"/>
      <c r="SLZ225" s="717"/>
      <c r="SMA225" s="715"/>
      <c r="SMB225" s="716"/>
      <c r="SMC225" s="716"/>
      <c r="SMD225" s="716"/>
      <c r="SME225" s="716"/>
      <c r="SMF225" s="717"/>
      <c r="SMG225" s="715"/>
      <c r="SMH225" s="716"/>
      <c r="SMI225" s="716"/>
      <c r="SMJ225" s="716"/>
      <c r="SMK225" s="716"/>
      <c r="SML225" s="717"/>
      <c r="SMM225" s="715"/>
      <c r="SMN225" s="716"/>
      <c r="SMO225" s="716"/>
      <c r="SMP225" s="716"/>
      <c r="SMQ225" s="716"/>
      <c r="SMR225" s="717"/>
      <c r="SMS225" s="715"/>
      <c r="SMT225" s="716"/>
      <c r="SMU225" s="716"/>
      <c r="SMV225" s="716"/>
      <c r="SMW225" s="716"/>
      <c r="SMX225" s="717"/>
      <c r="SMY225" s="715"/>
      <c r="SMZ225" s="716"/>
      <c r="SNA225" s="716"/>
      <c r="SNB225" s="716"/>
      <c r="SNC225" s="716"/>
      <c r="SND225" s="717"/>
      <c r="SNE225" s="715"/>
      <c r="SNF225" s="716"/>
      <c r="SNG225" s="716"/>
      <c r="SNH225" s="716"/>
      <c r="SNI225" s="716"/>
      <c r="SNJ225" s="717"/>
      <c r="SNK225" s="715"/>
      <c r="SNL225" s="716"/>
      <c r="SNM225" s="716"/>
      <c r="SNN225" s="716"/>
      <c r="SNO225" s="716"/>
      <c r="SNP225" s="717"/>
      <c r="SNQ225" s="715"/>
      <c r="SNR225" s="716"/>
      <c r="SNS225" s="716"/>
      <c r="SNT225" s="716"/>
      <c r="SNU225" s="716"/>
      <c r="SNV225" s="717"/>
      <c r="SNW225" s="715"/>
      <c r="SNX225" s="716"/>
      <c r="SNY225" s="716"/>
      <c r="SNZ225" s="716"/>
      <c r="SOA225" s="716"/>
      <c r="SOB225" s="717"/>
      <c r="SOC225" s="715"/>
      <c r="SOD225" s="716"/>
      <c r="SOE225" s="716"/>
      <c r="SOF225" s="716"/>
      <c r="SOG225" s="716"/>
      <c r="SOH225" s="717"/>
      <c r="SOI225" s="715"/>
      <c r="SOJ225" s="716"/>
      <c r="SOK225" s="716"/>
      <c r="SOL225" s="716"/>
      <c r="SOM225" s="716"/>
      <c r="SON225" s="717"/>
      <c r="SOO225" s="715"/>
      <c r="SOP225" s="716"/>
      <c r="SOQ225" s="716"/>
      <c r="SOR225" s="716"/>
      <c r="SOS225" s="716"/>
      <c r="SOT225" s="717"/>
      <c r="SOU225" s="715"/>
      <c r="SOV225" s="716"/>
      <c r="SOW225" s="716"/>
      <c r="SOX225" s="716"/>
      <c r="SOY225" s="716"/>
      <c r="SOZ225" s="717"/>
      <c r="SPA225" s="715"/>
      <c r="SPB225" s="716"/>
      <c r="SPC225" s="716"/>
      <c r="SPD225" s="716"/>
      <c r="SPE225" s="716"/>
      <c r="SPF225" s="717"/>
      <c r="SPG225" s="715"/>
      <c r="SPH225" s="716"/>
      <c r="SPI225" s="716"/>
      <c r="SPJ225" s="716"/>
      <c r="SPK225" s="716"/>
      <c r="SPL225" s="717"/>
      <c r="SPM225" s="715"/>
      <c r="SPN225" s="716"/>
      <c r="SPO225" s="716"/>
      <c r="SPP225" s="716"/>
      <c r="SPQ225" s="716"/>
      <c r="SPR225" s="717"/>
      <c r="SPS225" s="715"/>
      <c r="SPT225" s="716"/>
      <c r="SPU225" s="716"/>
      <c r="SPV225" s="716"/>
      <c r="SPW225" s="716"/>
      <c r="SPX225" s="717"/>
      <c r="SPY225" s="715"/>
      <c r="SPZ225" s="716"/>
      <c r="SQA225" s="716"/>
      <c r="SQB225" s="716"/>
      <c r="SQC225" s="716"/>
      <c r="SQD225" s="717"/>
      <c r="SQE225" s="715"/>
      <c r="SQF225" s="716"/>
      <c r="SQG225" s="716"/>
      <c r="SQH225" s="716"/>
      <c r="SQI225" s="716"/>
      <c r="SQJ225" s="717"/>
      <c r="SQK225" s="715"/>
      <c r="SQL225" s="716"/>
      <c r="SQM225" s="716"/>
      <c r="SQN225" s="716"/>
      <c r="SQO225" s="716"/>
      <c r="SQP225" s="717"/>
      <c r="SQQ225" s="715"/>
      <c r="SQR225" s="716"/>
      <c r="SQS225" s="716"/>
      <c r="SQT225" s="716"/>
      <c r="SQU225" s="716"/>
      <c r="SQV225" s="717"/>
      <c r="SQW225" s="715"/>
      <c r="SQX225" s="716"/>
      <c r="SQY225" s="716"/>
      <c r="SQZ225" s="716"/>
      <c r="SRA225" s="716"/>
      <c r="SRB225" s="717"/>
      <c r="SRC225" s="715"/>
      <c r="SRD225" s="716"/>
      <c r="SRE225" s="716"/>
      <c r="SRF225" s="716"/>
      <c r="SRG225" s="716"/>
      <c r="SRH225" s="717"/>
      <c r="SRI225" s="715"/>
      <c r="SRJ225" s="716"/>
      <c r="SRK225" s="716"/>
      <c r="SRL225" s="716"/>
      <c r="SRM225" s="716"/>
      <c r="SRN225" s="717"/>
      <c r="SRO225" s="715"/>
      <c r="SRP225" s="716"/>
      <c r="SRQ225" s="716"/>
      <c r="SRR225" s="716"/>
      <c r="SRS225" s="716"/>
      <c r="SRT225" s="717"/>
      <c r="SRU225" s="715"/>
      <c r="SRV225" s="716"/>
      <c r="SRW225" s="716"/>
      <c r="SRX225" s="716"/>
      <c r="SRY225" s="716"/>
      <c r="SRZ225" s="717"/>
      <c r="SSA225" s="715"/>
      <c r="SSB225" s="716"/>
      <c r="SSC225" s="716"/>
      <c r="SSD225" s="716"/>
      <c r="SSE225" s="716"/>
      <c r="SSF225" s="717"/>
      <c r="SSG225" s="715"/>
      <c r="SSH225" s="716"/>
      <c r="SSI225" s="716"/>
      <c r="SSJ225" s="716"/>
      <c r="SSK225" s="716"/>
      <c r="SSL225" s="717"/>
      <c r="SSM225" s="715"/>
      <c r="SSN225" s="716"/>
      <c r="SSO225" s="716"/>
      <c r="SSP225" s="716"/>
      <c r="SSQ225" s="716"/>
      <c r="SSR225" s="717"/>
      <c r="SSS225" s="715"/>
      <c r="SST225" s="716"/>
      <c r="SSU225" s="716"/>
      <c r="SSV225" s="716"/>
      <c r="SSW225" s="716"/>
      <c r="SSX225" s="717"/>
      <c r="SSY225" s="715"/>
      <c r="SSZ225" s="716"/>
      <c r="STA225" s="716"/>
      <c r="STB225" s="716"/>
      <c r="STC225" s="716"/>
      <c r="STD225" s="717"/>
      <c r="STE225" s="715"/>
      <c r="STF225" s="716"/>
      <c r="STG225" s="716"/>
      <c r="STH225" s="716"/>
      <c r="STI225" s="716"/>
      <c r="STJ225" s="717"/>
      <c r="STK225" s="715"/>
      <c r="STL225" s="716"/>
      <c r="STM225" s="716"/>
      <c r="STN225" s="716"/>
      <c r="STO225" s="716"/>
      <c r="STP225" s="717"/>
      <c r="STQ225" s="715"/>
      <c r="STR225" s="716"/>
      <c r="STS225" s="716"/>
      <c r="STT225" s="716"/>
      <c r="STU225" s="716"/>
      <c r="STV225" s="717"/>
      <c r="STW225" s="715"/>
      <c r="STX225" s="716"/>
      <c r="STY225" s="716"/>
      <c r="STZ225" s="716"/>
      <c r="SUA225" s="716"/>
      <c r="SUB225" s="717"/>
      <c r="SUC225" s="715"/>
      <c r="SUD225" s="716"/>
      <c r="SUE225" s="716"/>
      <c r="SUF225" s="716"/>
      <c r="SUG225" s="716"/>
      <c r="SUH225" s="717"/>
      <c r="SUI225" s="715"/>
      <c r="SUJ225" s="716"/>
      <c r="SUK225" s="716"/>
      <c r="SUL225" s="716"/>
      <c r="SUM225" s="716"/>
      <c r="SUN225" s="717"/>
      <c r="SUO225" s="715"/>
      <c r="SUP225" s="716"/>
      <c r="SUQ225" s="716"/>
      <c r="SUR225" s="716"/>
      <c r="SUS225" s="716"/>
      <c r="SUT225" s="717"/>
      <c r="SUU225" s="715"/>
      <c r="SUV225" s="716"/>
      <c r="SUW225" s="716"/>
      <c r="SUX225" s="716"/>
      <c r="SUY225" s="716"/>
      <c r="SUZ225" s="717"/>
      <c r="SVA225" s="715"/>
      <c r="SVB225" s="716"/>
      <c r="SVC225" s="716"/>
      <c r="SVD225" s="716"/>
      <c r="SVE225" s="716"/>
      <c r="SVF225" s="717"/>
      <c r="SVG225" s="715"/>
      <c r="SVH225" s="716"/>
      <c r="SVI225" s="716"/>
      <c r="SVJ225" s="716"/>
      <c r="SVK225" s="716"/>
      <c r="SVL225" s="717"/>
      <c r="SVM225" s="715"/>
      <c r="SVN225" s="716"/>
      <c r="SVO225" s="716"/>
      <c r="SVP225" s="716"/>
      <c r="SVQ225" s="716"/>
      <c r="SVR225" s="717"/>
      <c r="SVS225" s="715"/>
      <c r="SVT225" s="716"/>
      <c r="SVU225" s="716"/>
      <c r="SVV225" s="716"/>
      <c r="SVW225" s="716"/>
      <c r="SVX225" s="717"/>
      <c r="SVY225" s="715"/>
      <c r="SVZ225" s="716"/>
      <c r="SWA225" s="716"/>
      <c r="SWB225" s="716"/>
      <c r="SWC225" s="716"/>
      <c r="SWD225" s="717"/>
      <c r="SWE225" s="715"/>
      <c r="SWF225" s="716"/>
      <c r="SWG225" s="716"/>
      <c r="SWH225" s="716"/>
      <c r="SWI225" s="716"/>
      <c r="SWJ225" s="717"/>
      <c r="SWK225" s="715"/>
      <c r="SWL225" s="716"/>
      <c r="SWM225" s="716"/>
      <c r="SWN225" s="716"/>
      <c r="SWO225" s="716"/>
      <c r="SWP225" s="717"/>
      <c r="SWQ225" s="715"/>
      <c r="SWR225" s="716"/>
      <c r="SWS225" s="716"/>
      <c r="SWT225" s="716"/>
      <c r="SWU225" s="716"/>
      <c r="SWV225" s="717"/>
      <c r="SWW225" s="715"/>
      <c r="SWX225" s="716"/>
      <c r="SWY225" s="716"/>
      <c r="SWZ225" s="716"/>
      <c r="SXA225" s="716"/>
      <c r="SXB225" s="717"/>
      <c r="SXC225" s="715"/>
      <c r="SXD225" s="716"/>
      <c r="SXE225" s="716"/>
      <c r="SXF225" s="716"/>
      <c r="SXG225" s="716"/>
      <c r="SXH225" s="717"/>
      <c r="SXI225" s="715"/>
      <c r="SXJ225" s="716"/>
      <c r="SXK225" s="716"/>
      <c r="SXL225" s="716"/>
      <c r="SXM225" s="716"/>
      <c r="SXN225" s="717"/>
      <c r="SXO225" s="715"/>
      <c r="SXP225" s="716"/>
      <c r="SXQ225" s="716"/>
      <c r="SXR225" s="716"/>
      <c r="SXS225" s="716"/>
      <c r="SXT225" s="717"/>
      <c r="SXU225" s="715"/>
      <c r="SXV225" s="716"/>
      <c r="SXW225" s="716"/>
      <c r="SXX225" s="716"/>
      <c r="SXY225" s="716"/>
      <c r="SXZ225" s="717"/>
      <c r="SYA225" s="715"/>
      <c r="SYB225" s="716"/>
      <c r="SYC225" s="716"/>
      <c r="SYD225" s="716"/>
      <c r="SYE225" s="716"/>
      <c r="SYF225" s="717"/>
      <c r="SYG225" s="715"/>
      <c r="SYH225" s="716"/>
      <c r="SYI225" s="716"/>
      <c r="SYJ225" s="716"/>
      <c r="SYK225" s="716"/>
      <c r="SYL225" s="717"/>
      <c r="SYM225" s="715"/>
      <c r="SYN225" s="716"/>
      <c r="SYO225" s="716"/>
      <c r="SYP225" s="716"/>
      <c r="SYQ225" s="716"/>
      <c r="SYR225" s="717"/>
      <c r="SYS225" s="715"/>
      <c r="SYT225" s="716"/>
      <c r="SYU225" s="716"/>
      <c r="SYV225" s="716"/>
      <c r="SYW225" s="716"/>
      <c r="SYX225" s="717"/>
      <c r="SYY225" s="715"/>
      <c r="SYZ225" s="716"/>
      <c r="SZA225" s="716"/>
      <c r="SZB225" s="716"/>
      <c r="SZC225" s="716"/>
      <c r="SZD225" s="717"/>
      <c r="SZE225" s="715"/>
      <c r="SZF225" s="716"/>
      <c r="SZG225" s="716"/>
      <c r="SZH225" s="716"/>
      <c r="SZI225" s="716"/>
      <c r="SZJ225" s="717"/>
      <c r="SZK225" s="715"/>
      <c r="SZL225" s="716"/>
      <c r="SZM225" s="716"/>
      <c r="SZN225" s="716"/>
      <c r="SZO225" s="716"/>
      <c r="SZP225" s="717"/>
      <c r="SZQ225" s="715"/>
      <c r="SZR225" s="716"/>
      <c r="SZS225" s="716"/>
      <c r="SZT225" s="716"/>
      <c r="SZU225" s="716"/>
      <c r="SZV225" s="717"/>
      <c r="SZW225" s="715"/>
      <c r="SZX225" s="716"/>
      <c r="SZY225" s="716"/>
      <c r="SZZ225" s="716"/>
      <c r="TAA225" s="716"/>
      <c r="TAB225" s="717"/>
      <c r="TAC225" s="715"/>
      <c r="TAD225" s="716"/>
      <c r="TAE225" s="716"/>
      <c r="TAF225" s="716"/>
      <c r="TAG225" s="716"/>
      <c r="TAH225" s="717"/>
      <c r="TAI225" s="715"/>
      <c r="TAJ225" s="716"/>
      <c r="TAK225" s="716"/>
      <c r="TAL225" s="716"/>
      <c r="TAM225" s="716"/>
      <c r="TAN225" s="717"/>
      <c r="TAO225" s="715"/>
      <c r="TAP225" s="716"/>
      <c r="TAQ225" s="716"/>
      <c r="TAR225" s="716"/>
      <c r="TAS225" s="716"/>
      <c r="TAT225" s="717"/>
      <c r="TAU225" s="715"/>
      <c r="TAV225" s="716"/>
      <c r="TAW225" s="716"/>
      <c r="TAX225" s="716"/>
      <c r="TAY225" s="716"/>
      <c r="TAZ225" s="717"/>
      <c r="TBA225" s="715"/>
      <c r="TBB225" s="716"/>
      <c r="TBC225" s="716"/>
      <c r="TBD225" s="716"/>
      <c r="TBE225" s="716"/>
      <c r="TBF225" s="717"/>
      <c r="TBG225" s="715"/>
      <c r="TBH225" s="716"/>
      <c r="TBI225" s="716"/>
      <c r="TBJ225" s="716"/>
      <c r="TBK225" s="716"/>
      <c r="TBL225" s="717"/>
      <c r="TBM225" s="715"/>
      <c r="TBN225" s="716"/>
      <c r="TBO225" s="716"/>
      <c r="TBP225" s="716"/>
      <c r="TBQ225" s="716"/>
      <c r="TBR225" s="717"/>
      <c r="TBS225" s="715"/>
      <c r="TBT225" s="716"/>
      <c r="TBU225" s="716"/>
      <c r="TBV225" s="716"/>
      <c r="TBW225" s="716"/>
      <c r="TBX225" s="717"/>
      <c r="TBY225" s="715"/>
      <c r="TBZ225" s="716"/>
      <c r="TCA225" s="716"/>
      <c r="TCB225" s="716"/>
      <c r="TCC225" s="716"/>
      <c r="TCD225" s="717"/>
      <c r="TCE225" s="715"/>
      <c r="TCF225" s="716"/>
      <c r="TCG225" s="716"/>
      <c r="TCH225" s="716"/>
      <c r="TCI225" s="716"/>
      <c r="TCJ225" s="717"/>
      <c r="TCK225" s="715"/>
      <c r="TCL225" s="716"/>
      <c r="TCM225" s="716"/>
      <c r="TCN225" s="716"/>
      <c r="TCO225" s="716"/>
      <c r="TCP225" s="717"/>
      <c r="TCQ225" s="715"/>
      <c r="TCR225" s="716"/>
      <c r="TCS225" s="716"/>
      <c r="TCT225" s="716"/>
      <c r="TCU225" s="716"/>
      <c r="TCV225" s="717"/>
      <c r="TCW225" s="715"/>
      <c r="TCX225" s="716"/>
      <c r="TCY225" s="716"/>
      <c r="TCZ225" s="716"/>
      <c r="TDA225" s="716"/>
      <c r="TDB225" s="717"/>
      <c r="TDC225" s="715"/>
      <c r="TDD225" s="716"/>
      <c r="TDE225" s="716"/>
      <c r="TDF225" s="716"/>
      <c r="TDG225" s="716"/>
      <c r="TDH225" s="717"/>
      <c r="TDI225" s="715"/>
      <c r="TDJ225" s="716"/>
      <c r="TDK225" s="716"/>
      <c r="TDL225" s="716"/>
      <c r="TDM225" s="716"/>
      <c r="TDN225" s="717"/>
      <c r="TDO225" s="715"/>
      <c r="TDP225" s="716"/>
      <c r="TDQ225" s="716"/>
      <c r="TDR225" s="716"/>
      <c r="TDS225" s="716"/>
      <c r="TDT225" s="717"/>
      <c r="TDU225" s="715"/>
      <c r="TDV225" s="716"/>
      <c r="TDW225" s="716"/>
      <c r="TDX225" s="716"/>
      <c r="TDY225" s="716"/>
      <c r="TDZ225" s="717"/>
      <c r="TEA225" s="715"/>
      <c r="TEB225" s="716"/>
      <c r="TEC225" s="716"/>
      <c r="TED225" s="716"/>
      <c r="TEE225" s="716"/>
      <c r="TEF225" s="717"/>
      <c r="TEG225" s="715"/>
      <c r="TEH225" s="716"/>
      <c r="TEI225" s="716"/>
      <c r="TEJ225" s="716"/>
      <c r="TEK225" s="716"/>
      <c r="TEL225" s="717"/>
      <c r="TEM225" s="715"/>
      <c r="TEN225" s="716"/>
      <c r="TEO225" s="716"/>
      <c r="TEP225" s="716"/>
      <c r="TEQ225" s="716"/>
      <c r="TER225" s="717"/>
      <c r="TES225" s="715"/>
      <c r="TET225" s="716"/>
      <c r="TEU225" s="716"/>
      <c r="TEV225" s="716"/>
      <c r="TEW225" s="716"/>
      <c r="TEX225" s="717"/>
      <c r="TEY225" s="715"/>
      <c r="TEZ225" s="716"/>
      <c r="TFA225" s="716"/>
      <c r="TFB225" s="716"/>
      <c r="TFC225" s="716"/>
      <c r="TFD225" s="717"/>
      <c r="TFE225" s="715"/>
      <c r="TFF225" s="716"/>
      <c r="TFG225" s="716"/>
      <c r="TFH225" s="716"/>
      <c r="TFI225" s="716"/>
      <c r="TFJ225" s="717"/>
      <c r="TFK225" s="715"/>
      <c r="TFL225" s="716"/>
      <c r="TFM225" s="716"/>
      <c r="TFN225" s="716"/>
      <c r="TFO225" s="716"/>
      <c r="TFP225" s="717"/>
      <c r="TFQ225" s="715"/>
      <c r="TFR225" s="716"/>
      <c r="TFS225" s="716"/>
      <c r="TFT225" s="716"/>
      <c r="TFU225" s="716"/>
      <c r="TFV225" s="717"/>
      <c r="TFW225" s="715"/>
      <c r="TFX225" s="716"/>
      <c r="TFY225" s="716"/>
      <c r="TFZ225" s="716"/>
      <c r="TGA225" s="716"/>
      <c r="TGB225" s="717"/>
      <c r="TGC225" s="715"/>
      <c r="TGD225" s="716"/>
      <c r="TGE225" s="716"/>
      <c r="TGF225" s="716"/>
      <c r="TGG225" s="716"/>
      <c r="TGH225" s="717"/>
      <c r="TGI225" s="715"/>
      <c r="TGJ225" s="716"/>
      <c r="TGK225" s="716"/>
      <c r="TGL225" s="716"/>
      <c r="TGM225" s="716"/>
      <c r="TGN225" s="717"/>
      <c r="TGO225" s="715"/>
      <c r="TGP225" s="716"/>
      <c r="TGQ225" s="716"/>
      <c r="TGR225" s="716"/>
      <c r="TGS225" s="716"/>
      <c r="TGT225" s="717"/>
      <c r="TGU225" s="715"/>
      <c r="TGV225" s="716"/>
      <c r="TGW225" s="716"/>
      <c r="TGX225" s="716"/>
      <c r="TGY225" s="716"/>
      <c r="TGZ225" s="717"/>
      <c r="THA225" s="715"/>
      <c r="THB225" s="716"/>
      <c r="THC225" s="716"/>
      <c r="THD225" s="716"/>
      <c r="THE225" s="716"/>
      <c r="THF225" s="717"/>
      <c r="THG225" s="715"/>
      <c r="THH225" s="716"/>
      <c r="THI225" s="716"/>
      <c r="THJ225" s="716"/>
      <c r="THK225" s="716"/>
      <c r="THL225" s="717"/>
      <c r="THM225" s="715"/>
      <c r="THN225" s="716"/>
      <c r="THO225" s="716"/>
      <c r="THP225" s="716"/>
      <c r="THQ225" s="716"/>
      <c r="THR225" s="717"/>
      <c r="THS225" s="715"/>
      <c r="THT225" s="716"/>
      <c r="THU225" s="716"/>
      <c r="THV225" s="716"/>
      <c r="THW225" s="716"/>
      <c r="THX225" s="717"/>
      <c r="THY225" s="715"/>
      <c r="THZ225" s="716"/>
      <c r="TIA225" s="716"/>
      <c r="TIB225" s="716"/>
      <c r="TIC225" s="716"/>
      <c r="TID225" s="717"/>
      <c r="TIE225" s="715"/>
      <c r="TIF225" s="716"/>
      <c r="TIG225" s="716"/>
      <c r="TIH225" s="716"/>
      <c r="TII225" s="716"/>
      <c r="TIJ225" s="717"/>
      <c r="TIK225" s="715"/>
      <c r="TIL225" s="716"/>
      <c r="TIM225" s="716"/>
      <c r="TIN225" s="716"/>
      <c r="TIO225" s="716"/>
      <c r="TIP225" s="717"/>
      <c r="TIQ225" s="715"/>
      <c r="TIR225" s="716"/>
      <c r="TIS225" s="716"/>
      <c r="TIT225" s="716"/>
      <c r="TIU225" s="716"/>
      <c r="TIV225" s="717"/>
      <c r="TIW225" s="715"/>
      <c r="TIX225" s="716"/>
      <c r="TIY225" s="716"/>
      <c r="TIZ225" s="716"/>
      <c r="TJA225" s="716"/>
      <c r="TJB225" s="717"/>
      <c r="TJC225" s="715"/>
      <c r="TJD225" s="716"/>
      <c r="TJE225" s="716"/>
      <c r="TJF225" s="716"/>
      <c r="TJG225" s="716"/>
      <c r="TJH225" s="717"/>
      <c r="TJI225" s="715"/>
      <c r="TJJ225" s="716"/>
      <c r="TJK225" s="716"/>
      <c r="TJL225" s="716"/>
      <c r="TJM225" s="716"/>
      <c r="TJN225" s="717"/>
      <c r="TJO225" s="715"/>
      <c r="TJP225" s="716"/>
      <c r="TJQ225" s="716"/>
      <c r="TJR225" s="716"/>
      <c r="TJS225" s="716"/>
      <c r="TJT225" s="717"/>
      <c r="TJU225" s="715"/>
      <c r="TJV225" s="716"/>
      <c r="TJW225" s="716"/>
      <c r="TJX225" s="716"/>
      <c r="TJY225" s="716"/>
      <c r="TJZ225" s="717"/>
      <c r="TKA225" s="715"/>
      <c r="TKB225" s="716"/>
      <c r="TKC225" s="716"/>
      <c r="TKD225" s="716"/>
      <c r="TKE225" s="716"/>
      <c r="TKF225" s="717"/>
      <c r="TKG225" s="715"/>
      <c r="TKH225" s="716"/>
      <c r="TKI225" s="716"/>
      <c r="TKJ225" s="716"/>
      <c r="TKK225" s="716"/>
      <c r="TKL225" s="717"/>
      <c r="TKM225" s="715"/>
      <c r="TKN225" s="716"/>
      <c r="TKO225" s="716"/>
      <c r="TKP225" s="716"/>
      <c r="TKQ225" s="716"/>
      <c r="TKR225" s="717"/>
      <c r="TKS225" s="715"/>
      <c r="TKT225" s="716"/>
      <c r="TKU225" s="716"/>
      <c r="TKV225" s="716"/>
      <c r="TKW225" s="716"/>
      <c r="TKX225" s="717"/>
      <c r="TKY225" s="715"/>
      <c r="TKZ225" s="716"/>
      <c r="TLA225" s="716"/>
      <c r="TLB225" s="716"/>
      <c r="TLC225" s="716"/>
      <c r="TLD225" s="717"/>
      <c r="TLE225" s="715"/>
      <c r="TLF225" s="716"/>
      <c r="TLG225" s="716"/>
      <c r="TLH225" s="716"/>
      <c r="TLI225" s="716"/>
      <c r="TLJ225" s="717"/>
      <c r="TLK225" s="715"/>
      <c r="TLL225" s="716"/>
      <c r="TLM225" s="716"/>
      <c r="TLN225" s="716"/>
      <c r="TLO225" s="716"/>
      <c r="TLP225" s="717"/>
      <c r="TLQ225" s="715"/>
      <c r="TLR225" s="716"/>
      <c r="TLS225" s="716"/>
      <c r="TLT225" s="716"/>
      <c r="TLU225" s="716"/>
      <c r="TLV225" s="717"/>
      <c r="TLW225" s="715"/>
      <c r="TLX225" s="716"/>
      <c r="TLY225" s="716"/>
      <c r="TLZ225" s="716"/>
      <c r="TMA225" s="716"/>
      <c r="TMB225" s="717"/>
      <c r="TMC225" s="715"/>
      <c r="TMD225" s="716"/>
      <c r="TME225" s="716"/>
      <c r="TMF225" s="716"/>
      <c r="TMG225" s="716"/>
      <c r="TMH225" s="717"/>
      <c r="TMI225" s="715"/>
      <c r="TMJ225" s="716"/>
      <c r="TMK225" s="716"/>
      <c r="TML225" s="716"/>
      <c r="TMM225" s="716"/>
      <c r="TMN225" s="717"/>
      <c r="TMO225" s="715"/>
      <c r="TMP225" s="716"/>
      <c r="TMQ225" s="716"/>
      <c r="TMR225" s="716"/>
      <c r="TMS225" s="716"/>
      <c r="TMT225" s="717"/>
      <c r="TMU225" s="715"/>
      <c r="TMV225" s="716"/>
      <c r="TMW225" s="716"/>
      <c r="TMX225" s="716"/>
      <c r="TMY225" s="716"/>
      <c r="TMZ225" s="717"/>
      <c r="TNA225" s="715"/>
      <c r="TNB225" s="716"/>
      <c r="TNC225" s="716"/>
      <c r="TND225" s="716"/>
      <c r="TNE225" s="716"/>
      <c r="TNF225" s="717"/>
      <c r="TNG225" s="715"/>
      <c r="TNH225" s="716"/>
      <c r="TNI225" s="716"/>
      <c r="TNJ225" s="716"/>
      <c r="TNK225" s="716"/>
      <c r="TNL225" s="717"/>
      <c r="TNM225" s="715"/>
      <c r="TNN225" s="716"/>
      <c r="TNO225" s="716"/>
      <c r="TNP225" s="716"/>
      <c r="TNQ225" s="716"/>
      <c r="TNR225" s="717"/>
      <c r="TNS225" s="715"/>
      <c r="TNT225" s="716"/>
      <c r="TNU225" s="716"/>
      <c r="TNV225" s="716"/>
      <c r="TNW225" s="716"/>
      <c r="TNX225" s="717"/>
      <c r="TNY225" s="715"/>
      <c r="TNZ225" s="716"/>
      <c r="TOA225" s="716"/>
      <c r="TOB225" s="716"/>
      <c r="TOC225" s="716"/>
      <c r="TOD225" s="717"/>
      <c r="TOE225" s="715"/>
      <c r="TOF225" s="716"/>
      <c r="TOG225" s="716"/>
      <c r="TOH225" s="716"/>
      <c r="TOI225" s="716"/>
      <c r="TOJ225" s="717"/>
      <c r="TOK225" s="715"/>
      <c r="TOL225" s="716"/>
      <c r="TOM225" s="716"/>
      <c r="TON225" s="716"/>
      <c r="TOO225" s="716"/>
      <c r="TOP225" s="717"/>
      <c r="TOQ225" s="715"/>
      <c r="TOR225" s="716"/>
      <c r="TOS225" s="716"/>
      <c r="TOT225" s="716"/>
      <c r="TOU225" s="716"/>
      <c r="TOV225" s="717"/>
      <c r="TOW225" s="715"/>
      <c r="TOX225" s="716"/>
      <c r="TOY225" s="716"/>
      <c r="TOZ225" s="716"/>
      <c r="TPA225" s="716"/>
      <c r="TPB225" s="717"/>
      <c r="TPC225" s="715"/>
      <c r="TPD225" s="716"/>
      <c r="TPE225" s="716"/>
      <c r="TPF225" s="716"/>
      <c r="TPG225" s="716"/>
      <c r="TPH225" s="717"/>
      <c r="TPI225" s="715"/>
      <c r="TPJ225" s="716"/>
      <c r="TPK225" s="716"/>
      <c r="TPL225" s="716"/>
      <c r="TPM225" s="716"/>
      <c r="TPN225" s="717"/>
      <c r="TPO225" s="715"/>
      <c r="TPP225" s="716"/>
      <c r="TPQ225" s="716"/>
      <c r="TPR225" s="716"/>
      <c r="TPS225" s="716"/>
      <c r="TPT225" s="717"/>
      <c r="TPU225" s="715"/>
      <c r="TPV225" s="716"/>
      <c r="TPW225" s="716"/>
      <c r="TPX225" s="716"/>
      <c r="TPY225" s="716"/>
      <c r="TPZ225" s="717"/>
      <c r="TQA225" s="715"/>
      <c r="TQB225" s="716"/>
      <c r="TQC225" s="716"/>
      <c r="TQD225" s="716"/>
      <c r="TQE225" s="716"/>
      <c r="TQF225" s="717"/>
      <c r="TQG225" s="715"/>
      <c r="TQH225" s="716"/>
      <c r="TQI225" s="716"/>
      <c r="TQJ225" s="716"/>
      <c r="TQK225" s="716"/>
      <c r="TQL225" s="717"/>
      <c r="TQM225" s="715"/>
      <c r="TQN225" s="716"/>
      <c r="TQO225" s="716"/>
      <c r="TQP225" s="716"/>
      <c r="TQQ225" s="716"/>
      <c r="TQR225" s="717"/>
      <c r="TQS225" s="715"/>
      <c r="TQT225" s="716"/>
      <c r="TQU225" s="716"/>
      <c r="TQV225" s="716"/>
      <c r="TQW225" s="716"/>
      <c r="TQX225" s="717"/>
      <c r="TQY225" s="715"/>
      <c r="TQZ225" s="716"/>
      <c r="TRA225" s="716"/>
      <c r="TRB225" s="716"/>
      <c r="TRC225" s="716"/>
      <c r="TRD225" s="717"/>
      <c r="TRE225" s="715"/>
      <c r="TRF225" s="716"/>
      <c r="TRG225" s="716"/>
      <c r="TRH225" s="716"/>
      <c r="TRI225" s="716"/>
      <c r="TRJ225" s="717"/>
      <c r="TRK225" s="715"/>
      <c r="TRL225" s="716"/>
      <c r="TRM225" s="716"/>
      <c r="TRN225" s="716"/>
      <c r="TRO225" s="716"/>
      <c r="TRP225" s="717"/>
      <c r="TRQ225" s="715"/>
      <c r="TRR225" s="716"/>
      <c r="TRS225" s="716"/>
      <c r="TRT225" s="716"/>
      <c r="TRU225" s="716"/>
      <c r="TRV225" s="717"/>
      <c r="TRW225" s="715"/>
      <c r="TRX225" s="716"/>
      <c r="TRY225" s="716"/>
      <c r="TRZ225" s="716"/>
      <c r="TSA225" s="716"/>
      <c r="TSB225" s="717"/>
      <c r="TSC225" s="715"/>
      <c r="TSD225" s="716"/>
      <c r="TSE225" s="716"/>
      <c r="TSF225" s="716"/>
      <c r="TSG225" s="716"/>
      <c r="TSH225" s="717"/>
      <c r="TSI225" s="715"/>
      <c r="TSJ225" s="716"/>
      <c r="TSK225" s="716"/>
      <c r="TSL225" s="716"/>
      <c r="TSM225" s="716"/>
      <c r="TSN225" s="717"/>
      <c r="TSO225" s="715"/>
      <c r="TSP225" s="716"/>
      <c r="TSQ225" s="716"/>
      <c r="TSR225" s="716"/>
      <c r="TSS225" s="716"/>
      <c r="TST225" s="717"/>
      <c r="TSU225" s="715"/>
      <c r="TSV225" s="716"/>
      <c r="TSW225" s="716"/>
      <c r="TSX225" s="716"/>
      <c r="TSY225" s="716"/>
      <c r="TSZ225" s="717"/>
      <c r="TTA225" s="715"/>
      <c r="TTB225" s="716"/>
      <c r="TTC225" s="716"/>
      <c r="TTD225" s="716"/>
      <c r="TTE225" s="716"/>
      <c r="TTF225" s="717"/>
      <c r="TTG225" s="715"/>
      <c r="TTH225" s="716"/>
      <c r="TTI225" s="716"/>
      <c r="TTJ225" s="716"/>
      <c r="TTK225" s="716"/>
      <c r="TTL225" s="717"/>
      <c r="TTM225" s="715"/>
      <c r="TTN225" s="716"/>
      <c r="TTO225" s="716"/>
      <c r="TTP225" s="716"/>
      <c r="TTQ225" s="716"/>
      <c r="TTR225" s="717"/>
      <c r="TTS225" s="715"/>
      <c r="TTT225" s="716"/>
      <c r="TTU225" s="716"/>
      <c r="TTV225" s="716"/>
      <c r="TTW225" s="716"/>
      <c r="TTX225" s="717"/>
      <c r="TTY225" s="715"/>
      <c r="TTZ225" s="716"/>
      <c r="TUA225" s="716"/>
      <c r="TUB225" s="716"/>
      <c r="TUC225" s="716"/>
      <c r="TUD225" s="717"/>
      <c r="TUE225" s="715"/>
      <c r="TUF225" s="716"/>
      <c r="TUG225" s="716"/>
      <c r="TUH225" s="716"/>
      <c r="TUI225" s="716"/>
      <c r="TUJ225" s="717"/>
      <c r="TUK225" s="715"/>
      <c r="TUL225" s="716"/>
      <c r="TUM225" s="716"/>
      <c r="TUN225" s="716"/>
      <c r="TUO225" s="716"/>
      <c r="TUP225" s="717"/>
      <c r="TUQ225" s="715"/>
      <c r="TUR225" s="716"/>
      <c r="TUS225" s="716"/>
      <c r="TUT225" s="716"/>
      <c r="TUU225" s="716"/>
      <c r="TUV225" s="717"/>
      <c r="TUW225" s="715"/>
      <c r="TUX225" s="716"/>
      <c r="TUY225" s="716"/>
      <c r="TUZ225" s="716"/>
      <c r="TVA225" s="716"/>
      <c r="TVB225" s="717"/>
      <c r="TVC225" s="715"/>
      <c r="TVD225" s="716"/>
      <c r="TVE225" s="716"/>
      <c r="TVF225" s="716"/>
      <c r="TVG225" s="716"/>
      <c r="TVH225" s="717"/>
      <c r="TVI225" s="715"/>
      <c r="TVJ225" s="716"/>
      <c r="TVK225" s="716"/>
      <c r="TVL225" s="716"/>
      <c r="TVM225" s="716"/>
      <c r="TVN225" s="717"/>
      <c r="TVO225" s="715"/>
      <c r="TVP225" s="716"/>
      <c r="TVQ225" s="716"/>
      <c r="TVR225" s="716"/>
      <c r="TVS225" s="716"/>
      <c r="TVT225" s="717"/>
      <c r="TVU225" s="715"/>
      <c r="TVV225" s="716"/>
      <c r="TVW225" s="716"/>
      <c r="TVX225" s="716"/>
      <c r="TVY225" s="716"/>
      <c r="TVZ225" s="717"/>
      <c r="TWA225" s="715"/>
      <c r="TWB225" s="716"/>
      <c r="TWC225" s="716"/>
      <c r="TWD225" s="716"/>
      <c r="TWE225" s="716"/>
      <c r="TWF225" s="717"/>
      <c r="TWG225" s="715"/>
      <c r="TWH225" s="716"/>
      <c r="TWI225" s="716"/>
      <c r="TWJ225" s="716"/>
      <c r="TWK225" s="716"/>
      <c r="TWL225" s="717"/>
      <c r="TWM225" s="715"/>
      <c r="TWN225" s="716"/>
      <c r="TWO225" s="716"/>
      <c r="TWP225" s="716"/>
      <c r="TWQ225" s="716"/>
      <c r="TWR225" s="717"/>
      <c r="TWS225" s="715"/>
      <c r="TWT225" s="716"/>
      <c r="TWU225" s="716"/>
      <c r="TWV225" s="716"/>
      <c r="TWW225" s="716"/>
      <c r="TWX225" s="717"/>
      <c r="TWY225" s="715"/>
      <c r="TWZ225" s="716"/>
      <c r="TXA225" s="716"/>
      <c r="TXB225" s="716"/>
      <c r="TXC225" s="716"/>
      <c r="TXD225" s="717"/>
      <c r="TXE225" s="715"/>
      <c r="TXF225" s="716"/>
      <c r="TXG225" s="716"/>
      <c r="TXH225" s="716"/>
      <c r="TXI225" s="716"/>
      <c r="TXJ225" s="717"/>
      <c r="TXK225" s="715"/>
      <c r="TXL225" s="716"/>
      <c r="TXM225" s="716"/>
      <c r="TXN225" s="716"/>
      <c r="TXO225" s="716"/>
      <c r="TXP225" s="717"/>
      <c r="TXQ225" s="715"/>
      <c r="TXR225" s="716"/>
      <c r="TXS225" s="716"/>
      <c r="TXT225" s="716"/>
      <c r="TXU225" s="716"/>
      <c r="TXV225" s="717"/>
      <c r="TXW225" s="715"/>
      <c r="TXX225" s="716"/>
      <c r="TXY225" s="716"/>
      <c r="TXZ225" s="716"/>
      <c r="TYA225" s="716"/>
      <c r="TYB225" s="717"/>
      <c r="TYC225" s="715"/>
      <c r="TYD225" s="716"/>
      <c r="TYE225" s="716"/>
      <c r="TYF225" s="716"/>
      <c r="TYG225" s="716"/>
      <c r="TYH225" s="717"/>
      <c r="TYI225" s="715"/>
      <c r="TYJ225" s="716"/>
      <c r="TYK225" s="716"/>
      <c r="TYL225" s="716"/>
      <c r="TYM225" s="716"/>
      <c r="TYN225" s="717"/>
      <c r="TYO225" s="715"/>
      <c r="TYP225" s="716"/>
      <c r="TYQ225" s="716"/>
      <c r="TYR225" s="716"/>
      <c r="TYS225" s="716"/>
      <c r="TYT225" s="717"/>
      <c r="TYU225" s="715"/>
      <c r="TYV225" s="716"/>
      <c r="TYW225" s="716"/>
      <c r="TYX225" s="716"/>
      <c r="TYY225" s="716"/>
      <c r="TYZ225" s="717"/>
      <c r="TZA225" s="715"/>
      <c r="TZB225" s="716"/>
      <c r="TZC225" s="716"/>
      <c r="TZD225" s="716"/>
      <c r="TZE225" s="716"/>
      <c r="TZF225" s="717"/>
      <c r="TZG225" s="715"/>
      <c r="TZH225" s="716"/>
      <c r="TZI225" s="716"/>
      <c r="TZJ225" s="716"/>
      <c r="TZK225" s="716"/>
      <c r="TZL225" s="717"/>
      <c r="TZM225" s="715"/>
      <c r="TZN225" s="716"/>
      <c r="TZO225" s="716"/>
      <c r="TZP225" s="716"/>
      <c r="TZQ225" s="716"/>
      <c r="TZR225" s="717"/>
      <c r="TZS225" s="715"/>
      <c r="TZT225" s="716"/>
      <c r="TZU225" s="716"/>
      <c r="TZV225" s="716"/>
      <c r="TZW225" s="716"/>
      <c r="TZX225" s="717"/>
      <c r="TZY225" s="715"/>
      <c r="TZZ225" s="716"/>
      <c r="UAA225" s="716"/>
      <c r="UAB225" s="716"/>
      <c r="UAC225" s="716"/>
      <c r="UAD225" s="717"/>
      <c r="UAE225" s="715"/>
      <c r="UAF225" s="716"/>
      <c r="UAG225" s="716"/>
      <c r="UAH225" s="716"/>
      <c r="UAI225" s="716"/>
      <c r="UAJ225" s="717"/>
      <c r="UAK225" s="715"/>
      <c r="UAL225" s="716"/>
      <c r="UAM225" s="716"/>
      <c r="UAN225" s="716"/>
      <c r="UAO225" s="716"/>
      <c r="UAP225" s="717"/>
      <c r="UAQ225" s="715"/>
      <c r="UAR225" s="716"/>
      <c r="UAS225" s="716"/>
      <c r="UAT225" s="716"/>
      <c r="UAU225" s="716"/>
      <c r="UAV225" s="717"/>
      <c r="UAW225" s="715"/>
      <c r="UAX225" s="716"/>
      <c r="UAY225" s="716"/>
      <c r="UAZ225" s="716"/>
      <c r="UBA225" s="716"/>
      <c r="UBB225" s="717"/>
      <c r="UBC225" s="715"/>
      <c r="UBD225" s="716"/>
      <c r="UBE225" s="716"/>
      <c r="UBF225" s="716"/>
      <c r="UBG225" s="716"/>
      <c r="UBH225" s="717"/>
      <c r="UBI225" s="715"/>
      <c r="UBJ225" s="716"/>
      <c r="UBK225" s="716"/>
      <c r="UBL225" s="716"/>
      <c r="UBM225" s="716"/>
      <c r="UBN225" s="717"/>
      <c r="UBO225" s="715"/>
      <c r="UBP225" s="716"/>
      <c r="UBQ225" s="716"/>
      <c r="UBR225" s="716"/>
      <c r="UBS225" s="716"/>
      <c r="UBT225" s="717"/>
      <c r="UBU225" s="715"/>
      <c r="UBV225" s="716"/>
      <c r="UBW225" s="716"/>
      <c r="UBX225" s="716"/>
      <c r="UBY225" s="716"/>
      <c r="UBZ225" s="717"/>
      <c r="UCA225" s="715"/>
      <c r="UCB225" s="716"/>
      <c r="UCC225" s="716"/>
      <c r="UCD225" s="716"/>
      <c r="UCE225" s="716"/>
      <c r="UCF225" s="717"/>
      <c r="UCG225" s="715"/>
      <c r="UCH225" s="716"/>
      <c r="UCI225" s="716"/>
      <c r="UCJ225" s="716"/>
      <c r="UCK225" s="716"/>
      <c r="UCL225" s="717"/>
      <c r="UCM225" s="715"/>
      <c r="UCN225" s="716"/>
      <c r="UCO225" s="716"/>
      <c r="UCP225" s="716"/>
      <c r="UCQ225" s="716"/>
      <c r="UCR225" s="717"/>
      <c r="UCS225" s="715"/>
      <c r="UCT225" s="716"/>
      <c r="UCU225" s="716"/>
      <c r="UCV225" s="716"/>
      <c r="UCW225" s="716"/>
      <c r="UCX225" s="717"/>
      <c r="UCY225" s="715"/>
      <c r="UCZ225" s="716"/>
      <c r="UDA225" s="716"/>
      <c r="UDB225" s="716"/>
      <c r="UDC225" s="716"/>
      <c r="UDD225" s="717"/>
      <c r="UDE225" s="715"/>
      <c r="UDF225" s="716"/>
      <c r="UDG225" s="716"/>
      <c r="UDH225" s="716"/>
      <c r="UDI225" s="716"/>
      <c r="UDJ225" s="717"/>
      <c r="UDK225" s="715"/>
      <c r="UDL225" s="716"/>
      <c r="UDM225" s="716"/>
      <c r="UDN225" s="716"/>
      <c r="UDO225" s="716"/>
      <c r="UDP225" s="717"/>
      <c r="UDQ225" s="715"/>
      <c r="UDR225" s="716"/>
      <c r="UDS225" s="716"/>
      <c r="UDT225" s="716"/>
      <c r="UDU225" s="716"/>
      <c r="UDV225" s="717"/>
      <c r="UDW225" s="715"/>
      <c r="UDX225" s="716"/>
      <c r="UDY225" s="716"/>
      <c r="UDZ225" s="716"/>
      <c r="UEA225" s="716"/>
      <c r="UEB225" s="717"/>
      <c r="UEC225" s="715"/>
      <c r="UED225" s="716"/>
      <c r="UEE225" s="716"/>
      <c r="UEF225" s="716"/>
      <c r="UEG225" s="716"/>
      <c r="UEH225" s="717"/>
      <c r="UEI225" s="715"/>
      <c r="UEJ225" s="716"/>
      <c r="UEK225" s="716"/>
      <c r="UEL225" s="716"/>
      <c r="UEM225" s="716"/>
      <c r="UEN225" s="717"/>
      <c r="UEO225" s="715"/>
      <c r="UEP225" s="716"/>
      <c r="UEQ225" s="716"/>
      <c r="UER225" s="716"/>
      <c r="UES225" s="716"/>
      <c r="UET225" s="717"/>
      <c r="UEU225" s="715"/>
      <c r="UEV225" s="716"/>
      <c r="UEW225" s="716"/>
      <c r="UEX225" s="716"/>
      <c r="UEY225" s="716"/>
      <c r="UEZ225" s="717"/>
      <c r="UFA225" s="715"/>
      <c r="UFB225" s="716"/>
      <c r="UFC225" s="716"/>
      <c r="UFD225" s="716"/>
      <c r="UFE225" s="716"/>
      <c r="UFF225" s="717"/>
      <c r="UFG225" s="715"/>
      <c r="UFH225" s="716"/>
      <c r="UFI225" s="716"/>
      <c r="UFJ225" s="716"/>
      <c r="UFK225" s="716"/>
      <c r="UFL225" s="717"/>
      <c r="UFM225" s="715"/>
      <c r="UFN225" s="716"/>
      <c r="UFO225" s="716"/>
      <c r="UFP225" s="716"/>
      <c r="UFQ225" s="716"/>
      <c r="UFR225" s="717"/>
      <c r="UFS225" s="715"/>
      <c r="UFT225" s="716"/>
      <c r="UFU225" s="716"/>
      <c r="UFV225" s="716"/>
      <c r="UFW225" s="716"/>
      <c r="UFX225" s="717"/>
      <c r="UFY225" s="715"/>
      <c r="UFZ225" s="716"/>
      <c r="UGA225" s="716"/>
      <c r="UGB225" s="716"/>
      <c r="UGC225" s="716"/>
      <c r="UGD225" s="717"/>
      <c r="UGE225" s="715"/>
      <c r="UGF225" s="716"/>
      <c r="UGG225" s="716"/>
      <c r="UGH225" s="716"/>
      <c r="UGI225" s="716"/>
      <c r="UGJ225" s="717"/>
      <c r="UGK225" s="715"/>
      <c r="UGL225" s="716"/>
      <c r="UGM225" s="716"/>
      <c r="UGN225" s="716"/>
      <c r="UGO225" s="716"/>
      <c r="UGP225" s="717"/>
      <c r="UGQ225" s="715"/>
      <c r="UGR225" s="716"/>
      <c r="UGS225" s="716"/>
      <c r="UGT225" s="716"/>
      <c r="UGU225" s="716"/>
      <c r="UGV225" s="717"/>
      <c r="UGW225" s="715"/>
      <c r="UGX225" s="716"/>
      <c r="UGY225" s="716"/>
      <c r="UGZ225" s="716"/>
      <c r="UHA225" s="716"/>
      <c r="UHB225" s="717"/>
      <c r="UHC225" s="715"/>
      <c r="UHD225" s="716"/>
      <c r="UHE225" s="716"/>
      <c r="UHF225" s="716"/>
      <c r="UHG225" s="716"/>
      <c r="UHH225" s="717"/>
      <c r="UHI225" s="715"/>
      <c r="UHJ225" s="716"/>
      <c r="UHK225" s="716"/>
      <c r="UHL225" s="716"/>
      <c r="UHM225" s="716"/>
      <c r="UHN225" s="717"/>
      <c r="UHO225" s="715"/>
      <c r="UHP225" s="716"/>
      <c r="UHQ225" s="716"/>
      <c r="UHR225" s="716"/>
      <c r="UHS225" s="716"/>
      <c r="UHT225" s="717"/>
      <c r="UHU225" s="715"/>
      <c r="UHV225" s="716"/>
      <c r="UHW225" s="716"/>
      <c r="UHX225" s="716"/>
      <c r="UHY225" s="716"/>
      <c r="UHZ225" s="717"/>
      <c r="UIA225" s="715"/>
      <c r="UIB225" s="716"/>
      <c r="UIC225" s="716"/>
      <c r="UID225" s="716"/>
      <c r="UIE225" s="716"/>
      <c r="UIF225" s="717"/>
      <c r="UIG225" s="715"/>
      <c r="UIH225" s="716"/>
      <c r="UII225" s="716"/>
      <c r="UIJ225" s="716"/>
      <c r="UIK225" s="716"/>
      <c r="UIL225" s="717"/>
      <c r="UIM225" s="715"/>
      <c r="UIN225" s="716"/>
      <c r="UIO225" s="716"/>
      <c r="UIP225" s="716"/>
      <c r="UIQ225" s="716"/>
      <c r="UIR225" s="717"/>
      <c r="UIS225" s="715"/>
      <c r="UIT225" s="716"/>
      <c r="UIU225" s="716"/>
      <c r="UIV225" s="716"/>
      <c r="UIW225" s="716"/>
      <c r="UIX225" s="717"/>
      <c r="UIY225" s="715"/>
      <c r="UIZ225" s="716"/>
      <c r="UJA225" s="716"/>
      <c r="UJB225" s="716"/>
      <c r="UJC225" s="716"/>
      <c r="UJD225" s="717"/>
      <c r="UJE225" s="715"/>
      <c r="UJF225" s="716"/>
      <c r="UJG225" s="716"/>
      <c r="UJH225" s="716"/>
      <c r="UJI225" s="716"/>
      <c r="UJJ225" s="717"/>
      <c r="UJK225" s="715"/>
      <c r="UJL225" s="716"/>
      <c r="UJM225" s="716"/>
      <c r="UJN225" s="716"/>
      <c r="UJO225" s="716"/>
      <c r="UJP225" s="717"/>
      <c r="UJQ225" s="715"/>
      <c r="UJR225" s="716"/>
      <c r="UJS225" s="716"/>
      <c r="UJT225" s="716"/>
      <c r="UJU225" s="716"/>
      <c r="UJV225" s="717"/>
      <c r="UJW225" s="715"/>
      <c r="UJX225" s="716"/>
      <c r="UJY225" s="716"/>
      <c r="UJZ225" s="716"/>
      <c r="UKA225" s="716"/>
      <c r="UKB225" s="717"/>
      <c r="UKC225" s="715"/>
      <c r="UKD225" s="716"/>
      <c r="UKE225" s="716"/>
      <c r="UKF225" s="716"/>
      <c r="UKG225" s="716"/>
      <c r="UKH225" s="717"/>
      <c r="UKI225" s="715"/>
      <c r="UKJ225" s="716"/>
      <c r="UKK225" s="716"/>
      <c r="UKL225" s="716"/>
      <c r="UKM225" s="716"/>
      <c r="UKN225" s="717"/>
      <c r="UKO225" s="715"/>
      <c r="UKP225" s="716"/>
      <c r="UKQ225" s="716"/>
      <c r="UKR225" s="716"/>
      <c r="UKS225" s="716"/>
      <c r="UKT225" s="717"/>
      <c r="UKU225" s="715"/>
      <c r="UKV225" s="716"/>
      <c r="UKW225" s="716"/>
      <c r="UKX225" s="716"/>
      <c r="UKY225" s="716"/>
      <c r="UKZ225" s="717"/>
      <c r="ULA225" s="715"/>
      <c r="ULB225" s="716"/>
      <c r="ULC225" s="716"/>
      <c r="ULD225" s="716"/>
      <c r="ULE225" s="716"/>
      <c r="ULF225" s="717"/>
      <c r="ULG225" s="715"/>
      <c r="ULH225" s="716"/>
      <c r="ULI225" s="716"/>
      <c r="ULJ225" s="716"/>
      <c r="ULK225" s="716"/>
      <c r="ULL225" s="717"/>
      <c r="ULM225" s="715"/>
      <c r="ULN225" s="716"/>
      <c r="ULO225" s="716"/>
      <c r="ULP225" s="716"/>
      <c r="ULQ225" s="716"/>
      <c r="ULR225" s="717"/>
      <c r="ULS225" s="715"/>
      <c r="ULT225" s="716"/>
      <c r="ULU225" s="716"/>
      <c r="ULV225" s="716"/>
      <c r="ULW225" s="716"/>
      <c r="ULX225" s="717"/>
      <c r="ULY225" s="715"/>
      <c r="ULZ225" s="716"/>
      <c r="UMA225" s="716"/>
      <c r="UMB225" s="716"/>
      <c r="UMC225" s="716"/>
      <c r="UMD225" s="717"/>
      <c r="UME225" s="715"/>
      <c r="UMF225" s="716"/>
      <c r="UMG225" s="716"/>
      <c r="UMH225" s="716"/>
      <c r="UMI225" s="716"/>
      <c r="UMJ225" s="717"/>
      <c r="UMK225" s="715"/>
      <c r="UML225" s="716"/>
      <c r="UMM225" s="716"/>
      <c r="UMN225" s="716"/>
      <c r="UMO225" s="716"/>
      <c r="UMP225" s="717"/>
      <c r="UMQ225" s="715"/>
      <c r="UMR225" s="716"/>
      <c r="UMS225" s="716"/>
      <c r="UMT225" s="716"/>
      <c r="UMU225" s="716"/>
      <c r="UMV225" s="717"/>
      <c r="UMW225" s="715"/>
      <c r="UMX225" s="716"/>
      <c r="UMY225" s="716"/>
      <c r="UMZ225" s="716"/>
      <c r="UNA225" s="716"/>
      <c r="UNB225" s="717"/>
      <c r="UNC225" s="715"/>
      <c r="UND225" s="716"/>
      <c r="UNE225" s="716"/>
      <c r="UNF225" s="716"/>
      <c r="UNG225" s="716"/>
      <c r="UNH225" s="717"/>
      <c r="UNI225" s="715"/>
      <c r="UNJ225" s="716"/>
      <c r="UNK225" s="716"/>
      <c r="UNL225" s="716"/>
      <c r="UNM225" s="716"/>
      <c r="UNN225" s="717"/>
      <c r="UNO225" s="715"/>
      <c r="UNP225" s="716"/>
      <c r="UNQ225" s="716"/>
      <c r="UNR225" s="716"/>
      <c r="UNS225" s="716"/>
      <c r="UNT225" s="717"/>
      <c r="UNU225" s="715"/>
      <c r="UNV225" s="716"/>
      <c r="UNW225" s="716"/>
      <c r="UNX225" s="716"/>
      <c r="UNY225" s="716"/>
      <c r="UNZ225" s="717"/>
      <c r="UOA225" s="715"/>
      <c r="UOB225" s="716"/>
      <c r="UOC225" s="716"/>
      <c r="UOD225" s="716"/>
      <c r="UOE225" s="716"/>
      <c r="UOF225" s="717"/>
      <c r="UOG225" s="715"/>
      <c r="UOH225" s="716"/>
      <c r="UOI225" s="716"/>
      <c r="UOJ225" s="716"/>
      <c r="UOK225" s="716"/>
      <c r="UOL225" s="717"/>
      <c r="UOM225" s="715"/>
      <c r="UON225" s="716"/>
      <c r="UOO225" s="716"/>
      <c r="UOP225" s="716"/>
      <c r="UOQ225" s="716"/>
      <c r="UOR225" s="717"/>
      <c r="UOS225" s="715"/>
      <c r="UOT225" s="716"/>
      <c r="UOU225" s="716"/>
      <c r="UOV225" s="716"/>
      <c r="UOW225" s="716"/>
      <c r="UOX225" s="717"/>
      <c r="UOY225" s="715"/>
      <c r="UOZ225" s="716"/>
      <c r="UPA225" s="716"/>
      <c r="UPB225" s="716"/>
      <c r="UPC225" s="716"/>
      <c r="UPD225" s="717"/>
      <c r="UPE225" s="715"/>
      <c r="UPF225" s="716"/>
      <c r="UPG225" s="716"/>
      <c r="UPH225" s="716"/>
      <c r="UPI225" s="716"/>
      <c r="UPJ225" s="717"/>
      <c r="UPK225" s="715"/>
      <c r="UPL225" s="716"/>
      <c r="UPM225" s="716"/>
      <c r="UPN225" s="716"/>
      <c r="UPO225" s="716"/>
      <c r="UPP225" s="717"/>
      <c r="UPQ225" s="715"/>
      <c r="UPR225" s="716"/>
      <c r="UPS225" s="716"/>
      <c r="UPT225" s="716"/>
      <c r="UPU225" s="716"/>
      <c r="UPV225" s="717"/>
      <c r="UPW225" s="715"/>
      <c r="UPX225" s="716"/>
      <c r="UPY225" s="716"/>
      <c r="UPZ225" s="716"/>
      <c r="UQA225" s="716"/>
      <c r="UQB225" s="717"/>
      <c r="UQC225" s="715"/>
      <c r="UQD225" s="716"/>
      <c r="UQE225" s="716"/>
      <c r="UQF225" s="716"/>
      <c r="UQG225" s="716"/>
      <c r="UQH225" s="717"/>
      <c r="UQI225" s="715"/>
      <c r="UQJ225" s="716"/>
      <c r="UQK225" s="716"/>
      <c r="UQL225" s="716"/>
      <c r="UQM225" s="716"/>
      <c r="UQN225" s="717"/>
      <c r="UQO225" s="715"/>
      <c r="UQP225" s="716"/>
      <c r="UQQ225" s="716"/>
      <c r="UQR225" s="716"/>
      <c r="UQS225" s="716"/>
      <c r="UQT225" s="717"/>
      <c r="UQU225" s="715"/>
      <c r="UQV225" s="716"/>
      <c r="UQW225" s="716"/>
      <c r="UQX225" s="716"/>
      <c r="UQY225" s="716"/>
      <c r="UQZ225" s="717"/>
      <c r="URA225" s="715"/>
      <c r="URB225" s="716"/>
      <c r="URC225" s="716"/>
      <c r="URD225" s="716"/>
      <c r="URE225" s="716"/>
      <c r="URF225" s="717"/>
      <c r="URG225" s="715"/>
      <c r="URH225" s="716"/>
      <c r="URI225" s="716"/>
      <c r="URJ225" s="716"/>
      <c r="URK225" s="716"/>
      <c r="URL225" s="717"/>
      <c r="URM225" s="715"/>
      <c r="URN225" s="716"/>
      <c r="URO225" s="716"/>
      <c r="URP225" s="716"/>
      <c r="URQ225" s="716"/>
      <c r="URR225" s="717"/>
      <c r="URS225" s="715"/>
      <c r="URT225" s="716"/>
      <c r="URU225" s="716"/>
      <c r="URV225" s="716"/>
      <c r="URW225" s="716"/>
      <c r="URX225" s="717"/>
      <c r="URY225" s="715"/>
      <c r="URZ225" s="716"/>
      <c r="USA225" s="716"/>
      <c r="USB225" s="716"/>
      <c r="USC225" s="716"/>
      <c r="USD225" s="717"/>
      <c r="USE225" s="715"/>
      <c r="USF225" s="716"/>
      <c r="USG225" s="716"/>
      <c r="USH225" s="716"/>
      <c r="USI225" s="716"/>
      <c r="USJ225" s="717"/>
      <c r="USK225" s="715"/>
      <c r="USL225" s="716"/>
      <c r="USM225" s="716"/>
      <c r="USN225" s="716"/>
      <c r="USO225" s="716"/>
      <c r="USP225" s="717"/>
      <c r="USQ225" s="715"/>
      <c r="USR225" s="716"/>
      <c r="USS225" s="716"/>
      <c r="UST225" s="716"/>
      <c r="USU225" s="716"/>
      <c r="USV225" s="717"/>
      <c r="USW225" s="715"/>
      <c r="USX225" s="716"/>
      <c r="USY225" s="716"/>
      <c r="USZ225" s="716"/>
      <c r="UTA225" s="716"/>
      <c r="UTB225" s="717"/>
      <c r="UTC225" s="715"/>
      <c r="UTD225" s="716"/>
      <c r="UTE225" s="716"/>
      <c r="UTF225" s="716"/>
      <c r="UTG225" s="716"/>
      <c r="UTH225" s="717"/>
      <c r="UTI225" s="715"/>
      <c r="UTJ225" s="716"/>
      <c r="UTK225" s="716"/>
      <c r="UTL225" s="716"/>
      <c r="UTM225" s="716"/>
      <c r="UTN225" s="717"/>
      <c r="UTO225" s="715"/>
      <c r="UTP225" s="716"/>
      <c r="UTQ225" s="716"/>
      <c r="UTR225" s="716"/>
      <c r="UTS225" s="716"/>
      <c r="UTT225" s="717"/>
      <c r="UTU225" s="715"/>
      <c r="UTV225" s="716"/>
      <c r="UTW225" s="716"/>
      <c r="UTX225" s="716"/>
      <c r="UTY225" s="716"/>
      <c r="UTZ225" s="717"/>
      <c r="UUA225" s="715"/>
      <c r="UUB225" s="716"/>
      <c r="UUC225" s="716"/>
      <c r="UUD225" s="716"/>
      <c r="UUE225" s="716"/>
      <c r="UUF225" s="717"/>
      <c r="UUG225" s="715"/>
      <c r="UUH225" s="716"/>
      <c r="UUI225" s="716"/>
      <c r="UUJ225" s="716"/>
      <c r="UUK225" s="716"/>
      <c r="UUL225" s="717"/>
      <c r="UUM225" s="715"/>
      <c r="UUN225" s="716"/>
      <c r="UUO225" s="716"/>
      <c r="UUP225" s="716"/>
      <c r="UUQ225" s="716"/>
      <c r="UUR225" s="717"/>
      <c r="UUS225" s="715"/>
      <c r="UUT225" s="716"/>
      <c r="UUU225" s="716"/>
      <c r="UUV225" s="716"/>
      <c r="UUW225" s="716"/>
      <c r="UUX225" s="717"/>
      <c r="UUY225" s="715"/>
      <c r="UUZ225" s="716"/>
      <c r="UVA225" s="716"/>
      <c r="UVB225" s="716"/>
      <c r="UVC225" s="716"/>
      <c r="UVD225" s="717"/>
      <c r="UVE225" s="715"/>
      <c r="UVF225" s="716"/>
      <c r="UVG225" s="716"/>
      <c r="UVH225" s="716"/>
      <c r="UVI225" s="716"/>
      <c r="UVJ225" s="717"/>
      <c r="UVK225" s="715"/>
      <c r="UVL225" s="716"/>
      <c r="UVM225" s="716"/>
      <c r="UVN225" s="716"/>
      <c r="UVO225" s="716"/>
      <c r="UVP225" s="717"/>
      <c r="UVQ225" s="715"/>
      <c r="UVR225" s="716"/>
      <c r="UVS225" s="716"/>
      <c r="UVT225" s="716"/>
      <c r="UVU225" s="716"/>
      <c r="UVV225" s="717"/>
      <c r="UVW225" s="715"/>
      <c r="UVX225" s="716"/>
      <c r="UVY225" s="716"/>
      <c r="UVZ225" s="716"/>
      <c r="UWA225" s="716"/>
      <c r="UWB225" s="717"/>
      <c r="UWC225" s="715"/>
      <c r="UWD225" s="716"/>
      <c r="UWE225" s="716"/>
      <c r="UWF225" s="716"/>
      <c r="UWG225" s="716"/>
      <c r="UWH225" s="717"/>
      <c r="UWI225" s="715"/>
      <c r="UWJ225" s="716"/>
      <c r="UWK225" s="716"/>
      <c r="UWL225" s="716"/>
      <c r="UWM225" s="716"/>
      <c r="UWN225" s="717"/>
      <c r="UWO225" s="715"/>
      <c r="UWP225" s="716"/>
      <c r="UWQ225" s="716"/>
      <c r="UWR225" s="716"/>
      <c r="UWS225" s="716"/>
      <c r="UWT225" s="717"/>
      <c r="UWU225" s="715"/>
      <c r="UWV225" s="716"/>
      <c r="UWW225" s="716"/>
      <c r="UWX225" s="716"/>
      <c r="UWY225" s="716"/>
      <c r="UWZ225" s="717"/>
      <c r="UXA225" s="715"/>
      <c r="UXB225" s="716"/>
      <c r="UXC225" s="716"/>
      <c r="UXD225" s="716"/>
      <c r="UXE225" s="716"/>
      <c r="UXF225" s="717"/>
      <c r="UXG225" s="715"/>
      <c r="UXH225" s="716"/>
      <c r="UXI225" s="716"/>
      <c r="UXJ225" s="716"/>
      <c r="UXK225" s="716"/>
      <c r="UXL225" s="717"/>
      <c r="UXM225" s="715"/>
      <c r="UXN225" s="716"/>
      <c r="UXO225" s="716"/>
      <c r="UXP225" s="716"/>
      <c r="UXQ225" s="716"/>
      <c r="UXR225" s="717"/>
      <c r="UXS225" s="715"/>
      <c r="UXT225" s="716"/>
      <c r="UXU225" s="716"/>
      <c r="UXV225" s="716"/>
      <c r="UXW225" s="716"/>
      <c r="UXX225" s="717"/>
      <c r="UXY225" s="715"/>
      <c r="UXZ225" s="716"/>
      <c r="UYA225" s="716"/>
      <c r="UYB225" s="716"/>
      <c r="UYC225" s="716"/>
      <c r="UYD225" s="717"/>
      <c r="UYE225" s="715"/>
      <c r="UYF225" s="716"/>
      <c r="UYG225" s="716"/>
      <c r="UYH225" s="716"/>
      <c r="UYI225" s="716"/>
      <c r="UYJ225" s="717"/>
      <c r="UYK225" s="715"/>
      <c r="UYL225" s="716"/>
      <c r="UYM225" s="716"/>
      <c r="UYN225" s="716"/>
      <c r="UYO225" s="716"/>
      <c r="UYP225" s="717"/>
      <c r="UYQ225" s="715"/>
      <c r="UYR225" s="716"/>
      <c r="UYS225" s="716"/>
      <c r="UYT225" s="716"/>
      <c r="UYU225" s="716"/>
      <c r="UYV225" s="717"/>
      <c r="UYW225" s="715"/>
      <c r="UYX225" s="716"/>
      <c r="UYY225" s="716"/>
      <c r="UYZ225" s="716"/>
      <c r="UZA225" s="716"/>
      <c r="UZB225" s="717"/>
      <c r="UZC225" s="715"/>
      <c r="UZD225" s="716"/>
      <c r="UZE225" s="716"/>
      <c r="UZF225" s="716"/>
      <c r="UZG225" s="716"/>
      <c r="UZH225" s="717"/>
      <c r="UZI225" s="715"/>
      <c r="UZJ225" s="716"/>
      <c r="UZK225" s="716"/>
      <c r="UZL225" s="716"/>
      <c r="UZM225" s="716"/>
      <c r="UZN225" s="717"/>
      <c r="UZO225" s="715"/>
      <c r="UZP225" s="716"/>
      <c r="UZQ225" s="716"/>
      <c r="UZR225" s="716"/>
      <c r="UZS225" s="716"/>
      <c r="UZT225" s="717"/>
      <c r="UZU225" s="715"/>
      <c r="UZV225" s="716"/>
      <c r="UZW225" s="716"/>
      <c r="UZX225" s="716"/>
      <c r="UZY225" s="716"/>
      <c r="UZZ225" s="717"/>
      <c r="VAA225" s="715"/>
      <c r="VAB225" s="716"/>
      <c r="VAC225" s="716"/>
      <c r="VAD225" s="716"/>
      <c r="VAE225" s="716"/>
      <c r="VAF225" s="717"/>
      <c r="VAG225" s="715"/>
      <c r="VAH225" s="716"/>
      <c r="VAI225" s="716"/>
      <c r="VAJ225" s="716"/>
      <c r="VAK225" s="716"/>
      <c r="VAL225" s="717"/>
      <c r="VAM225" s="715"/>
      <c r="VAN225" s="716"/>
      <c r="VAO225" s="716"/>
      <c r="VAP225" s="716"/>
      <c r="VAQ225" s="716"/>
      <c r="VAR225" s="717"/>
      <c r="VAS225" s="715"/>
      <c r="VAT225" s="716"/>
      <c r="VAU225" s="716"/>
      <c r="VAV225" s="716"/>
      <c r="VAW225" s="716"/>
      <c r="VAX225" s="717"/>
      <c r="VAY225" s="715"/>
      <c r="VAZ225" s="716"/>
      <c r="VBA225" s="716"/>
      <c r="VBB225" s="716"/>
      <c r="VBC225" s="716"/>
      <c r="VBD225" s="717"/>
      <c r="VBE225" s="715"/>
      <c r="VBF225" s="716"/>
      <c r="VBG225" s="716"/>
      <c r="VBH225" s="716"/>
      <c r="VBI225" s="716"/>
      <c r="VBJ225" s="717"/>
      <c r="VBK225" s="715"/>
      <c r="VBL225" s="716"/>
      <c r="VBM225" s="716"/>
      <c r="VBN225" s="716"/>
      <c r="VBO225" s="716"/>
      <c r="VBP225" s="717"/>
      <c r="VBQ225" s="715"/>
      <c r="VBR225" s="716"/>
      <c r="VBS225" s="716"/>
      <c r="VBT225" s="716"/>
      <c r="VBU225" s="716"/>
      <c r="VBV225" s="717"/>
      <c r="VBW225" s="715"/>
      <c r="VBX225" s="716"/>
      <c r="VBY225" s="716"/>
      <c r="VBZ225" s="716"/>
      <c r="VCA225" s="716"/>
      <c r="VCB225" s="717"/>
      <c r="VCC225" s="715"/>
      <c r="VCD225" s="716"/>
      <c r="VCE225" s="716"/>
      <c r="VCF225" s="716"/>
      <c r="VCG225" s="716"/>
      <c r="VCH225" s="717"/>
      <c r="VCI225" s="715"/>
      <c r="VCJ225" s="716"/>
      <c r="VCK225" s="716"/>
      <c r="VCL225" s="716"/>
      <c r="VCM225" s="716"/>
      <c r="VCN225" s="717"/>
      <c r="VCO225" s="715"/>
      <c r="VCP225" s="716"/>
      <c r="VCQ225" s="716"/>
      <c r="VCR225" s="716"/>
      <c r="VCS225" s="716"/>
      <c r="VCT225" s="717"/>
      <c r="VCU225" s="715"/>
      <c r="VCV225" s="716"/>
      <c r="VCW225" s="716"/>
      <c r="VCX225" s="716"/>
      <c r="VCY225" s="716"/>
      <c r="VCZ225" s="717"/>
      <c r="VDA225" s="715"/>
      <c r="VDB225" s="716"/>
      <c r="VDC225" s="716"/>
      <c r="VDD225" s="716"/>
      <c r="VDE225" s="716"/>
      <c r="VDF225" s="717"/>
      <c r="VDG225" s="715"/>
      <c r="VDH225" s="716"/>
      <c r="VDI225" s="716"/>
      <c r="VDJ225" s="716"/>
      <c r="VDK225" s="716"/>
      <c r="VDL225" s="717"/>
      <c r="VDM225" s="715"/>
      <c r="VDN225" s="716"/>
      <c r="VDO225" s="716"/>
      <c r="VDP225" s="716"/>
      <c r="VDQ225" s="716"/>
      <c r="VDR225" s="717"/>
      <c r="VDS225" s="715"/>
      <c r="VDT225" s="716"/>
      <c r="VDU225" s="716"/>
      <c r="VDV225" s="716"/>
      <c r="VDW225" s="716"/>
      <c r="VDX225" s="717"/>
      <c r="VDY225" s="715"/>
      <c r="VDZ225" s="716"/>
      <c r="VEA225" s="716"/>
      <c r="VEB225" s="716"/>
      <c r="VEC225" s="716"/>
      <c r="VED225" s="717"/>
      <c r="VEE225" s="715"/>
      <c r="VEF225" s="716"/>
      <c r="VEG225" s="716"/>
      <c r="VEH225" s="716"/>
      <c r="VEI225" s="716"/>
      <c r="VEJ225" s="717"/>
      <c r="VEK225" s="715"/>
      <c r="VEL225" s="716"/>
      <c r="VEM225" s="716"/>
      <c r="VEN225" s="716"/>
      <c r="VEO225" s="716"/>
      <c r="VEP225" s="717"/>
      <c r="VEQ225" s="715"/>
      <c r="VER225" s="716"/>
      <c r="VES225" s="716"/>
      <c r="VET225" s="716"/>
      <c r="VEU225" s="716"/>
      <c r="VEV225" s="717"/>
      <c r="VEW225" s="715"/>
      <c r="VEX225" s="716"/>
      <c r="VEY225" s="716"/>
      <c r="VEZ225" s="716"/>
      <c r="VFA225" s="716"/>
      <c r="VFB225" s="717"/>
      <c r="VFC225" s="715"/>
      <c r="VFD225" s="716"/>
      <c r="VFE225" s="716"/>
      <c r="VFF225" s="716"/>
      <c r="VFG225" s="716"/>
      <c r="VFH225" s="717"/>
      <c r="VFI225" s="715"/>
      <c r="VFJ225" s="716"/>
      <c r="VFK225" s="716"/>
      <c r="VFL225" s="716"/>
      <c r="VFM225" s="716"/>
      <c r="VFN225" s="717"/>
      <c r="VFO225" s="715"/>
      <c r="VFP225" s="716"/>
      <c r="VFQ225" s="716"/>
      <c r="VFR225" s="716"/>
      <c r="VFS225" s="716"/>
      <c r="VFT225" s="717"/>
      <c r="VFU225" s="715"/>
      <c r="VFV225" s="716"/>
      <c r="VFW225" s="716"/>
      <c r="VFX225" s="716"/>
      <c r="VFY225" s="716"/>
      <c r="VFZ225" s="717"/>
      <c r="VGA225" s="715"/>
      <c r="VGB225" s="716"/>
      <c r="VGC225" s="716"/>
      <c r="VGD225" s="716"/>
      <c r="VGE225" s="716"/>
      <c r="VGF225" s="717"/>
      <c r="VGG225" s="715"/>
      <c r="VGH225" s="716"/>
      <c r="VGI225" s="716"/>
      <c r="VGJ225" s="716"/>
      <c r="VGK225" s="716"/>
      <c r="VGL225" s="717"/>
      <c r="VGM225" s="715"/>
      <c r="VGN225" s="716"/>
      <c r="VGO225" s="716"/>
      <c r="VGP225" s="716"/>
      <c r="VGQ225" s="716"/>
      <c r="VGR225" s="717"/>
      <c r="VGS225" s="715"/>
      <c r="VGT225" s="716"/>
      <c r="VGU225" s="716"/>
      <c r="VGV225" s="716"/>
      <c r="VGW225" s="716"/>
      <c r="VGX225" s="717"/>
      <c r="VGY225" s="715"/>
      <c r="VGZ225" s="716"/>
      <c r="VHA225" s="716"/>
      <c r="VHB225" s="716"/>
      <c r="VHC225" s="716"/>
      <c r="VHD225" s="717"/>
      <c r="VHE225" s="715"/>
      <c r="VHF225" s="716"/>
      <c r="VHG225" s="716"/>
      <c r="VHH225" s="716"/>
      <c r="VHI225" s="716"/>
      <c r="VHJ225" s="717"/>
      <c r="VHK225" s="715"/>
      <c r="VHL225" s="716"/>
      <c r="VHM225" s="716"/>
      <c r="VHN225" s="716"/>
      <c r="VHO225" s="716"/>
      <c r="VHP225" s="717"/>
      <c r="VHQ225" s="715"/>
      <c r="VHR225" s="716"/>
      <c r="VHS225" s="716"/>
      <c r="VHT225" s="716"/>
      <c r="VHU225" s="716"/>
      <c r="VHV225" s="717"/>
      <c r="VHW225" s="715"/>
      <c r="VHX225" s="716"/>
      <c r="VHY225" s="716"/>
      <c r="VHZ225" s="716"/>
      <c r="VIA225" s="716"/>
      <c r="VIB225" s="717"/>
      <c r="VIC225" s="715"/>
      <c r="VID225" s="716"/>
      <c r="VIE225" s="716"/>
      <c r="VIF225" s="716"/>
      <c r="VIG225" s="716"/>
      <c r="VIH225" s="717"/>
      <c r="VII225" s="715"/>
      <c r="VIJ225" s="716"/>
      <c r="VIK225" s="716"/>
      <c r="VIL225" s="716"/>
      <c r="VIM225" s="716"/>
      <c r="VIN225" s="717"/>
      <c r="VIO225" s="715"/>
      <c r="VIP225" s="716"/>
      <c r="VIQ225" s="716"/>
      <c r="VIR225" s="716"/>
      <c r="VIS225" s="716"/>
      <c r="VIT225" s="717"/>
      <c r="VIU225" s="715"/>
      <c r="VIV225" s="716"/>
      <c r="VIW225" s="716"/>
      <c r="VIX225" s="716"/>
      <c r="VIY225" s="716"/>
      <c r="VIZ225" s="717"/>
      <c r="VJA225" s="715"/>
      <c r="VJB225" s="716"/>
      <c r="VJC225" s="716"/>
      <c r="VJD225" s="716"/>
      <c r="VJE225" s="716"/>
      <c r="VJF225" s="717"/>
      <c r="VJG225" s="715"/>
      <c r="VJH225" s="716"/>
      <c r="VJI225" s="716"/>
      <c r="VJJ225" s="716"/>
      <c r="VJK225" s="716"/>
      <c r="VJL225" s="717"/>
      <c r="VJM225" s="715"/>
      <c r="VJN225" s="716"/>
      <c r="VJO225" s="716"/>
      <c r="VJP225" s="716"/>
      <c r="VJQ225" s="716"/>
      <c r="VJR225" s="717"/>
      <c r="VJS225" s="715"/>
      <c r="VJT225" s="716"/>
      <c r="VJU225" s="716"/>
      <c r="VJV225" s="716"/>
      <c r="VJW225" s="716"/>
      <c r="VJX225" s="717"/>
      <c r="VJY225" s="715"/>
      <c r="VJZ225" s="716"/>
      <c r="VKA225" s="716"/>
      <c r="VKB225" s="716"/>
      <c r="VKC225" s="716"/>
      <c r="VKD225" s="717"/>
      <c r="VKE225" s="715"/>
      <c r="VKF225" s="716"/>
      <c r="VKG225" s="716"/>
      <c r="VKH225" s="716"/>
      <c r="VKI225" s="716"/>
      <c r="VKJ225" s="717"/>
      <c r="VKK225" s="715"/>
      <c r="VKL225" s="716"/>
      <c r="VKM225" s="716"/>
      <c r="VKN225" s="716"/>
      <c r="VKO225" s="716"/>
      <c r="VKP225" s="717"/>
      <c r="VKQ225" s="715"/>
      <c r="VKR225" s="716"/>
      <c r="VKS225" s="716"/>
      <c r="VKT225" s="716"/>
      <c r="VKU225" s="716"/>
      <c r="VKV225" s="717"/>
      <c r="VKW225" s="715"/>
      <c r="VKX225" s="716"/>
      <c r="VKY225" s="716"/>
      <c r="VKZ225" s="716"/>
      <c r="VLA225" s="716"/>
      <c r="VLB225" s="717"/>
      <c r="VLC225" s="715"/>
      <c r="VLD225" s="716"/>
      <c r="VLE225" s="716"/>
      <c r="VLF225" s="716"/>
      <c r="VLG225" s="716"/>
      <c r="VLH225" s="717"/>
      <c r="VLI225" s="715"/>
      <c r="VLJ225" s="716"/>
      <c r="VLK225" s="716"/>
      <c r="VLL225" s="716"/>
      <c r="VLM225" s="716"/>
      <c r="VLN225" s="717"/>
      <c r="VLO225" s="715"/>
      <c r="VLP225" s="716"/>
      <c r="VLQ225" s="716"/>
      <c r="VLR225" s="716"/>
      <c r="VLS225" s="716"/>
      <c r="VLT225" s="717"/>
      <c r="VLU225" s="715"/>
      <c r="VLV225" s="716"/>
      <c r="VLW225" s="716"/>
      <c r="VLX225" s="716"/>
      <c r="VLY225" s="716"/>
      <c r="VLZ225" s="717"/>
      <c r="VMA225" s="715"/>
      <c r="VMB225" s="716"/>
      <c r="VMC225" s="716"/>
      <c r="VMD225" s="716"/>
      <c r="VME225" s="716"/>
      <c r="VMF225" s="717"/>
      <c r="VMG225" s="715"/>
      <c r="VMH225" s="716"/>
      <c r="VMI225" s="716"/>
      <c r="VMJ225" s="716"/>
      <c r="VMK225" s="716"/>
      <c r="VML225" s="717"/>
      <c r="VMM225" s="715"/>
      <c r="VMN225" s="716"/>
      <c r="VMO225" s="716"/>
      <c r="VMP225" s="716"/>
      <c r="VMQ225" s="716"/>
      <c r="VMR225" s="717"/>
      <c r="VMS225" s="715"/>
      <c r="VMT225" s="716"/>
      <c r="VMU225" s="716"/>
      <c r="VMV225" s="716"/>
      <c r="VMW225" s="716"/>
      <c r="VMX225" s="717"/>
      <c r="VMY225" s="715"/>
      <c r="VMZ225" s="716"/>
      <c r="VNA225" s="716"/>
      <c r="VNB225" s="716"/>
      <c r="VNC225" s="716"/>
      <c r="VND225" s="717"/>
      <c r="VNE225" s="715"/>
      <c r="VNF225" s="716"/>
      <c r="VNG225" s="716"/>
      <c r="VNH225" s="716"/>
      <c r="VNI225" s="716"/>
      <c r="VNJ225" s="717"/>
      <c r="VNK225" s="715"/>
      <c r="VNL225" s="716"/>
      <c r="VNM225" s="716"/>
      <c r="VNN225" s="716"/>
      <c r="VNO225" s="716"/>
      <c r="VNP225" s="717"/>
      <c r="VNQ225" s="715"/>
      <c r="VNR225" s="716"/>
      <c r="VNS225" s="716"/>
      <c r="VNT225" s="716"/>
      <c r="VNU225" s="716"/>
      <c r="VNV225" s="717"/>
      <c r="VNW225" s="715"/>
      <c r="VNX225" s="716"/>
      <c r="VNY225" s="716"/>
      <c r="VNZ225" s="716"/>
      <c r="VOA225" s="716"/>
      <c r="VOB225" s="717"/>
      <c r="VOC225" s="715"/>
      <c r="VOD225" s="716"/>
      <c r="VOE225" s="716"/>
      <c r="VOF225" s="716"/>
      <c r="VOG225" s="716"/>
      <c r="VOH225" s="717"/>
      <c r="VOI225" s="715"/>
      <c r="VOJ225" s="716"/>
      <c r="VOK225" s="716"/>
      <c r="VOL225" s="716"/>
      <c r="VOM225" s="716"/>
      <c r="VON225" s="717"/>
      <c r="VOO225" s="715"/>
      <c r="VOP225" s="716"/>
      <c r="VOQ225" s="716"/>
      <c r="VOR225" s="716"/>
      <c r="VOS225" s="716"/>
      <c r="VOT225" s="717"/>
      <c r="VOU225" s="715"/>
      <c r="VOV225" s="716"/>
      <c r="VOW225" s="716"/>
      <c r="VOX225" s="716"/>
      <c r="VOY225" s="716"/>
      <c r="VOZ225" s="717"/>
      <c r="VPA225" s="715"/>
      <c r="VPB225" s="716"/>
      <c r="VPC225" s="716"/>
      <c r="VPD225" s="716"/>
      <c r="VPE225" s="716"/>
      <c r="VPF225" s="717"/>
      <c r="VPG225" s="715"/>
      <c r="VPH225" s="716"/>
      <c r="VPI225" s="716"/>
      <c r="VPJ225" s="716"/>
      <c r="VPK225" s="716"/>
      <c r="VPL225" s="717"/>
      <c r="VPM225" s="715"/>
      <c r="VPN225" s="716"/>
      <c r="VPO225" s="716"/>
      <c r="VPP225" s="716"/>
      <c r="VPQ225" s="716"/>
      <c r="VPR225" s="717"/>
      <c r="VPS225" s="715"/>
      <c r="VPT225" s="716"/>
      <c r="VPU225" s="716"/>
      <c r="VPV225" s="716"/>
      <c r="VPW225" s="716"/>
      <c r="VPX225" s="717"/>
      <c r="VPY225" s="715"/>
      <c r="VPZ225" s="716"/>
      <c r="VQA225" s="716"/>
      <c r="VQB225" s="716"/>
      <c r="VQC225" s="716"/>
      <c r="VQD225" s="717"/>
      <c r="VQE225" s="715"/>
      <c r="VQF225" s="716"/>
      <c r="VQG225" s="716"/>
      <c r="VQH225" s="716"/>
      <c r="VQI225" s="716"/>
      <c r="VQJ225" s="717"/>
      <c r="VQK225" s="715"/>
      <c r="VQL225" s="716"/>
      <c r="VQM225" s="716"/>
      <c r="VQN225" s="716"/>
      <c r="VQO225" s="716"/>
      <c r="VQP225" s="717"/>
      <c r="VQQ225" s="715"/>
      <c r="VQR225" s="716"/>
      <c r="VQS225" s="716"/>
      <c r="VQT225" s="716"/>
      <c r="VQU225" s="716"/>
      <c r="VQV225" s="717"/>
      <c r="VQW225" s="715"/>
      <c r="VQX225" s="716"/>
      <c r="VQY225" s="716"/>
      <c r="VQZ225" s="716"/>
      <c r="VRA225" s="716"/>
      <c r="VRB225" s="717"/>
      <c r="VRC225" s="715"/>
      <c r="VRD225" s="716"/>
      <c r="VRE225" s="716"/>
      <c r="VRF225" s="716"/>
      <c r="VRG225" s="716"/>
      <c r="VRH225" s="717"/>
      <c r="VRI225" s="715"/>
      <c r="VRJ225" s="716"/>
      <c r="VRK225" s="716"/>
      <c r="VRL225" s="716"/>
      <c r="VRM225" s="716"/>
      <c r="VRN225" s="717"/>
      <c r="VRO225" s="715"/>
      <c r="VRP225" s="716"/>
      <c r="VRQ225" s="716"/>
      <c r="VRR225" s="716"/>
      <c r="VRS225" s="716"/>
      <c r="VRT225" s="717"/>
      <c r="VRU225" s="715"/>
      <c r="VRV225" s="716"/>
      <c r="VRW225" s="716"/>
      <c r="VRX225" s="716"/>
      <c r="VRY225" s="716"/>
      <c r="VRZ225" s="717"/>
      <c r="VSA225" s="715"/>
      <c r="VSB225" s="716"/>
      <c r="VSC225" s="716"/>
      <c r="VSD225" s="716"/>
      <c r="VSE225" s="716"/>
      <c r="VSF225" s="717"/>
      <c r="VSG225" s="715"/>
      <c r="VSH225" s="716"/>
      <c r="VSI225" s="716"/>
      <c r="VSJ225" s="716"/>
      <c r="VSK225" s="716"/>
      <c r="VSL225" s="717"/>
      <c r="VSM225" s="715"/>
      <c r="VSN225" s="716"/>
      <c r="VSO225" s="716"/>
      <c r="VSP225" s="716"/>
      <c r="VSQ225" s="716"/>
      <c r="VSR225" s="717"/>
      <c r="VSS225" s="715"/>
      <c r="VST225" s="716"/>
      <c r="VSU225" s="716"/>
      <c r="VSV225" s="716"/>
      <c r="VSW225" s="716"/>
      <c r="VSX225" s="717"/>
      <c r="VSY225" s="715"/>
      <c r="VSZ225" s="716"/>
      <c r="VTA225" s="716"/>
      <c r="VTB225" s="716"/>
      <c r="VTC225" s="716"/>
      <c r="VTD225" s="717"/>
      <c r="VTE225" s="715"/>
      <c r="VTF225" s="716"/>
      <c r="VTG225" s="716"/>
      <c r="VTH225" s="716"/>
      <c r="VTI225" s="716"/>
      <c r="VTJ225" s="717"/>
      <c r="VTK225" s="715"/>
      <c r="VTL225" s="716"/>
      <c r="VTM225" s="716"/>
      <c r="VTN225" s="716"/>
      <c r="VTO225" s="716"/>
      <c r="VTP225" s="717"/>
      <c r="VTQ225" s="715"/>
      <c r="VTR225" s="716"/>
      <c r="VTS225" s="716"/>
      <c r="VTT225" s="716"/>
      <c r="VTU225" s="716"/>
      <c r="VTV225" s="717"/>
      <c r="VTW225" s="715"/>
      <c r="VTX225" s="716"/>
      <c r="VTY225" s="716"/>
      <c r="VTZ225" s="716"/>
      <c r="VUA225" s="716"/>
      <c r="VUB225" s="717"/>
      <c r="VUC225" s="715"/>
      <c r="VUD225" s="716"/>
      <c r="VUE225" s="716"/>
      <c r="VUF225" s="716"/>
      <c r="VUG225" s="716"/>
      <c r="VUH225" s="717"/>
      <c r="VUI225" s="715"/>
      <c r="VUJ225" s="716"/>
      <c r="VUK225" s="716"/>
      <c r="VUL225" s="716"/>
      <c r="VUM225" s="716"/>
      <c r="VUN225" s="717"/>
      <c r="VUO225" s="715"/>
      <c r="VUP225" s="716"/>
      <c r="VUQ225" s="716"/>
      <c r="VUR225" s="716"/>
      <c r="VUS225" s="716"/>
      <c r="VUT225" s="717"/>
      <c r="VUU225" s="715"/>
      <c r="VUV225" s="716"/>
      <c r="VUW225" s="716"/>
      <c r="VUX225" s="716"/>
      <c r="VUY225" s="716"/>
      <c r="VUZ225" s="717"/>
      <c r="VVA225" s="715"/>
      <c r="VVB225" s="716"/>
      <c r="VVC225" s="716"/>
      <c r="VVD225" s="716"/>
      <c r="VVE225" s="716"/>
      <c r="VVF225" s="717"/>
      <c r="VVG225" s="715"/>
      <c r="VVH225" s="716"/>
      <c r="VVI225" s="716"/>
      <c r="VVJ225" s="716"/>
      <c r="VVK225" s="716"/>
      <c r="VVL225" s="717"/>
      <c r="VVM225" s="715"/>
      <c r="VVN225" s="716"/>
      <c r="VVO225" s="716"/>
      <c r="VVP225" s="716"/>
      <c r="VVQ225" s="716"/>
      <c r="VVR225" s="717"/>
      <c r="VVS225" s="715"/>
      <c r="VVT225" s="716"/>
      <c r="VVU225" s="716"/>
      <c r="VVV225" s="716"/>
      <c r="VVW225" s="716"/>
      <c r="VVX225" s="717"/>
      <c r="VVY225" s="715"/>
      <c r="VVZ225" s="716"/>
      <c r="VWA225" s="716"/>
      <c r="VWB225" s="716"/>
      <c r="VWC225" s="716"/>
      <c r="VWD225" s="717"/>
      <c r="VWE225" s="715"/>
      <c r="VWF225" s="716"/>
      <c r="VWG225" s="716"/>
      <c r="VWH225" s="716"/>
      <c r="VWI225" s="716"/>
      <c r="VWJ225" s="717"/>
      <c r="VWK225" s="715"/>
      <c r="VWL225" s="716"/>
      <c r="VWM225" s="716"/>
      <c r="VWN225" s="716"/>
      <c r="VWO225" s="716"/>
      <c r="VWP225" s="717"/>
      <c r="VWQ225" s="715"/>
      <c r="VWR225" s="716"/>
      <c r="VWS225" s="716"/>
      <c r="VWT225" s="716"/>
      <c r="VWU225" s="716"/>
      <c r="VWV225" s="717"/>
      <c r="VWW225" s="715"/>
      <c r="VWX225" s="716"/>
      <c r="VWY225" s="716"/>
      <c r="VWZ225" s="716"/>
      <c r="VXA225" s="716"/>
      <c r="VXB225" s="717"/>
      <c r="VXC225" s="715"/>
      <c r="VXD225" s="716"/>
      <c r="VXE225" s="716"/>
      <c r="VXF225" s="716"/>
      <c r="VXG225" s="716"/>
      <c r="VXH225" s="717"/>
      <c r="VXI225" s="715"/>
      <c r="VXJ225" s="716"/>
      <c r="VXK225" s="716"/>
      <c r="VXL225" s="716"/>
      <c r="VXM225" s="716"/>
      <c r="VXN225" s="717"/>
      <c r="VXO225" s="715"/>
      <c r="VXP225" s="716"/>
      <c r="VXQ225" s="716"/>
      <c r="VXR225" s="716"/>
      <c r="VXS225" s="716"/>
      <c r="VXT225" s="717"/>
      <c r="VXU225" s="715"/>
      <c r="VXV225" s="716"/>
      <c r="VXW225" s="716"/>
      <c r="VXX225" s="716"/>
      <c r="VXY225" s="716"/>
      <c r="VXZ225" s="717"/>
      <c r="VYA225" s="715"/>
      <c r="VYB225" s="716"/>
      <c r="VYC225" s="716"/>
      <c r="VYD225" s="716"/>
      <c r="VYE225" s="716"/>
      <c r="VYF225" s="717"/>
      <c r="VYG225" s="715"/>
      <c r="VYH225" s="716"/>
      <c r="VYI225" s="716"/>
      <c r="VYJ225" s="716"/>
      <c r="VYK225" s="716"/>
      <c r="VYL225" s="717"/>
      <c r="VYM225" s="715"/>
      <c r="VYN225" s="716"/>
      <c r="VYO225" s="716"/>
      <c r="VYP225" s="716"/>
      <c r="VYQ225" s="716"/>
      <c r="VYR225" s="717"/>
      <c r="VYS225" s="715"/>
      <c r="VYT225" s="716"/>
      <c r="VYU225" s="716"/>
      <c r="VYV225" s="716"/>
      <c r="VYW225" s="716"/>
      <c r="VYX225" s="717"/>
      <c r="VYY225" s="715"/>
      <c r="VYZ225" s="716"/>
      <c r="VZA225" s="716"/>
      <c r="VZB225" s="716"/>
      <c r="VZC225" s="716"/>
      <c r="VZD225" s="717"/>
      <c r="VZE225" s="715"/>
      <c r="VZF225" s="716"/>
      <c r="VZG225" s="716"/>
      <c r="VZH225" s="716"/>
      <c r="VZI225" s="716"/>
      <c r="VZJ225" s="717"/>
      <c r="VZK225" s="715"/>
      <c r="VZL225" s="716"/>
      <c r="VZM225" s="716"/>
      <c r="VZN225" s="716"/>
      <c r="VZO225" s="716"/>
      <c r="VZP225" s="717"/>
      <c r="VZQ225" s="715"/>
      <c r="VZR225" s="716"/>
      <c r="VZS225" s="716"/>
      <c r="VZT225" s="716"/>
      <c r="VZU225" s="716"/>
      <c r="VZV225" s="717"/>
      <c r="VZW225" s="715"/>
      <c r="VZX225" s="716"/>
      <c r="VZY225" s="716"/>
      <c r="VZZ225" s="716"/>
      <c r="WAA225" s="716"/>
      <c r="WAB225" s="717"/>
      <c r="WAC225" s="715"/>
      <c r="WAD225" s="716"/>
      <c r="WAE225" s="716"/>
      <c r="WAF225" s="716"/>
      <c r="WAG225" s="716"/>
      <c r="WAH225" s="717"/>
      <c r="WAI225" s="715"/>
      <c r="WAJ225" s="716"/>
      <c r="WAK225" s="716"/>
      <c r="WAL225" s="716"/>
      <c r="WAM225" s="716"/>
      <c r="WAN225" s="717"/>
      <c r="WAO225" s="715"/>
      <c r="WAP225" s="716"/>
      <c r="WAQ225" s="716"/>
      <c r="WAR225" s="716"/>
      <c r="WAS225" s="716"/>
      <c r="WAT225" s="717"/>
      <c r="WAU225" s="715"/>
      <c r="WAV225" s="716"/>
      <c r="WAW225" s="716"/>
      <c r="WAX225" s="716"/>
      <c r="WAY225" s="716"/>
      <c r="WAZ225" s="717"/>
      <c r="WBA225" s="715"/>
      <c r="WBB225" s="716"/>
      <c r="WBC225" s="716"/>
      <c r="WBD225" s="716"/>
      <c r="WBE225" s="716"/>
      <c r="WBF225" s="717"/>
      <c r="WBG225" s="715"/>
      <c r="WBH225" s="716"/>
      <c r="WBI225" s="716"/>
      <c r="WBJ225" s="716"/>
      <c r="WBK225" s="716"/>
      <c r="WBL225" s="717"/>
      <c r="WBM225" s="715"/>
      <c r="WBN225" s="716"/>
      <c r="WBO225" s="716"/>
      <c r="WBP225" s="716"/>
      <c r="WBQ225" s="716"/>
      <c r="WBR225" s="717"/>
      <c r="WBS225" s="715"/>
      <c r="WBT225" s="716"/>
      <c r="WBU225" s="716"/>
      <c r="WBV225" s="716"/>
      <c r="WBW225" s="716"/>
      <c r="WBX225" s="717"/>
      <c r="WBY225" s="715"/>
      <c r="WBZ225" s="716"/>
      <c r="WCA225" s="716"/>
      <c r="WCB225" s="716"/>
      <c r="WCC225" s="716"/>
      <c r="WCD225" s="717"/>
      <c r="WCE225" s="715"/>
      <c r="WCF225" s="716"/>
      <c r="WCG225" s="716"/>
      <c r="WCH225" s="716"/>
      <c r="WCI225" s="716"/>
      <c r="WCJ225" s="717"/>
      <c r="WCK225" s="715"/>
      <c r="WCL225" s="716"/>
      <c r="WCM225" s="716"/>
      <c r="WCN225" s="716"/>
      <c r="WCO225" s="716"/>
      <c r="WCP225" s="717"/>
      <c r="WCQ225" s="715"/>
      <c r="WCR225" s="716"/>
      <c r="WCS225" s="716"/>
      <c r="WCT225" s="716"/>
      <c r="WCU225" s="716"/>
      <c r="WCV225" s="717"/>
      <c r="WCW225" s="715"/>
      <c r="WCX225" s="716"/>
      <c r="WCY225" s="716"/>
      <c r="WCZ225" s="716"/>
      <c r="WDA225" s="716"/>
      <c r="WDB225" s="717"/>
      <c r="WDC225" s="715"/>
      <c r="WDD225" s="716"/>
      <c r="WDE225" s="716"/>
      <c r="WDF225" s="716"/>
      <c r="WDG225" s="716"/>
      <c r="WDH225" s="717"/>
      <c r="WDI225" s="715"/>
      <c r="WDJ225" s="716"/>
      <c r="WDK225" s="716"/>
      <c r="WDL225" s="716"/>
      <c r="WDM225" s="716"/>
      <c r="WDN225" s="717"/>
      <c r="WDO225" s="715"/>
      <c r="WDP225" s="716"/>
      <c r="WDQ225" s="716"/>
      <c r="WDR225" s="716"/>
      <c r="WDS225" s="716"/>
      <c r="WDT225" s="717"/>
      <c r="WDU225" s="715"/>
      <c r="WDV225" s="716"/>
      <c r="WDW225" s="716"/>
      <c r="WDX225" s="716"/>
      <c r="WDY225" s="716"/>
      <c r="WDZ225" s="717"/>
      <c r="WEA225" s="715"/>
      <c r="WEB225" s="716"/>
      <c r="WEC225" s="716"/>
      <c r="WED225" s="716"/>
      <c r="WEE225" s="716"/>
      <c r="WEF225" s="717"/>
      <c r="WEG225" s="715"/>
      <c r="WEH225" s="716"/>
      <c r="WEI225" s="716"/>
      <c r="WEJ225" s="716"/>
      <c r="WEK225" s="716"/>
      <c r="WEL225" s="717"/>
      <c r="WEM225" s="715"/>
      <c r="WEN225" s="716"/>
      <c r="WEO225" s="716"/>
      <c r="WEP225" s="716"/>
      <c r="WEQ225" s="716"/>
      <c r="WER225" s="717"/>
      <c r="WES225" s="715"/>
      <c r="WET225" s="716"/>
      <c r="WEU225" s="716"/>
      <c r="WEV225" s="716"/>
      <c r="WEW225" s="716"/>
      <c r="WEX225" s="717"/>
      <c r="WEY225" s="715"/>
      <c r="WEZ225" s="716"/>
      <c r="WFA225" s="716"/>
      <c r="WFB225" s="716"/>
      <c r="WFC225" s="716"/>
      <c r="WFD225" s="717"/>
      <c r="WFE225" s="715"/>
      <c r="WFF225" s="716"/>
      <c r="WFG225" s="716"/>
      <c r="WFH225" s="716"/>
      <c r="WFI225" s="716"/>
      <c r="WFJ225" s="717"/>
      <c r="WFK225" s="715"/>
      <c r="WFL225" s="716"/>
      <c r="WFM225" s="716"/>
      <c r="WFN225" s="716"/>
      <c r="WFO225" s="716"/>
      <c r="WFP225" s="717"/>
      <c r="WFQ225" s="715"/>
      <c r="WFR225" s="716"/>
      <c r="WFS225" s="716"/>
      <c r="WFT225" s="716"/>
      <c r="WFU225" s="716"/>
      <c r="WFV225" s="717"/>
      <c r="WFW225" s="715"/>
      <c r="WFX225" s="716"/>
      <c r="WFY225" s="716"/>
      <c r="WFZ225" s="716"/>
      <c r="WGA225" s="716"/>
      <c r="WGB225" s="717"/>
      <c r="WGC225" s="715"/>
      <c r="WGD225" s="716"/>
      <c r="WGE225" s="716"/>
      <c r="WGF225" s="716"/>
      <c r="WGG225" s="716"/>
      <c r="WGH225" s="717"/>
      <c r="WGI225" s="715"/>
      <c r="WGJ225" s="716"/>
      <c r="WGK225" s="716"/>
      <c r="WGL225" s="716"/>
      <c r="WGM225" s="716"/>
      <c r="WGN225" s="717"/>
      <c r="WGO225" s="715"/>
      <c r="WGP225" s="716"/>
      <c r="WGQ225" s="716"/>
      <c r="WGR225" s="716"/>
      <c r="WGS225" s="716"/>
      <c r="WGT225" s="717"/>
      <c r="WGU225" s="715"/>
      <c r="WGV225" s="716"/>
      <c r="WGW225" s="716"/>
      <c r="WGX225" s="716"/>
      <c r="WGY225" s="716"/>
      <c r="WGZ225" s="717"/>
      <c r="WHA225" s="715"/>
      <c r="WHB225" s="716"/>
      <c r="WHC225" s="716"/>
      <c r="WHD225" s="716"/>
      <c r="WHE225" s="716"/>
      <c r="WHF225" s="717"/>
      <c r="WHG225" s="715"/>
      <c r="WHH225" s="716"/>
      <c r="WHI225" s="716"/>
      <c r="WHJ225" s="716"/>
      <c r="WHK225" s="716"/>
      <c r="WHL225" s="717"/>
      <c r="WHM225" s="715"/>
      <c r="WHN225" s="716"/>
      <c r="WHO225" s="716"/>
      <c r="WHP225" s="716"/>
      <c r="WHQ225" s="716"/>
      <c r="WHR225" s="717"/>
      <c r="WHS225" s="715"/>
      <c r="WHT225" s="716"/>
      <c r="WHU225" s="716"/>
      <c r="WHV225" s="716"/>
      <c r="WHW225" s="716"/>
      <c r="WHX225" s="717"/>
      <c r="WHY225" s="715"/>
      <c r="WHZ225" s="716"/>
      <c r="WIA225" s="716"/>
      <c r="WIB225" s="716"/>
      <c r="WIC225" s="716"/>
      <c r="WID225" s="717"/>
      <c r="WIE225" s="715"/>
      <c r="WIF225" s="716"/>
      <c r="WIG225" s="716"/>
      <c r="WIH225" s="716"/>
      <c r="WII225" s="716"/>
      <c r="WIJ225" s="717"/>
      <c r="WIK225" s="715"/>
      <c r="WIL225" s="716"/>
      <c r="WIM225" s="716"/>
      <c r="WIN225" s="716"/>
      <c r="WIO225" s="716"/>
      <c r="WIP225" s="717"/>
      <c r="WIQ225" s="715"/>
      <c r="WIR225" s="716"/>
      <c r="WIS225" s="716"/>
      <c r="WIT225" s="716"/>
      <c r="WIU225" s="716"/>
      <c r="WIV225" s="717"/>
      <c r="WIW225" s="715"/>
      <c r="WIX225" s="716"/>
      <c r="WIY225" s="716"/>
      <c r="WIZ225" s="716"/>
      <c r="WJA225" s="716"/>
      <c r="WJB225" s="717"/>
      <c r="WJC225" s="715"/>
      <c r="WJD225" s="716"/>
      <c r="WJE225" s="716"/>
      <c r="WJF225" s="716"/>
      <c r="WJG225" s="716"/>
      <c r="WJH225" s="717"/>
      <c r="WJI225" s="715"/>
      <c r="WJJ225" s="716"/>
      <c r="WJK225" s="716"/>
      <c r="WJL225" s="716"/>
      <c r="WJM225" s="716"/>
      <c r="WJN225" s="717"/>
      <c r="WJO225" s="715"/>
      <c r="WJP225" s="716"/>
      <c r="WJQ225" s="716"/>
      <c r="WJR225" s="716"/>
      <c r="WJS225" s="716"/>
      <c r="WJT225" s="717"/>
      <c r="WJU225" s="715"/>
      <c r="WJV225" s="716"/>
      <c r="WJW225" s="716"/>
      <c r="WJX225" s="716"/>
      <c r="WJY225" s="716"/>
      <c r="WJZ225" s="717"/>
      <c r="WKA225" s="715"/>
      <c r="WKB225" s="716"/>
      <c r="WKC225" s="716"/>
      <c r="WKD225" s="716"/>
      <c r="WKE225" s="716"/>
      <c r="WKF225" s="717"/>
      <c r="WKG225" s="715"/>
      <c r="WKH225" s="716"/>
      <c r="WKI225" s="716"/>
      <c r="WKJ225" s="716"/>
      <c r="WKK225" s="716"/>
      <c r="WKL225" s="717"/>
      <c r="WKM225" s="715"/>
      <c r="WKN225" s="716"/>
      <c r="WKO225" s="716"/>
      <c r="WKP225" s="716"/>
      <c r="WKQ225" s="716"/>
      <c r="WKR225" s="717"/>
      <c r="WKS225" s="715"/>
      <c r="WKT225" s="716"/>
      <c r="WKU225" s="716"/>
      <c r="WKV225" s="716"/>
      <c r="WKW225" s="716"/>
      <c r="WKX225" s="717"/>
      <c r="WKY225" s="715"/>
      <c r="WKZ225" s="716"/>
      <c r="WLA225" s="716"/>
      <c r="WLB225" s="716"/>
      <c r="WLC225" s="716"/>
      <c r="WLD225" s="717"/>
      <c r="WLE225" s="715"/>
      <c r="WLF225" s="716"/>
      <c r="WLG225" s="716"/>
      <c r="WLH225" s="716"/>
      <c r="WLI225" s="716"/>
      <c r="WLJ225" s="717"/>
      <c r="WLK225" s="715"/>
      <c r="WLL225" s="716"/>
      <c r="WLM225" s="716"/>
      <c r="WLN225" s="716"/>
      <c r="WLO225" s="716"/>
      <c r="WLP225" s="717"/>
      <c r="WLQ225" s="715"/>
      <c r="WLR225" s="716"/>
      <c r="WLS225" s="716"/>
      <c r="WLT225" s="716"/>
      <c r="WLU225" s="716"/>
      <c r="WLV225" s="717"/>
      <c r="WLW225" s="715"/>
      <c r="WLX225" s="716"/>
      <c r="WLY225" s="716"/>
      <c r="WLZ225" s="716"/>
      <c r="WMA225" s="716"/>
      <c r="WMB225" s="717"/>
      <c r="WMC225" s="715"/>
      <c r="WMD225" s="716"/>
      <c r="WME225" s="716"/>
      <c r="WMF225" s="716"/>
      <c r="WMG225" s="716"/>
      <c r="WMH225" s="717"/>
      <c r="WMI225" s="715"/>
      <c r="WMJ225" s="716"/>
      <c r="WMK225" s="716"/>
      <c r="WML225" s="716"/>
      <c r="WMM225" s="716"/>
      <c r="WMN225" s="717"/>
      <c r="WMO225" s="715"/>
      <c r="WMP225" s="716"/>
      <c r="WMQ225" s="716"/>
      <c r="WMR225" s="716"/>
      <c r="WMS225" s="716"/>
      <c r="WMT225" s="717"/>
      <c r="WMU225" s="715"/>
      <c r="WMV225" s="716"/>
      <c r="WMW225" s="716"/>
      <c r="WMX225" s="716"/>
      <c r="WMY225" s="716"/>
      <c r="WMZ225" s="717"/>
      <c r="WNA225" s="715"/>
      <c r="WNB225" s="716"/>
      <c r="WNC225" s="716"/>
      <c r="WND225" s="716"/>
      <c r="WNE225" s="716"/>
      <c r="WNF225" s="717"/>
      <c r="WNG225" s="715"/>
      <c r="WNH225" s="716"/>
      <c r="WNI225" s="716"/>
      <c r="WNJ225" s="716"/>
      <c r="WNK225" s="716"/>
      <c r="WNL225" s="717"/>
      <c r="WNM225" s="715"/>
      <c r="WNN225" s="716"/>
      <c r="WNO225" s="716"/>
      <c r="WNP225" s="716"/>
      <c r="WNQ225" s="716"/>
      <c r="WNR225" s="717"/>
      <c r="WNS225" s="715"/>
      <c r="WNT225" s="716"/>
      <c r="WNU225" s="716"/>
      <c r="WNV225" s="716"/>
      <c r="WNW225" s="716"/>
      <c r="WNX225" s="717"/>
      <c r="WNY225" s="715"/>
      <c r="WNZ225" s="716"/>
      <c r="WOA225" s="716"/>
      <c r="WOB225" s="716"/>
      <c r="WOC225" s="716"/>
      <c r="WOD225" s="717"/>
      <c r="WOE225" s="715"/>
      <c r="WOF225" s="716"/>
      <c r="WOG225" s="716"/>
      <c r="WOH225" s="716"/>
      <c r="WOI225" s="716"/>
      <c r="WOJ225" s="717"/>
      <c r="WOK225" s="715"/>
      <c r="WOL225" s="716"/>
      <c r="WOM225" s="716"/>
      <c r="WON225" s="716"/>
      <c r="WOO225" s="716"/>
      <c r="WOP225" s="717"/>
      <c r="WOQ225" s="715"/>
      <c r="WOR225" s="716"/>
      <c r="WOS225" s="716"/>
      <c r="WOT225" s="716"/>
      <c r="WOU225" s="716"/>
      <c r="WOV225" s="717"/>
      <c r="WOW225" s="715"/>
      <c r="WOX225" s="716"/>
      <c r="WOY225" s="716"/>
      <c r="WOZ225" s="716"/>
      <c r="WPA225" s="716"/>
      <c r="WPB225" s="717"/>
      <c r="WPC225" s="715"/>
      <c r="WPD225" s="716"/>
      <c r="WPE225" s="716"/>
      <c r="WPF225" s="716"/>
      <c r="WPG225" s="716"/>
      <c r="WPH225" s="717"/>
      <c r="WPI225" s="715"/>
      <c r="WPJ225" s="716"/>
      <c r="WPK225" s="716"/>
      <c r="WPL225" s="716"/>
      <c r="WPM225" s="716"/>
      <c r="WPN225" s="717"/>
      <c r="WPO225" s="715"/>
      <c r="WPP225" s="716"/>
      <c r="WPQ225" s="716"/>
      <c r="WPR225" s="716"/>
      <c r="WPS225" s="716"/>
      <c r="WPT225" s="717"/>
      <c r="WPU225" s="715"/>
      <c r="WPV225" s="716"/>
      <c r="WPW225" s="716"/>
      <c r="WPX225" s="716"/>
      <c r="WPY225" s="716"/>
      <c r="WPZ225" s="717"/>
      <c r="WQA225" s="715"/>
      <c r="WQB225" s="716"/>
      <c r="WQC225" s="716"/>
      <c r="WQD225" s="716"/>
      <c r="WQE225" s="716"/>
      <c r="WQF225" s="717"/>
      <c r="WQG225" s="715"/>
      <c r="WQH225" s="716"/>
      <c r="WQI225" s="716"/>
      <c r="WQJ225" s="716"/>
      <c r="WQK225" s="716"/>
      <c r="WQL225" s="717"/>
      <c r="WQM225" s="715"/>
      <c r="WQN225" s="716"/>
      <c r="WQO225" s="716"/>
      <c r="WQP225" s="716"/>
      <c r="WQQ225" s="716"/>
      <c r="WQR225" s="717"/>
      <c r="WQS225" s="715"/>
      <c r="WQT225" s="716"/>
      <c r="WQU225" s="716"/>
      <c r="WQV225" s="716"/>
      <c r="WQW225" s="716"/>
      <c r="WQX225" s="717"/>
      <c r="WQY225" s="715"/>
      <c r="WQZ225" s="716"/>
      <c r="WRA225" s="716"/>
      <c r="WRB225" s="716"/>
      <c r="WRC225" s="716"/>
      <c r="WRD225" s="717"/>
      <c r="WRE225" s="715"/>
      <c r="WRF225" s="716"/>
      <c r="WRG225" s="716"/>
      <c r="WRH225" s="716"/>
      <c r="WRI225" s="716"/>
      <c r="WRJ225" s="717"/>
      <c r="WRK225" s="715"/>
      <c r="WRL225" s="716"/>
      <c r="WRM225" s="716"/>
      <c r="WRN225" s="716"/>
      <c r="WRO225" s="716"/>
      <c r="WRP225" s="717"/>
      <c r="WRQ225" s="715"/>
      <c r="WRR225" s="716"/>
      <c r="WRS225" s="716"/>
      <c r="WRT225" s="716"/>
      <c r="WRU225" s="716"/>
      <c r="WRV225" s="717"/>
      <c r="WRW225" s="715"/>
      <c r="WRX225" s="716"/>
      <c r="WRY225" s="716"/>
      <c r="WRZ225" s="716"/>
      <c r="WSA225" s="716"/>
      <c r="WSB225" s="717"/>
      <c r="WSC225" s="715"/>
      <c r="WSD225" s="716"/>
      <c r="WSE225" s="716"/>
      <c r="WSF225" s="716"/>
      <c r="WSG225" s="716"/>
      <c r="WSH225" s="717"/>
      <c r="WSI225" s="715"/>
      <c r="WSJ225" s="716"/>
      <c r="WSK225" s="716"/>
      <c r="WSL225" s="716"/>
      <c r="WSM225" s="716"/>
      <c r="WSN225" s="717"/>
      <c r="WSO225" s="715"/>
      <c r="WSP225" s="716"/>
      <c r="WSQ225" s="716"/>
      <c r="WSR225" s="716"/>
      <c r="WSS225" s="716"/>
      <c r="WST225" s="717"/>
      <c r="WSU225" s="715"/>
      <c r="WSV225" s="716"/>
      <c r="WSW225" s="716"/>
      <c r="WSX225" s="716"/>
      <c r="WSY225" s="716"/>
      <c r="WSZ225" s="717"/>
      <c r="WTA225" s="715"/>
      <c r="WTB225" s="716"/>
      <c r="WTC225" s="716"/>
      <c r="WTD225" s="716"/>
      <c r="WTE225" s="716"/>
      <c r="WTF225" s="717"/>
      <c r="WTG225" s="715"/>
      <c r="WTH225" s="716"/>
      <c r="WTI225" s="716"/>
      <c r="WTJ225" s="716"/>
      <c r="WTK225" s="716"/>
      <c r="WTL225" s="717"/>
      <c r="WTM225" s="715"/>
      <c r="WTN225" s="716"/>
      <c r="WTO225" s="716"/>
      <c r="WTP225" s="716"/>
      <c r="WTQ225" s="716"/>
      <c r="WTR225" s="717"/>
      <c r="WTS225" s="715"/>
      <c r="WTT225" s="716"/>
      <c r="WTU225" s="716"/>
      <c r="WTV225" s="716"/>
      <c r="WTW225" s="716"/>
      <c r="WTX225" s="717"/>
      <c r="WTY225" s="715"/>
      <c r="WTZ225" s="716"/>
      <c r="WUA225" s="716"/>
      <c r="WUB225" s="716"/>
      <c r="WUC225" s="716"/>
      <c r="WUD225" s="717"/>
      <c r="WUE225" s="715"/>
      <c r="WUF225" s="716"/>
      <c r="WUG225" s="716"/>
      <c r="WUH225" s="716"/>
      <c r="WUI225" s="716"/>
      <c r="WUJ225" s="717"/>
      <c r="WUK225" s="715"/>
      <c r="WUL225" s="716"/>
      <c r="WUM225" s="716"/>
      <c r="WUN225" s="716"/>
      <c r="WUO225" s="716"/>
      <c r="WUP225" s="717"/>
      <c r="WUQ225" s="715"/>
      <c r="WUR225" s="716"/>
      <c r="WUS225" s="716"/>
      <c r="WUT225" s="716"/>
      <c r="WUU225" s="716"/>
      <c r="WUV225" s="717"/>
      <c r="WUW225" s="715"/>
      <c r="WUX225" s="716"/>
      <c r="WUY225" s="716"/>
      <c r="WUZ225" s="716"/>
      <c r="WVA225" s="716"/>
      <c r="WVB225" s="717"/>
      <c r="WVC225" s="715"/>
      <c r="WVD225" s="716"/>
      <c r="WVE225" s="716"/>
      <c r="WVF225" s="716"/>
      <c r="WVG225" s="716"/>
      <c r="WVH225" s="717"/>
      <c r="WVI225" s="715"/>
      <c r="WVJ225" s="716"/>
      <c r="WVK225" s="716"/>
      <c r="WVL225" s="716"/>
      <c r="WVM225" s="716"/>
      <c r="WVN225" s="717"/>
      <c r="WVO225" s="715"/>
      <c r="WVP225" s="716"/>
      <c r="WVQ225" s="716"/>
      <c r="WVR225" s="716"/>
      <c r="WVS225" s="716"/>
      <c r="WVT225" s="717"/>
      <c r="WVU225" s="715"/>
      <c r="WVV225" s="716"/>
      <c r="WVW225" s="716"/>
      <c r="WVX225" s="716"/>
      <c r="WVY225" s="716"/>
      <c r="WVZ225" s="717"/>
      <c r="WWA225" s="715"/>
      <c r="WWB225" s="716"/>
      <c r="WWC225" s="716"/>
      <c r="WWD225" s="716"/>
      <c r="WWE225" s="716"/>
      <c r="WWF225" s="717"/>
      <c r="WWG225" s="715"/>
      <c r="WWH225" s="716"/>
      <c r="WWI225" s="716"/>
      <c r="WWJ225" s="716"/>
      <c r="WWK225" s="716"/>
      <c r="WWL225" s="717"/>
      <c r="WWM225" s="715"/>
      <c r="WWN225" s="716"/>
      <c r="WWO225" s="716"/>
      <c r="WWP225" s="716"/>
      <c r="WWQ225" s="716"/>
      <c r="WWR225" s="717"/>
      <c r="WWS225" s="715"/>
      <c r="WWT225" s="716"/>
      <c r="WWU225" s="716"/>
      <c r="WWV225" s="716"/>
      <c r="WWW225" s="716"/>
      <c r="WWX225" s="717"/>
      <c r="WWY225" s="715"/>
      <c r="WWZ225" s="716"/>
      <c r="WXA225" s="716"/>
      <c r="WXB225" s="716"/>
      <c r="WXC225" s="716"/>
      <c r="WXD225" s="717"/>
      <c r="WXE225" s="715"/>
      <c r="WXF225" s="716"/>
      <c r="WXG225" s="716"/>
      <c r="WXH225" s="716"/>
      <c r="WXI225" s="716"/>
      <c r="WXJ225" s="717"/>
      <c r="WXK225" s="715"/>
      <c r="WXL225" s="716"/>
      <c r="WXM225" s="716"/>
      <c r="WXN225" s="716"/>
      <c r="WXO225" s="716"/>
      <c r="WXP225" s="717"/>
      <c r="WXQ225" s="715"/>
      <c r="WXR225" s="716"/>
      <c r="WXS225" s="716"/>
      <c r="WXT225" s="716"/>
      <c r="WXU225" s="716"/>
      <c r="WXV225" s="717"/>
      <c r="WXW225" s="715"/>
      <c r="WXX225" s="716"/>
      <c r="WXY225" s="716"/>
      <c r="WXZ225" s="716"/>
      <c r="WYA225" s="716"/>
      <c r="WYB225" s="717"/>
      <c r="WYC225" s="715"/>
      <c r="WYD225" s="716"/>
      <c r="WYE225" s="716"/>
      <c r="WYF225" s="716"/>
      <c r="WYG225" s="716"/>
      <c r="WYH225" s="717"/>
      <c r="WYI225" s="715"/>
      <c r="WYJ225" s="716"/>
      <c r="WYK225" s="716"/>
      <c r="WYL225" s="716"/>
      <c r="WYM225" s="716"/>
      <c r="WYN225" s="717"/>
      <c r="WYO225" s="715"/>
      <c r="WYP225" s="716"/>
      <c r="WYQ225" s="716"/>
      <c r="WYR225" s="716"/>
      <c r="WYS225" s="716"/>
      <c r="WYT225" s="717"/>
      <c r="WYU225" s="715"/>
      <c r="WYV225" s="716"/>
      <c r="WYW225" s="716"/>
      <c r="WYX225" s="716"/>
      <c r="WYY225" s="716"/>
      <c r="WYZ225" s="717"/>
      <c r="WZA225" s="715"/>
      <c r="WZB225" s="716"/>
      <c r="WZC225" s="716"/>
      <c r="WZD225" s="716"/>
      <c r="WZE225" s="716"/>
      <c r="WZF225" s="717"/>
      <c r="WZG225" s="715"/>
      <c r="WZH225" s="716"/>
      <c r="WZI225" s="716"/>
      <c r="WZJ225" s="716"/>
      <c r="WZK225" s="716"/>
      <c r="WZL225" s="717"/>
      <c r="WZM225" s="715"/>
      <c r="WZN225" s="716"/>
      <c r="WZO225" s="716"/>
      <c r="WZP225" s="716"/>
      <c r="WZQ225" s="716"/>
      <c r="WZR225" s="717"/>
      <c r="WZS225" s="715"/>
      <c r="WZT225" s="716"/>
      <c r="WZU225" s="716"/>
      <c r="WZV225" s="716"/>
      <c r="WZW225" s="716"/>
      <c r="WZX225" s="717"/>
      <c r="WZY225" s="715"/>
      <c r="WZZ225" s="716"/>
      <c r="XAA225" s="716"/>
      <c r="XAB225" s="716"/>
      <c r="XAC225" s="716"/>
      <c r="XAD225" s="717"/>
      <c r="XAE225" s="715"/>
      <c r="XAF225" s="716"/>
      <c r="XAG225" s="716"/>
      <c r="XAH225" s="716"/>
      <c r="XAI225" s="716"/>
      <c r="XAJ225" s="717"/>
      <c r="XAK225" s="715"/>
      <c r="XAL225" s="716"/>
      <c r="XAM225" s="716"/>
      <c r="XAN225" s="716"/>
      <c r="XAO225" s="716"/>
      <c r="XAP225" s="717"/>
      <c r="XAQ225" s="715"/>
      <c r="XAR225" s="716"/>
      <c r="XAS225" s="716"/>
      <c r="XAT225" s="716"/>
      <c r="XAU225" s="716"/>
      <c r="XAV225" s="717"/>
      <c r="XAW225" s="715"/>
      <c r="XAX225" s="716"/>
      <c r="XAY225" s="716"/>
      <c r="XAZ225" s="716"/>
      <c r="XBA225" s="716"/>
      <c r="XBB225" s="717"/>
      <c r="XBC225" s="715"/>
      <c r="XBD225" s="716"/>
      <c r="XBE225" s="716"/>
      <c r="XBF225" s="716"/>
      <c r="XBG225" s="716"/>
      <c r="XBH225" s="717"/>
      <c r="XBI225" s="715"/>
      <c r="XBJ225" s="716"/>
      <c r="XBK225" s="716"/>
      <c r="XBL225" s="716"/>
      <c r="XBM225" s="716"/>
      <c r="XBN225" s="717"/>
      <c r="XBO225" s="715"/>
      <c r="XBP225" s="716"/>
      <c r="XBQ225" s="716"/>
      <c r="XBR225" s="716"/>
      <c r="XBS225" s="716"/>
      <c r="XBT225" s="717"/>
      <c r="XBU225" s="715"/>
      <c r="XBV225" s="716"/>
      <c r="XBW225" s="716"/>
      <c r="XBX225" s="716"/>
      <c r="XBY225" s="716"/>
      <c r="XBZ225" s="717"/>
      <c r="XCA225" s="715"/>
      <c r="XCB225" s="716"/>
      <c r="XCC225" s="716"/>
      <c r="XCD225" s="716"/>
      <c r="XCE225" s="716"/>
      <c r="XCF225" s="717"/>
      <c r="XCG225" s="715"/>
      <c r="XCH225" s="716"/>
      <c r="XCI225" s="716"/>
      <c r="XCJ225" s="716"/>
      <c r="XCK225" s="716"/>
      <c r="XCL225" s="717"/>
      <c r="XCM225" s="715"/>
      <c r="XCN225" s="716"/>
      <c r="XCO225" s="716"/>
      <c r="XCP225" s="716"/>
      <c r="XCQ225" s="716"/>
      <c r="XCR225" s="717"/>
      <c r="XCS225" s="715"/>
      <c r="XCT225" s="716"/>
      <c r="XCU225" s="716"/>
      <c r="XCV225" s="716"/>
      <c r="XCW225" s="716"/>
      <c r="XCX225" s="717"/>
      <c r="XCY225" s="715"/>
      <c r="XCZ225" s="716"/>
      <c r="XDA225" s="716"/>
      <c r="XDB225" s="716"/>
      <c r="XDC225" s="716"/>
      <c r="XDD225" s="717"/>
      <c r="XDE225" s="715"/>
      <c r="XDF225" s="716"/>
      <c r="XDG225" s="716"/>
      <c r="XDH225" s="716"/>
      <c r="XDI225" s="716"/>
      <c r="XDJ225" s="717"/>
      <c r="XDK225" s="715"/>
      <c r="XDL225" s="716"/>
      <c r="XDM225" s="716"/>
      <c r="XDN225" s="716"/>
      <c r="XDO225" s="716"/>
      <c r="XDP225" s="717"/>
      <c r="XDQ225" s="715"/>
      <c r="XDR225" s="716"/>
      <c r="XDS225" s="716"/>
      <c r="XDT225" s="716"/>
      <c r="XDU225" s="716"/>
      <c r="XDV225" s="717"/>
      <c r="XDW225" s="715"/>
      <c r="XDX225" s="716"/>
      <c r="XDY225" s="716"/>
      <c r="XDZ225" s="716"/>
      <c r="XEA225" s="716"/>
      <c r="XEB225" s="717"/>
      <c r="XEC225" s="715"/>
      <c r="XED225" s="716"/>
      <c r="XEE225" s="716"/>
      <c r="XEF225" s="716"/>
      <c r="XEG225" s="716"/>
      <c r="XEH225" s="717"/>
      <c r="XEI225" s="715"/>
      <c r="XEJ225" s="716"/>
      <c r="XEK225" s="716"/>
      <c r="XEL225" s="716"/>
      <c r="XEM225" s="716"/>
      <c r="XEN225" s="717"/>
      <c r="XEO225" s="715"/>
      <c r="XEP225" s="716"/>
      <c r="XEQ225" s="716"/>
      <c r="XER225" s="716"/>
      <c r="XES225" s="716"/>
      <c r="XET225" s="717"/>
      <c r="XEU225" s="715"/>
      <c r="XEV225" s="716"/>
      <c r="XEW225" s="716"/>
      <c r="XEX225" s="716"/>
      <c r="XEY225" s="716"/>
      <c r="XEZ225" s="717"/>
      <c r="XFA225" s="715"/>
      <c r="XFB225" s="715"/>
      <c r="XFC225" s="715"/>
      <c r="XFD225" s="715"/>
    </row>
    <row r="226" spans="1:16384" customFormat="1" ht="18">
      <c r="B226" s="799" t="s">
        <v>242</v>
      </c>
      <c r="C226" s="800"/>
      <c r="D226" s="800"/>
      <c r="E226" s="800"/>
      <c r="F226" s="800"/>
      <c r="G226" s="801"/>
    </row>
    <row r="227" spans="1:16384" s="7" customFormat="1" ht="21.75" customHeight="1">
      <c r="B227" s="775" t="s">
        <v>297</v>
      </c>
      <c r="C227" s="776"/>
      <c r="D227" s="776"/>
      <c r="E227" s="776"/>
      <c r="F227" s="776"/>
      <c r="G227" s="77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row>
    <row r="228" spans="1:16384" customFormat="1" ht="18" customHeight="1">
      <c r="B228" s="797" t="s">
        <v>580</v>
      </c>
      <c r="C228" s="798"/>
      <c r="D228" s="256"/>
      <c r="E228" s="798" t="s">
        <v>243</v>
      </c>
      <c r="F228" s="798"/>
      <c r="G228" s="808"/>
    </row>
    <row r="229" spans="1:16384" s="2" customFormat="1" ht="18">
      <c r="B229" s="780"/>
      <c r="C229" s="781"/>
      <c r="D229" s="782"/>
      <c r="E229" s="772"/>
      <c r="F229" s="772"/>
      <c r="G229" s="772"/>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1:16384" s="2" customFormat="1" ht="18">
      <c r="B230" s="780"/>
      <c r="C230" s="781"/>
      <c r="D230" s="782"/>
      <c r="E230" s="772"/>
      <c r="F230" s="772"/>
      <c r="G230" s="772"/>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1:16384" s="2" customFormat="1" ht="18">
      <c r="B231" s="780"/>
      <c r="C231" s="781"/>
      <c r="D231" s="782"/>
      <c r="E231" s="772"/>
      <c r="F231" s="772"/>
      <c r="G231" s="772"/>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1:16384" s="2" customFormat="1" ht="18">
      <c r="B232" s="780"/>
      <c r="C232" s="781"/>
      <c r="D232" s="782"/>
      <c r="E232" s="772"/>
      <c r="F232" s="772"/>
      <c r="G232" s="77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1:16384" s="2" customFormat="1" ht="18">
      <c r="B233" s="780"/>
      <c r="C233" s="781"/>
      <c r="D233" s="782"/>
      <c r="E233" s="772"/>
      <c r="F233" s="772"/>
      <c r="G233" s="772"/>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1:16384" s="2" customFormat="1" ht="18">
      <c r="B234" s="780"/>
      <c r="C234" s="781"/>
      <c r="D234" s="782"/>
      <c r="E234" s="772"/>
      <c r="F234" s="772"/>
      <c r="G234" s="772"/>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1:16384" s="2" customFormat="1" ht="18">
      <c r="B235" s="780"/>
      <c r="C235" s="781"/>
      <c r="D235" s="782"/>
      <c r="E235" s="772"/>
      <c r="F235" s="772"/>
      <c r="G235" s="772"/>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1:16384" s="2" customFormat="1" ht="18">
      <c r="B236" s="780"/>
      <c r="C236" s="781"/>
      <c r="D236" s="782"/>
      <c r="E236" s="772"/>
      <c r="F236" s="772"/>
      <c r="G236" s="772"/>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1:16384" s="2" customFormat="1" ht="18">
      <c r="B237" s="780"/>
      <c r="C237" s="781"/>
      <c r="D237" s="782"/>
      <c r="E237" s="772"/>
      <c r="F237" s="772"/>
      <c r="G237" s="772"/>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1:16384" s="2" customFormat="1" ht="18">
      <c r="B238" s="780"/>
      <c r="C238" s="781"/>
      <c r="D238" s="782"/>
      <c r="E238" s="772"/>
      <c r="F238" s="772"/>
      <c r="G238" s="772"/>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1:16384" s="2" customFormat="1" ht="18">
      <c r="B239" s="780"/>
      <c r="C239" s="781"/>
      <c r="D239" s="782"/>
      <c r="E239" s="772"/>
      <c r="F239" s="772"/>
      <c r="G239" s="772"/>
      <c r="H239" s="53"/>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1:16384" s="57" customFormat="1" ht="18">
      <c r="B240" s="780"/>
      <c r="C240" s="781"/>
      <c r="D240" s="782"/>
      <c r="E240" s="772"/>
      <c r="F240" s="772"/>
      <c r="G240" s="772"/>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8">
      <c r="B241" s="780"/>
      <c r="C241" s="781"/>
      <c r="D241" s="782"/>
      <c r="E241" s="772"/>
      <c r="F241" s="772"/>
      <c r="G241" s="772"/>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8">
      <c r="B242" s="780"/>
      <c r="C242" s="781"/>
      <c r="D242" s="782"/>
      <c r="E242" s="772"/>
      <c r="F242" s="772"/>
      <c r="G242" s="772"/>
      <c r="H242" s="53"/>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8">
      <c r="B243" s="780"/>
      <c r="C243" s="781"/>
      <c r="D243" s="782"/>
      <c r="E243" s="772"/>
      <c r="F243" s="772"/>
      <c r="G243" s="772"/>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2" customFormat="1" ht="18">
      <c r="B244" s="780"/>
      <c r="C244" s="781"/>
      <c r="D244" s="782"/>
      <c r="E244" s="772"/>
      <c r="F244" s="772"/>
      <c r="G244" s="772"/>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58" customFormat="1" ht="18">
      <c r="B245" s="780"/>
      <c r="C245" s="781"/>
      <c r="D245" s="782"/>
      <c r="E245" s="772"/>
      <c r="F245" s="772"/>
      <c r="G245" s="772"/>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8">
      <c r="B246" s="780"/>
      <c r="C246" s="781"/>
      <c r="D246" s="782"/>
      <c r="E246" s="772"/>
      <c r="F246" s="772"/>
      <c r="G246" s="772"/>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8">
      <c r="B247" s="780"/>
      <c r="C247" s="781"/>
      <c r="D247" s="782"/>
      <c r="E247" s="772"/>
      <c r="F247" s="772"/>
      <c r="G247" s="772"/>
      <c r="H247" s="53"/>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2" customFormat="1" ht="18">
      <c r="B248" s="780"/>
      <c r="C248" s="781"/>
      <c r="D248" s="782"/>
      <c r="E248" s="772"/>
      <c r="F248" s="772"/>
      <c r="G248" s="772"/>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row>
    <row r="249" spans="2:70" s="146" customFormat="1" ht="27" customHeight="1">
      <c r="B249" s="730" t="str">
        <f>IF('Cover Page'!$D$8&lt;&gt;"Please Select",'Cover Page'!$D$8, "")</f>
        <v/>
      </c>
      <c r="C249" s="730"/>
      <c r="D249" s="730"/>
      <c r="E249" s="730"/>
      <c r="F249" s="730"/>
      <c r="G249" s="731"/>
      <c r="H249"/>
      <c r="I249"/>
      <c r="J249"/>
      <c r="K249"/>
      <c r="L249"/>
    </row>
    <row r="250" spans="2:70" ht="38.25" customHeight="1">
      <c r="B250" s="754" t="s">
        <v>244</v>
      </c>
      <c r="C250" s="755"/>
      <c r="D250" s="756"/>
      <c r="E250" s="756"/>
      <c r="F250" s="756"/>
      <c r="G250" s="757"/>
    </row>
    <row r="251" spans="2:70" ht="5.25" customHeight="1">
      <c r="B251" s="771"/>
      <c r="C251" s="771"/>
      <c r="D251" s="771"/>
      <c r="E251" s="771"/>
      <c r="F251" s="771"/>
      <c r="G251" s="771"/>
    </row>
    <row r="252" spans="2:70" ht="35.25" customHeight="1">
      <c r="B252" s="786" t="s">
        <v>771</v>
      </c>
      <c r="C252" s="787"/>
      <c r="D252" s="788"/>
      <c r="E252" s="245"/>
      <c r="F252" s="791" t="s">
        <v>585</v>
      </c>
      <c r="G252" s="791"/>
    </row>
    <row r="253" spans="2:70" ht="30.75" customHeight="1">
      <c r="B253" s="254"/>
      <c r="C253" s="783" t="s">
        <v>282</v>
      </c>
      <c r="D253" s="784"/>
      <c r="E253" s="245"/>
      <c r="F253" s="791"/>
      <c r="G253" s="791"/>
    </row>
    <row r="254" spans="2:70" ht="15">
      <c r="B254" s="243"/>
      <c r="C254" s="243"/>
      <c r="D254" s="243"/>
      <c r="E254" s="243"/>
      <c r="F254" s="791"/>
      <c r="G254" s="791"/>
    </row>
    <row r="255" spans="2:70" ht="18">
      <c r="B255" s="246" t="s">
        <v>4</v>
      </c>
      <c r="C255" s="246"/>
      <c r="D255" s="246"/>
      <c r="E255" s="246"/>
      <c r="F255" s="246"/>
      <c r="G255" s="246"/>
    </row>
    <row r="256" spans="2:70" ht="30" customHeight="1">
      <c r="B256" s="769">
        <f>'Cover Page'!H21</f>
        <v>0</v>
      </c>
      <c r="C256" s="770"/>
      <c r="D256" s="255"/>
      <c r="E256" s="247"/>
      <c r="F256" s="248"/>
      <c r="G256" s="249"/>
    </row>
    <row r="257" spans="2:7" ht="30" customHeight="1">
      <c r="B257" s="789" t="s">
        <v>245</v>
      </c>
      <c r="C257" s="790"/>
      <c r="D257" s="250" t="s">
        <v>246</v>
      </c>
      <c r="E257" s="250" t="s">
        <v>247</v>
      </c>
      <c r="F257" s="251"/>
      <c r="G257" s="252"/>
    </row>
    <row r="258" spans="2:7" ht="33.75" customHeight="1">
      <c r="B258" s="254"/>
      <c r="C258" s="783" t="s">
        <v>282</v>
      </c>
      <c r="D258" s="784"/>
      <c r="E258" s="253"/>
      <c r="F258" s="253"/>
      <c r="G258" s="253"/>
    </row>
    <row r="259" spans="2:7" ht="23.25" customHeight="1">
      <c r="B259" s="771"/>
      <c r="C259" s="771"/>
      <c r="D259" s="771"/>
      <c r="E259" s="771"/>
      <c r="F259" s="771"/>
      <c r="G259" s="771"/>
    </row>
    <row r="260" spans="2:7" ht="18">
      <c r="B260" s="785" t="s">
        <v>5</v>
      </c>
      <c r="C260" s="785"/>
      <c r="D260" s="785"/>
      <c r="E260" s="785"/>
      <c r="F260" s="785"/>
      <c r="G260" s="785"/>
    </row>
    <row r="261" spans="2:7" ht="30" customHeight="1">
      <c r="B261" s="769">
        <f>'Cover Page'!H23</f>
        <v>0</v>
      </c>
      <c r="C261" s="770"/>
      <c r="D261" s="255"/>
      <c r="E261" s="244"/>
      <c r="F261" s="248"/>
      <c r="G261" s="249"/>
    </row>
    <row r="262" spans="2:7" ht="30" customHeight="1">
      <c r="B262" s="789" t="s">
        <v>245</v>
      </c>
      <c r="C262" s="790"/>
      <c r="D262" s="250" t="s">
        <v>246</v>
      </c>
      <c r="E262" s="250" t="s">
        <v>247</v>
      </c>
      <c r="F262" s="251"/>
      <c r="G262" s="252"/>
    </row>
    <row r="263" spans="2:7" ht="38.25" customHeight="1">
      <c r="B263" s="254"/>
      <c r="C263" s="783" t="s">
        <v>282</v>
      </c>
      <c r="D263" s="784"/>
      <c r="E263" s="253"/>
      <c r="F263" s="253"/>
      <c r="G263" s="253"/>
    </row>
    <row r="264" spans="2:7">
      <c r="B264" s="213"/>
      <c r="C264" s="213"/>
      <c r="D264" s="213"/>
      <c r="E264" s="213"/>
      <c r="F264" s="213"/>
      <c r="G264" s="213"/>
    </row>
    <row r="265" spans="2:7">
      <c r="B265" s="213"/>
      <c r="C265" s="213"/>
      <c r="D265" s="213"/>
      <c r="E265" s="213"/>
      <c r="F265" s="213"/>
      <c r="G265" s="213"/>
    </row>
    <row r="266" spans="2:7" ht="18">
      <c r="B266" s="785" t="s">
        <v>291</v>
      </c>
      <c r="C266" s="785"/>
      <c r="D266" s="785"/>
      <c r="E266" s="785"/>
      <c r="F266" s="785"/>
      <c r="G266" s="785"/>
    </row>
    <row r="267" spans="2:7" ht="30" customHeight="1">
      <c r="B267" s="769" t="str">
        <f>IF('Cover Page'!H25&lt;&gt;"",'Cover Page'!H25,"N/A")</f>
        <v>N/A</v>
      </c>
      <c r="C267" s="770"/>
      <c r="D267" s="255"/>
      <c r="E267" s="244"/>
      <c r="F267" s="248"/>
      <c r="G267" s="249"/>
    </row>
    <row r="268" spans="2:7" ht="30" customHeight="1">
      <c r="B268" s="789" t="s">
        <v>245</v>
      </c>
      <c r="C268" s="790"/>
      <c r="D268" s="250" t="s">
        <v>246</v>
      </c>
      <c r="E268" s="250" t="s">
        <v>247</v>
      </c>
      <c r="F268" s="251"/>
      <c r="G268" s="252"/>
    </row>
    <row r="269" spans="2:7" ht="39" customHeight="1">
      <c r="B269" s="254"/>
      <c r="C269" s="783" t="s">
        <v>282</v>
      </c>
      <c r="D269" s="784"/>
      <c r="E269" s="253"/>
      <c r="F269" s="253"/>
      <c r="G269" s="253"/>
    </row>
    <row r="270" spans="2:7">
      <c r="B270" s="213"/>
      <c r="C270" s="213"/>
      <c r="D270" s="213"/>
      <c r="E270" s="213"/>
      <c r="F270" s="213"/>
      <c r="G270" s="213"/>
    </row>
    <row r="271" spans="2:7">
      <c r="B271" s="213"/>
      <c r="C271" s="213"/>
      <c r="D271" s="213"/>
      <c r="E271" s="213"/>
      <c r="F271" s="213"/>
      <c r="G271" s="213"/>
    </row>
    <row r="272" spans="2:7" ht="18">
      <c r="B272" s="785" t="s">
        <v>291</v>
      </c>
      <c r="C272" s="785"/>
      <c r="D272" s="785"/>
      <c r="E272" s="785"/>
      <c r="F272" s="785"/>
      <c r="G272" s="785"/>
    </row>
    <row r="273" spans="2:7" ht="30" customHeight="1">
      <c r="B273" s="769" t="str">
        <f>IF('Cover Page'!H27&lt;&gt;"",'Cover Page'!H27,"N/A")</f>
        <v>N/A</v>
      </c>
      <c r="C273" s="770"/>
      <c r="D273" s="255"/>
      <c r="E273" s="244"/>
      <c r="F273" s="248"/>
      <c r="G273" s="249"/>
    </row>
    <row r="274" spans="2:7" ht="30" customHeight="1">
      <c r="B274" s="789" t="s">
        <v>245</v>
      </c>
      <c r="C274" s="790"/>
      <c r="D274" s="250" t="s">
        <v>246</v>
      </c>
      <c r="E274" s="250" t="s">
        <v>247</v>
      </c>
      <c r="F274" s="251"/>
      <c r="G274" s="252"/>
    </row>
    <row r="275" spans="2:7" ht="44.25" customHeight="1">
      <c r="B275" s="254"/>
      <c r="C275" s="783" t="s">
        <v>282</v>
      </c>
      <c r="D275" s="784"/>
      <c r="E275" s="253"/>
      <c r="F275" s="253"/>
      <c r="G275" s="253"/>
    </row>
    <row r="276" spans="2:7">
      <c r="B276" s="213"/>
      <c r="C276" s="213"/>
      <c r="D276" s="213"/>
      <c r="E276" s="213"/>
      <c r="F276" s="213"/>
      <c r="G276" s="213"/>
    </row>
    <row r="277" spans="2:7">
      <c r="B277" s="213"/>
      <c r="C277" s="213"/>
      <c r="D277" s="213"/>
      <c r="E277" s="213"/>
      <c r="F277" s="213"/>
      <c r="G277" s="213"/>
    </row>
    <row r="278" spans="2:7">
      <c r="B278" s="213"/>
      <c r="C278" s="213"/>
      <c r="D278" s="213"/>
      <c r="E278" s="213"/>
      <c r="F278" s="213"/>
      <c r="G278" s="213"/>
    </row>
    <row r="279" spans="2:7">
      <c r="B279" s="213"/>
      <c r="C279" s="213"/>
      <c r="D279" s="213"/>
      <c r="E279" s="213"/>
      <c r="F279" s="213"/>
      <c r="G279" s="213"/>
    </row>
    <row r="280" spans="2:7">
      <c r="B280" s="213"/>
      <c r="C280" s="213"/>
      <c r="D280" s="213"/>
      <c r="E280" s="213"/>
      <c r="F280" s="213"/>
      <c r="G280" s="213"/>
    </row>
    <row r="281" spans="2:7">
      <c r="B281" s="213"/>
      <c r="C281" s="213"/>
      <c r="D281" s="213"/>
      <c r="E281" s="213"/>
      <c r="F281" s="213"/>
      <c r="G281" s="213"/>
    </row>
    <row r="282" spans="2:7">
      <c r="B282" s="213"/>
      <c r="C282" s="213"/>
      <c r="D282" s="213"/>
      <c r="E282" s="213"/>
      <c r="F282" s="213"/>
      <c r="G282" s="213"/>
    </row>
    <row r="283" spans="2:7">
      <c r="B283" s="213"/>
      <c r="C283" s="213"/>
      <c r="D283" s="213"/>
      <c r="E283" s="213"/>
      <c r="F283" s="213"/>
      <c r="G283" s="213"/>
    </row>
    <row r="284" spans="2:7">
      <c r="B284" s="213"/>
      <c r="C284" s="213"/>
      <c r="D284" s="213"/>
      <c r="E284" s="213"/>
      <c r="F284" s="213"/>
      <c r="G284" s="213"/>
    </row>
    <row r="285" spans="2:7">
      <c r="B285" s="213"/>
      <c r="C285" s="213"/>
      <c r="D285" s="213"/>
      <c r="E285" s="213"/>
      <c r="F285" s="213"/>
      <c r="G285" s="213"/>
    </row>
    <row r="286" spans="2:7">
      <c r="B286" s="213"/>
      <c r="C286" s="213"/>
      <c r="D286" s="213"/>
      <c r="E286" s="213"/>
      <c r="F286" s="213"/>
      <c r="G286" s="213"/>
    </row>
    <row r="287" spans="2:7">
      <c r="B287" s="213"/>
      <c r="C287" s="213"/>
      <c r="D287" s="213"/>
      <c r="E287" s="213"/>
      <c r="F287" s="213"/>
      <c r="G287" s="213"/>
    </row>
    <row r="288" spans="2:7">
      <c r="B288" s="213"/>
      <c r="C288" s="213"/>
      <c r="D288" s="213"/>
      <c r="E288" s="213"/>
      <c r="F288" s="213"/>
      <c r="G288" s="213"/>
    </row>
    <row r="289" spans="2:7">
      <c r="B289" s="213"/>
      <c r="C289" s="213"/>
      <c r="D289" s="213"/>
      <c r="E289" s="213"/>
      <c r="F289" s="213"/>
      <c r="G289" s="213"/>
    </row>
    <row r="290" spans="2:7">
      <c r="B290" s="213"/>
      <c r="C290" s="213"/>
      <c r="D290" s="213"/>
      <c r="E290" s="213"/>
      <c r="F290" s="213"/>
      <c r="G290" s="213"/>
    </row>
    <row r="291" spans="2:7">
      <c r="B291" s="213"/>
      <c r="C291" s="213"/>
      <c r="D291" s="213"/>
      <c r="E291" s="213"/>
      <c r="F291" s="213"/>
      <c r="G291" s="213"/>
    </row>
    <row r="292" spans="2:7">
      <c r="B292" s="213"/>
      <c r="C292" s="213"/>
      <c r="D292" s="213"/>
      <c r="E292" s="213"/>
      <c r="F292" s="213"/>
      <c r="G292" s="213"/>
    </row>
    <row r="293" spans="2:7">
      <c r="B293" s="213"/>
      <c r="C293" s="213"/>
      <c r="D293" s="213"/>
      <c r="E293" s="213"/>
      <c r="F293" s="213"/>
      <c r="G293" s="213"/>
    </row>
    <row r="294" spans="2:7">
      <c r="B294" s="213"/>
      <c r="C294" s="213"/>
      <c r="D294" s="213"/>
      <c r="E294" s="213"/>
      <c r="F294" s="213"/>
      <c r="G294" s="213"/>
    </row>
    <row r="295" spans="2:7">
      <c r="B295" s="213"/>
      <c r="C295" s="213"/>
      <c r="D295" s="213"/>
      <c r="E295" s="213"/>
      <c r="F295" s="213"/>
      <c r="G295" s="213"/>
    </row>
    <row r="296" spans="2:7">
      <c r="B296" s="213"/>
      <c r="C296" s="213"/>
      <c r="D296" s="213"/>
      <c r="E296" s="213"/>
      <c r="F296" s="213"/>
      <c r="G296" s="213"/>
    </row>
    <row r="297" spans="2:7">
      <c r="B297" s="213"/>
      <c r="C297" s="213"/>
      <c r="D297" s="213"/>
      <c r="E297" s="213"/>
      <c r="F297" s="213"/>
      <c r="G297" s="213"/>
    </row>
    <row r="298" spans="2:7">
      <c r="B298" s="213"/>
      <c r="C298" s="213"/>
      <c r="D298" s="213"/>
      <c r="E298" s="213"/>
      <c r="F298" s="213"/>
      <c r="G298" s="213"/>
    </row>
    <row r="299" spans="2:7">
      <c r="B299" s="213"/>
      <c r="C299" s="213"/>
      <c r="D299" s="213"/>
      <c r="E299" s="213"/>
      <c r="F299" s="213"/>
      <c r="G299" s="213"/>
    </row>
    <row r="300" spans="2:7">
      <c r="B300" s="213"/>
      <c r="C300" s="213"/>
      <c r="D300" s="213"/>
      <c r="E300" s="213"/>
      <c r="F300" s="213"/>
      <c r="G300" s="213"/>
    </row>
    <row r="301" spans="2:7">
      <c r="B301" s="213"/>
      <c r="C301" s="213"/>
      <c r="D301" s="213"/>
      <c r="E301" s="213"/>
      <c r="F301" s="213"/>
      <c r="G301" s="213"/>
    </row>
    <row r="302" spans="2:7">
      <c r="B302" s="213"/>
      <c r="C302" s="213"/>
      <c r="D302" s="213"/>
      <c r="E302" s="213"/>
      <c r="F302" s="213"/>
      <c r="G302" s="213"/>
    </row>
    <row r="303" spans="2:7">
      <c r="B303" s="213"/>
      <c r="C303" s="213"/>
      <c r="D303" s="213"/>
      <c r="E303" s="213"/>
      <c r="F303" s="213"/>
      <c r="G303" s="213"/>
    </row>
    <row r="304" spans="2:7">
      <c r="B304" s="213"/>
      <c r="C304" s="213"/>
      <c r="D304" s="213"/>
      <c r="E304" s="213"/>
      <c r="F304" s="213"/>
      <c r="G304" s="213"/>
    </row>
    <row r="305" spans="2:7">
      <c r="B305" s="213"/>
      <c r="C305" s="213"/>
      <c r="D305" s="213"/>
      <c r="E305" s="213"/>
      <c r="F305" s="213"/>
      <c r="G305" s="213"/>
    </row>
    <row r="306" spans="2:7">
      <c r="B306" s="213"/>
      <c r="C306" s="213"/>
      <c r="D306" s="213"/>
      <c r="E306" s="213"/>
      <c r="F306" s="213"/>
      <c r="G306" s="213"/>
    </row>
    <row r="307" spans="2:7">
      <c r="B307" s="213"/>
      <c r="C307" s="213"/>
      <c r="D307" s="213"/>
      <c r="E307" s="213"/>
      <c r="F307" s="213"/>
      <c r="G307" s="213"/>
    </row>
    <row r="308" spans="2:7">
      <c r="B308" s="213"/>
      <c r="C308" s="213"/>
      <c r="D308" s="213"/>
      <c r="E308" s="213"/>
      <c r="F308" s="213"/>
      <c r="G308" s="213"/>
    </row>
    <row r="309" spans="2:7">
      <c r="B309" s="213"/>
      <c r="C309" s="213"/>
      <c r="D309" s="213"/>
      <c r="E309" s="213"/>
      <c r="F309" s="213"/>
      <c r="G309" s="213"/>
    </row>
    <row r="310" spans="2:7">
      <c r="B310" s="213"/>
      <c r="C310" s="213"/>
      <c r="D310" s="213"/>
      <c r="E310" s="213"/>
      <c r="F310" s="213"/>
      <c r="G310" s="213"/>
    </row>
    <row r="311" spans="2:7">
      <c r="B311" s="213"/>
      <c r="C311" s="213"/>
      <c r="D311" s="213"/>
      <c r="E311" s="213"/>
      <c r="F311" s="213"/>
      <c r="G311" s="213"/>
    </row>
    <row r="312" spans="2:7">
      <c r="B312" s="213"/>
      <c r="C312" s="213"/>
      <c r="D312" s="213"/>
      <c r="E312" s="213"/>
      <c r="F312" s="213"/>
      <c r="G312" s="213"/>
    </row>
    <row r="313" spans="2:7">
      <c r="B313" s="213"/>
      <c r="C313" s="213"/>
      <c r="D313" s="213"/>
      <c r="E313" s="213"/>
      <c r="F313" s="213"/>
      <c r="G313" s="213"/>
    </row>
    <row r="314" spans="2:7">
      <c r="B314" s="213"/>
      <c r="C314" s="213"/>
      <c r="D314" s="213"/>
      <c r="E314" s="213"/>
      <c r="F314" s="213"/>
      <c r="G314" s="213"/>
    </row>
    <row r="315" spans="2:7">
      <c r="B315" s="213"/>
      <c r="C315" s="213"/>
      <c r="D315" s="213"/>
      <c r="E315" s="213"/>
      <c r="F315" s="213"/>
      <c r="G315" s="213"/>
    </row>
    <row r="316" spans="2:7">
      <c r="B316" s="213"/>
      <c r="C316" s="213"/>
      <c r="D316" s="213"/>
      <c r="E316" s="213"/>
      <c r="F316" s="213"/>
      <c r="G316" s="213"/>
    </row>
    <row r="317" spans="2:7">
      <c r="B317" s="213"/>
      <c r="C317" s="213"/>
      <c r="D317" s="213"/>
      <c r="E317" s="213"/>
      <c r="F317" s="213"/>
      <c r="G317" s="213"/>
    </row>
    <row r="318" spans="2:7">
      <c r="B318" s="213"/>
      <c r="C318" s="213"/>
      <c r="D318" s="213"/>
      <c r="E318" s="213"/>
      <c r="F318" s="213"/>
      <c r="G318" s="213"/>
    </row>
    <row r="319" spans="2:7">
      <c r="B319" s="213"/>
      <c r="C319" s="213"/>
      <c r="D319" s="213"/>
      <c r="E319" s="213"/>
      <c r="F319" s="213"/>
      <c r="G319" s="213"/>
    </row>
    <row r="320" spans="2:7">
      <c r="B320" s="213"/>
      <c r="C320" s="213"/>
      <c r="D320" s="213"/>
      <c r="E320" s="213"/>
      <c r="F320" s="213"/>
      <c r="G320" s="213"/>
    </row>
    <row r="321" spans="2:7">
      <c r="B321" s="213"/>
      <c r="C321" s="213"/>
      <c r="D321" s="213"/>
      <c r="E321" s="213"/>
      <c r="F321" s="213"/>
      <c r="G321" s="213"/>
    </row>
    <row r="322" spans="2:7">
      <c r="B322" s="213"/>
      <c r="C322" s="213"/>
      <c r="D322" s="213"/>
      <c r="E322" s="213"/>
      <c r="F322" s="213"/>
      <c r="G322" s="213"/>
    </row>
    <row r="323" spans="2:7">
      <c r="B323" s="213"/>
      <c r="C323" s="213"/>
      <c r="D323" s="213"/>
      <c r="E323" s="213"/>
      <c r="F323" s="213"/>
      <c r="G323" s="213"/>
    </row>
    <row r="324" spans="2:7">
      <c r="B324" s="213"/>
      <c r="C324" s="213"/>
      <c r="D324" s="213"/>
      <c r="E324" s="213"/>
      <c r="F324" s="213"/>
      <c r="G324" s="213"/>
    </row>
    <row r="325" spans="2:7">
      <c r="B325" s="213"/>
      <c r="C325" s="213"/>
      <c r="D325" s="213"/>
      <c r="E325" s="213"/>
      <c r="F325" s="213"/>
      <c r="G325" s="213"/>
    </row>
    <row r="326" spans="2:7">
      <c r="B326" s="213"/>
      <c r="C326" s="213"/>
      <c r="D326" s="213"/>
      <c r="E326" s="213"/>
      <c r="F326" s="213"/>
      <c r="G326" s="213"/>
    </row>
    <row r="327" spans="2:7">
      <c r="B327" s="213"/>
      <c r="C327" s="213"/>
      <c r="D327" s="213"/>
      <c r="E327" s="213"/>
      <c r="F327" s="213"/>
      <c r="G327" s="213"/>
    </row>
    <row r="328" spans="2:7">
      <c r="B328" s="213"/>
      <c r="C328" s="213"/>
      <c r="D328" s="213"/>
      <c r="E328" s="213"/>
      <c r="F328" s="213"/>
      <c r="G328" s="213"/>
    </row>
    <row r="329" spans="2:7">
      <c r="B329" s="213"/>
      <c r="C329" s="213"/>
      <c r="D329" s="213"/>
      <c r="E329" s="213"/>
      <c r="F329" s="213"/>
      <c r="G329" s="213"/>
    </row>
    <row r="330" spans="2:7">
      <c r="B330" s="213"/>
      <c r="C330" s="213"/>
      <c r="D330" s="213"/>
      <c r="E330" s="213"/>
      <c r="F330" s="213"/>
      <c r="G330" s="213"/>
    </row>
    <row r="331" spans="2:7">
      <c r="B331" s="213"/>
      <c r="C331" s="213"/>
      <c r="D331" s="213"/>
      <c r="E331" s="213"/>
      <c r="F331" s="213"/>
      <c r="G331" s="213"/>
    </row>
    <row r="332" spans="2:7">
      <c r="B332" s="213"/>
      <c r="C332" s="213"/>
      <c r="D332" s="213"/>
      <c r="E332" s="213"/>
      <c r="F332" s="213"/>
      <c r="G332" s="213"/>
    </row>
    <row r="337" customFormat="1"/>
  </sheetData>
  <sheetProtection algorithmName="SHA-512" hashValue="9eAjp8vKoXuwmr56iuH6qeCKXbwsQzLVM1PoNb5C3ewuZgBmJSKy+huzfw2iXxvtOtT+DnPLsvgAvOREi658Ww==" saltValue="83NnZ8WSXY4ZTnxVuVEy2g==" spinCount="100000" sheet="1" formatRows="0" deleteRows="0" selectLockedCells="1"/>
  <protectedRanges>
    <protectedRange sqref="A162:XFD164 A187:XFD190 A200:XFD203 A32:XFD38 A73:XFD75 A65:XFD71 A40:XFD41" name="Range1"/>
  </protectedRanges>
  <customSheetViews>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00">
    <mergeCell ref="C253:D253"/>
    <mergeCell ref="B161:C161"/>
    <mergeCell ref="D161:F161"/>
    <mergeCell ref="B162:C162"/>
    <mergeCell ref="D162:F162"/>
    <mergeCell ref="B163:C163"/>
    <mergeCell ref="D163:F163"/>
    <mergeCell ref="B164:C164"/>
    <mergeCell ref="D164:F164"/>
    <mergeCell ref="D173:F173"/>
    <mergeCell ref="B174:C174"/>
    <mergeCell ref="D174:F174"/>
    <mergeCell ref="D108:F108"/>
    <mergeCell ref="D123:F123"/>
    <mergeCell ref="B124:C124"/>
    <mergeCell ref="D124:F124"/>
    <mergeCell ref="B125:C125"/>
    <mergeCell ref="D125:F125"/>
    <mergeCell ref="B119:C119"/>
    <mergeCell ref="D119:F119"/>
    <mergeCell ref="B120:C120"/>
    <mergeCell ref="D120:F120"/>
    <mergeCell ref="B121:C121"/>
    <mergeCell ref="D121:F121"/>
    <mergeCell ref="B189:C189"/>
    <mergeCell ref="B191:C191"/>
    <mergeCell ref="D191:F191"/>
    <mergeCell ref="B192:C192"/>
    <mergeCell ref="D192:F192"/>
    <mergeCell ref="B193:C193"/>
    <mergeCell ref="B183:C183"/>
    <mergeCell ref="D183:F183"/>
    <mergeCell ref="H30:O30"/>
    <mergeCell ref="B37:C37"/>
    <mergeCell ref="D37:F37"/>
    <mergeCell ref="B38:C38"/>
    <mergeCell ref="D38:F38"/>
    <mergeCell ref="B116:C116"/>
    <mergeCell ref="D116:F116"/>
    <mergeCell ref="B117:C117"/>
    <mergeCell ref="D117:F117"/>
    <mergeCell ref="B118:C118"/>
    <mergeCell ref="D118:F118"/>
    <mergeCell ref="D70:F70"/>
    <mergeCell ref="B113:C113"/>
    <mergeCell ref="D113:F113"/>
    <mergeCell ref="B114:C114"/>
    <mergeCell ref="D114:F114"/>
    <mergeCell ref="B66:C66"/>
    <mergeCell ref="B42:C42"/>
    <mergeCell ref="D85:F85"/>
    <mergeCell ref="B91:C91"/>
    <mergeCell ref="B84:C84"/>
    <mergeCell ref="B58:C58"/>
    <mergeCell ref="D58:F58"/>
    <mergeCell ref="B59:C59"/>
    <mergeCell ref="D59:F59"/>
    <mergeCell ref="B70:C70"/>
    <mergeCell ref="B79:C79"/>
    <mergeCell ref="D79:F79"/>
    <mergeCell ref="B112:C112"/>
    <mergeCell ref="D112:F112"/>
    <mergeCell ref="B57:C57"/>
    <mergeCell ref="D57:F57"/>
    <mergeCell ref="B249:G249"/>
    <mergeCell ref="B237:D237"/>
    <mergeCell ref="B247:D247"/>
    <mergeCell ref="B248:D248"/>
    <mergeCell ref="B238:D238"/>
    <mergeCell ref="B239:D239"/>
    <mergeCell ref="B240:D240"/>
    <mergeCell ref="B241:D241"/>
    <mergeCell ref="B242:D242"/>
    <mergeCell ref="B243:D243"/>
    <mergeCell ref="B244:D244"/>
    <mergeCell ref="B245:D245"/>
    <mergeCell ref="B246:D246"/>
    <mergeCell ref="B182:C182"/>
    <mergeCell ref="D182:F182"/>
    <mergeCell ref="B199:C199"/>
    <mergeCell ref="D199:F199"/>
    <mergeCell ref="D189:F189"/>
    <mergeCell ref="B190:C190"/>
    <mergeCell ref="D190:F190"/>
    <mergeCell ref="E241:G241"/>
    <mergeCell ref="E242:G242"/>
    <mergeCell ref="E243:G243"/>
    <mergeCell ref="B233:D233"/>
    <mergeCell ref="B234:D234"/>
    <mergeCell ref="B235:D235"/>
    <mergeCell ref="B236:D236"/>
    <mergeCell ref="E238:G238"/>
    <mergeCell ref="D200:F200"/>
    <mergeCell ref="E228:G228"/>
    <mergeCell ref="E232:G232"/>
    <mergeCell ref="E233:G233"/>
    <mergeCell ref="D151:F151"/>
    <mergeCell ref="B122:C122"/>
    <mergeCell ref="D122:F122"/>
    <mergeCell ref="B99:C99"/>
    <mergeCell ref="D99:F99"/>
    <mergeCell ref="B160:C160"/>
    <mergeCell ref="D160:F160"/>
    <mergeCell ref="B106:C106"/>
    <mergeCell ref="D106:F106"/>
    <mergeCell ref="B226:G226"/>
    <mergeCell ref="B224:G224"/>
    <mergeCell ref="C208:G208"/>
    <mergeCell ref="C211:G211"/>
    <mergeCell ref="C214:G214"/>
    <mergeCell ref="C215:G215"/>
    <mergeCell ref="C212:G212"/>
    <mergeCell ref="B177:C177"/>
    <mergeCell ref="D177:F177"/>
    <mergeCell ref="B178:C178"/>
    <mergeCell ref="D178:F178"/>
    <mergeCell ref="B180:C180"/>
    <mergeCell ref="B207:G207"/>
    <mergeCell ref="B123:C123"/>
    <mergeCell ref="D180:F180"/>
    <mergeCell ref="B181:C181"/>
    <mergeCell ref="D181:F181"/>
    <mergeCell ref="B185:C185"/>
    <mergeCell ref="D185:F185"/>
    <mergeCell ref="B205:G205"/>
    <mergeCell ref="B167:C167"/>
    <mergeCell ref="D167:F167"/>
    <mergeCell ref="B168:C168"/>
    <mergeCell ref="E239:G239"/>
    <mergeCell ref="E240:G240"/>
    <mergeCell ref="C209:G209"/>
    <mergeCell ref="C210:G210"/>
    <mergeCell ref="B201:C201"/>
    <mergeCell ref="E234:G234"/>
    <mergeCell ref="E235:G235"/>
    <mergeCell ref="E236:G236"/>
    <mergeCell ref="E237:G237"/>
    <mergeCell ref="E229:G229"/>
    <mergeCell ref="E230:G230"/>
    <mergeCell ref="E231:G231"/>
    <mergeCell ref="C217:G217"/>
    <mergeCell ref="C218:G218"/>
    <mergeCell ref="D202:F202"/>
    <mergeCell ref="B203:C203"/>
    <mergeCell ref="D203:F203"/>
    <mergeCell ref="B204:G204"/>
    <mergeCell ref="C219:G219"/>
    <mergeCell ref="C216:G216"/>
    <mergeCell ref="B228:C228"/>
    <mergeCell ref="C220:G220"/>
    <mergeCell ref="C213:G213"/>
    <mergeCell ref="B223:G223"/>
    <mergeCell ref="D168:F168"/>
    <mergeCell ref="B170:C170"/>
    <mergeCell ref="D170:F170"/>
    <mergeCell ref="B200:C200"/>
    <mergeCell ref="B229:D229"/>
    <mergeCell ref="B230:D230"/>
    <mergeCell ref="B231:D231"/>
    <mergeCell ref="B232:D232"/>
    <mergeCell ref="E244:G244"/>
    <mergeCell ref="E245:G245"/>
    <mergeCell ref="B173:C173"/>
    <mergeCell ref="C275:D275"/>
    <mergeCell ref="B251:G251"/>
    <mergeCell ref="B260:G260"/>
    <mergeCell ref="B256:C256"/>
    <mergeCell ref="B252:D252"/>
    <mergeCell ref="B250:G250"/>
    <mergeCell ref="C263:D263"/>
    <mergeCell ref="C258:D258"/>
    <mergeCell ref="B257:C257"/>
    <mergeCell ref="F252:G254"/>
    <mergeCell ref="B266:G266"/>
    <mergeCell ref="B267:C267"/>
    <mergeCell ref="B268:C268"/>
    <mergeCell ref="C269:D269"/>
    <mergeCell ref="B272:G272"/>
    <mergeCell ref="B273:C273"/>
    <mergeCell ref="B274:C274"/>
    <mergeCell ref="B262:C262"/>
    <mergeCell ref="B186:C186"/>
    <mergeCell ref="D186:F186"/>
    <mergeCell ref="B187:C187"/>
    <mergeCell ref="D142:F142"/>
    <mergeCell ref="B141:C141"/>
    <mergeCell ref="D141:F141"/>
    <mergeCell ref="B145:C145"/>
    <mergeCell ref="D145:F145"/>
    <mergeCell ref="B153:C153"/>
    <mergeCell ref="B261:C261"/>
    <mergeCell ref="B259:G259"/>
    <mergeCell ref="E248:G248"/>
    <mergeCell ref="B202:C202"/>
    <mergeCell ref="D201:F201"/>
    <mergeCell ref="B137:C137"/>
    <mergeCell ref="D137:F137"/>
    <mergeCell ref="B138:C138"/>
    <mergeCell ref="D138:F138"/>
    <mergeCell ref="B147:C147"/>
    <mergeCell ref="D149:F149"/>
    <mergeCell ref="E246:G246"/>
    <mergeCell ref="E247:G247"/>
    <mergeCell ref="B227:G227"/>
    <mergeCell ref="C221:G221"/>
    <mergeCell ref="C222:G222"/>
    <mergeCell ref="D147:F147"/>
    <mergeCell ref="D146:F146"/>
    <mergeCell ref="B154:C154"/>
    <mergeCell ref="D154:F154"/>
    <mergeCell ref="B175:C175"/>
    <mergeCell ref="D175:F175"/>
    <mergeCell ref="B165:C165"/>
    <mergeCell ref="D165:F165"/>
    <mergeCell ref="B166:C166"/>
    <mergeCell ref="D166:F166"/>
    <mergeCell ref="D100:F100"/>
    <mergeCell ref="B101:C101"/>
    <mergeCell ref="D101:F101"/>
    <mergeCell ref="B92:C92"/>
    <mergeCell ref="D92:F92"/>
    <mergeCell ref="B93:C93"/>
    <mergeCell ref="D93:F93"/>
    <mergeCell ref="B94:C94"/>
    <mergeCell ref="D94:F94"/>
    <mergeCell ref="B86:C86"/>
    <mergeCell ref="D86:F86"/>
    <mergeCell ref="D75:F75"/>
    <mergeCell ref="D91:F91"/>
    <mergeCell ref="B95:C95"/>
    <mergeCell ref="D95:F95"/>
    <mergeCell ref="B96:C96"/>
    <mergeCell ref="D115:F115"/>
    <mergeCell ref="B108:C108"/>
    <mergeCell ref="D111:F111"/>
    <mergeCell ref="B110:C110"/>
    <mergeCell ref="D110:F110"/>
    <mergeCell ref="B111:C111"/>
    <mergeCell ref="B72:C72"/>
    <mergeCell ref="D72:F72"/>
    <mergeCell ref="D84:F84"/>
    <mergeCell ref="B85:C85"/>
    <mergeCell ref="B82:C82"/>
    <mergeCell ref="D82:F82"/>
    <mergeCell ref="D96:F96"/>
    <mergeCell ref="B97:C97"/>
    <mergeCell ref="D97:F97"/>
    <mergeCell ref="B98:C98"/>
    <mergeCell ref="D98:F98"/>
    <mergeCell ref="B100:C100"/>
    <mergeCell ref="D90:F90"/>
    <mergeCell ref="B88:C88"/>
    <mergeCell ref="D88:F88"/>
    <mergeCell ref="B87:C87"/>
    <mergeCell ref="B76:C76"/>
    <mergeCell ref="D76:F76"/>
    <mergeCell ref="B83:C83"/>
    <mergeCell ref="D83:F83"/>
    <mergeCell ref="D77:F77"/>
    <mergeCell ref="B80:C80"/>
    <mergeCell ref="D80:F80"/>
    <mergeCell ref="D87:F87"/>
    <mergeCell ref="B73:C73"/>
    <mergeCell ref="D73:F73"/>
    <mergeCell ref="B74:C74"/>
    <mergeCell ref="D74:F74"/>
    <mergeCell ref="B77:C77"/>
    <mergeCell ref="B75:C75"/>
    <mergeCell ref="B81:C81"/>
    <mergeCell ref="D81:F81"/>
    <mergeCell ref="D69:F69"/>
    <mergeCell ref="D54:F54"/>
    <mergeCell ref="D66:F66"/>
    <mergeCell ref="B65:C65"/>
    <mergeCell ref="D65:F65"/>
    <mergeCell ref="B60:C60"/>
    <mergeCell ref="D60:F60"/>
    <mergeCell ref="B53:C53"/>
    <mergeCell ref="D53:F53"/>
    <mergeCell ref="B49:C49"/>
    <mergeCell ref="B44:C44"/>
    <mergeCell ref="D50:F50"/>
    <mergeCell ref="B62:C62"/>
    <mergeCell ref="D52:F52"/>
    <mergeCell ref="B52:C52"/>
    <mergeCell ref="D67:F67"/>
    <mergeCell ref="B68:C68"/>
    <mergeCell ref="D68:F68"/>
    <mergeCell ref="D63:F63"/>
    <mergeCell ref="D64:F64"/>
    <mergeCell ref="D61:F61"/>
    <mergeCell ref="B50:C50"/>
    <mergeCell ref="B51:C51"/>
    <mergeCell ref="B69:C69"/>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C13:G13"/>
    <mergeCell ref="B9:G9"/>
    <mergeCell ref="B29:G29"/>
    <mergeCell ref="B30:G30"/>
    <mergeCell ref="D33:F33"/>
    <mergeCell ref="B34:C34"/>
    <mergeCell ref="H32:K32"/>
    <mergeCell ref="B43:C43"/>
    <mergeCell ref="B35:C35"/>
    <mergeCell ref="D35:F35"/>
    <mergeCell ref="B36:C36"/>
    <mergeCell ref="B40:C40"/>
    <mergeCell ref="D40:F40"/>
    <mergeCell ref="B41:C41"/>
    <mergeCell ref="D41:F41"/>
    <mergeCell ref="H44:K64"/>
    <mergeCell ref="D48:F48"/>
    <mergeCell ref="D49:F49"/>
    <mergeCell ref="D36:F36"/>
    <mergeCell ref="B32:C32"/>
    <mergeCell ref="D32:F32"/>
    <mergeCell ref="D51:F51"/>
    <mergeCell ref="B63:C63"/>
    <mergeCell ref="D43:F43"/>
    <mergeCell ref="B33:C33"/>
    <mergeCell ref="D44:F44"/>
    <mergeCell ref="D45:F45"/>
    <mergeCell ref="D39:F39"/>
    <mergeCell ref="B48:C48"/>
    <mergeCell ref="D34:F34"/>
    <mergeCell ref="D55:F55"/>
    <mergeCell ref="D42:F42"/>
    <mergeCell ref="B71:C71"/>
    <mergeCell ref="D71:F71"/>
    <mergeCell ref="B78:C78"/>
    <mergeCell ref="D78:F78"/>
    <mergeCell ref="D62:F62"/>
    <mergeCell ref="B67:C67"/>
    <mergeCell ref="B45:C45"/>
    <mergeCell ref="B55:C55"/>
    <mergeCell ref="B39:C39"/>
    <mergeCell ref="B2:G2"/>
    <mergeCell ref="A225:F225"/>
    <mergeCell ref="G225:L225"/>
    <mergeCell ref="M225:R225"/>
    <mergeCell ref="S225:X225"/>
    <mergeCell ref="Y225:AD225"/>
    <mergeCell ref="AE225:AJ225"/>
    <mergeCell ref="AK225:AP225"/>
    <mergeCell ref="C16:G16"/>
    <mergeCell ref="C17:G17"/>
    <mergeCell ref="B8:G8"/>
    <mergeCell ref="C21:G21"/>
    <mergeCell ref="C22:G22"/>
    <mergeCell ref="B5:G5"/>
    <mergeCell ref="B56:C56"/>
    <mergeCell ref="D56:F56"/>
    <mergeCell ref="D46:F46"/>
    <mergeCell ref="D47:F47"/>
    <mergeCell ref="B64:C64"/>
    <mergeCell ref="B54:C54"/>
    <mergeCell ref="B61:C61"/>
    <mergeCell ref="B46:C46"/>
    <mergeCell ref="B47:C47"/>
    <mergeCell ref="LG225:LL225"/>
    <mergeCell ref="B184:C184"/>
    <mergeCell ref="D184:F184"/>
    <mergeCell ref="B196:C196"/>
    <mergeCell ref="D196:F196"/>
    <mergeCell ref="B197:C197"/>
    <mergeCell ref="D197:F197"/>
    <mergeCell ref="H31:K31"/>
    <mergeCell ref="L31:O31"/>
    <mergeCell ref="H29:O29"/>
    <mergeCell ref="B105:C105"/>
    <mergeCell ref="D105:F105"/>
    <mergeCell ref="B107:C107"/>
    <mergeCell ref="D107:F107"/>
    <mergeCell ref="DQ225:DV225"/>
    <mergeCell ref="DW225:EB225"/>
    <mergeCell ref="EC225:EH225"/>
    <mergeCell ref="EI225:EN225"/>
    <mergeCell ref="EO225:ET225"/>
    <mergeCell ref="EU225:EZ225"/>
    <mergeCell ref="AW225:BB225"/>
    <mergeCell ref="BC225:BH225"/>
    <mergeCell ref="BI225:BN225"/>
    <mergeCell ref="BO225:BT225"/>
    <mergeCell ref="BU225:BZ225"/>
    <mergeCell ref="CA225:CF225"/>
    <mergeCell ref="CG225:CL225"/>
    <mergeCell ref="CM225:CR225"/>
    <mergeCell ref="CS225:CX225"/>
    <mergeCell ref="D148:F148"/>
    <mergeCell ref="B149:C149"/>
    <mergeCell ref="AQ225:AV225"/>
    <mergeCell ref="D187:F187"/>
    <mergeCell ref="B188:C188"/>
    <mergeCell ref="D188:F188"/>
    <mergeCell ref="B169:C169"/>
    <mergeCell ref="FA225:FF225"/>
    <mergeCell ref="FG225:FL225"/>
    <mergeCell ref="FM225:FR225"/>
    <mergeCell ref="FS225:FX225"/>
    <mergeCell ref="FY225:GD225"/>
    <mergeCell ref="GE225:GJ225"/>
    <mergeCell ref="GK225:GP225"/>
    <mergeCell ref="GQ225:GV225"/>
    <mergeCell ref="GW225:HB225"/>
    <mergeCell ref="B198:C198"/>
    <mergeCell ref="D198:F198"/>
    <mergeCell ref="D193:F193"/>
    <mergeCell ref="B194:C194"/>
    <mergeCell ref="D194:F194"/>
    <mergeCell ref="B195:C195"/>
    <mergeCell ref="D195:F195"/>
    <mergeCell ref="B171:C171"/>
    <mergeCell ref="D171:F171"/>
    <mergeCell ref="B172:C172"/>
    <mergeCell ref="D172:F172"/>
    <mergeCell ref="D179:F179"/>
    <mergeCell ref="B206:G206"/>
    <mergeCell ref="D169:F169"/>
    <mergeCell ref="B176:C176"/>
    <mergeCell ref="D176:F176"/>
    <mergeCell ref="B158:C158"/>
    <mergeCell ref="D158:F158"/>
    <mergeCell ref="B142:C142"/>
    <mergeCell ref="IY225:JD225"/>
    <mergeCell ref="LM225:LR225"/>
    <mergeCell ref="LS225:LX225"/>
    <mergeCell ref="B89:C89"/>
    <mergeCell ref="B126:C126"/>
    <mergeCell ref="D126:F126"/>
    <mergeCell ref="B130:C130"/>
    <mergeCell ref="D130:F130"/>
    <mergeCell ref="B102:C102"/>
    <mergeCell ref="D102:F102"/>
    <mergeCell ref="B103:C103"/>
    <mergeCell ref="D103:F103"/>
    <mergeCell ref="B90:C90"/>
    <mergeCell ref="D89:F89"/>
    <mergeCell ref="B150:C150"/>
    <mergeCell ref="D150:F150"/>
    <mergeCell ref="B146:C146"/>
    <mergeCell ref="B179:C179"/>
    <mergeCell ref="B104:C104"/>
    <mergeCell ref="D104:F104"/>
    <mergeCell ref="CY225:DD225"/>
    <mergeCell ref="DE225:DJ225"/>
    <mergeCell ref="DK225:DP225"/>
    <mergeCell ref="D153:F153"/>
    <mergeCell ref="B157:C157"/>
    <mergeCell ref="D157:F157"/>
    <mergeCell ref="B128:C128"/>
    <mergeCell ref="D128:F128"/>
    <mergeCell ref="D156:F156"/>
    <mergeCell ref="NI225:NN225"/>
    <mergeCell ref="NO225:NT225"/>
    <mergeCell ref="NU225:NZ225"/>
    <mergeCell ref="OA225:OF225"/>
    <mergeCell ref="OG225:OL225"/>
    <mergeCell ref="OM225:OR225"/>
    <mergeCell ref="OS225:OX225"/>
    <mergeCell ref="OY225:PD225"/>
    <mergeCell ref="PE225:PJ225"/>
    <mergeCell ref="LY225:MD225"/>
    <mergeCell ref="ME225:MJ225"/>
    <mergeCell ref="HC225:HH225"/>
    <mergeCell ref="HI225:HN225"/>
    <mergeCell ref="HO225:HT225"/>
    <mergeCell ref="HU225:HZ225"/>
    <mergeCell ref="IA225:IF225"/>
    <mergeCell ref="IG225:IL225"/>
    <mergeCell ref="MK225:MP225"/>
    <mergeCell ref="MQ225:MV225"/>
    <mergeCell ref="MW225:NB225"/>
    <mergeCell ref="NC225:NH225"/>
    <mergeCell ref="JE225:JJ225"/>
    <mergeCell ref="JK225:JP225"/>
    <mergeCell ref="JQ225:JV225"/>
    <mergeCell ref="JW225:KB225"/>
    <mergeCell ref="KC225:KH225"/>
    <mergeCell ref="KI225:KN225"/>
    <mergeCell ref="KO225:KT225"/>
    <mergeCell ref="KU225:KZ225"/>
    <mergeCell ref="LA225:LF225"/>
    <mergeCell ref="IM225:IR225"/>
    <mergeCell ref="IS225:IX225"/>
    <mergeCell ref="RM225:RR225"/>
    <mergeCell ref="RS225:RX225"/>
    <mergeCell ref="RY225:SD225"/>
    <mergeCell ref="SE225:SJ225"/>
    <mergeCell ref="SK225:SP225"/>
    <mergeCell ref="SQ225:SV225"/>
    <mergeCell ref="SW225:TB225"/>
    <mergeCell ref="TC225:TH225"/>
    <mergeCell ref="TI225:TN225"/>
    <mergeCell ref="PK225:PP225"/>
    <mergeCell ref="PQ225:PV225"/>
    <mergeCell ref="PW225:QB225"/>
    <mergeCell ref="QC225:QH225"/>
    <mergeCell ref="QI225:QN225"/>
    <mergeCell ref="QO225:QT225"/>
    <mergeCell ref="QU225:QZ225"/>
    <mergeCell ref="RA225:RF225"/>
    <mergeCell ref="RG225:RL225"/>
    <mergeCell ref="VQ225:VV225"/>
    <mergeCell ref="VW225:WB225"/>
    <mergeCell ref="WC225:WH225"/>
    <mergeCell ref="WI225:WN225"/>
    <mergeCell ref="WO225:WT225"/>
    <mergeCell ref="WU225:WZ225"/>
    <mergeCell ref="XA225:XF225"/>
    <mergeCell ref="XG225:XL225"/>
    <mergeCell ref="XM225:XR225"/>
    <mergeCell ref="TO225:TT225"/>
    <mergeCell ref="TU225:TZ225"/>
    <mergeCell ref="UA225:UF225"/>
    <mergeCell ref="UG225:UL225"/>
    <mergeCell ref="UM225:UR225"/>
    <mergeCell ref="US225:UX225"/>
    <mergeCell ref="UY225:VD225"/>
    <mergeCell ref="VE225:VJ225"/>
    <mergeCell ref="VK225:VP225"/>
    <mergeCell ref="ZU225:ZZ225"/>
    <mergeCell ref="AAA225:AAF225"/>
    <mergeCell ref="AAG225:AAL225"/>
    <mergeCell ref="AAM225:AAR225"/>
    <mergeCell ref="AAS225:AAX225"/>
    <mergeCell ref="AAY225:ABD225"/>
    <mergeCell ref="ABE225:ABJ225"/>
    <mergeCell ref="ABK225:ABP225"/>
    <mergeCell ref="ABQ225:ABV225"/>
    <mergeCell ref="XS225:XX225"/>
    <mergeCell ref="XY225:YD225"/>
    <mergeCell ref="YE225:YJ225"/>
    <mergeCell ref="YK225:YP225"/>
    <mergeCell ref="YQ225:YV225"/>
    <mergeCell ref="YW225:ZB225"/>
    <mergeCell ref="ZC225:ZH225"/>
    <mergeCell ref="ZI225:ZN225"/>
    <mergeCell ref="ZO225:ZT225"/>
    <mergeCell ref="ADY225:AED225"/>
    <mergeCell ref="AEE225:AEJ225"/>
    <mergeCell ref="AEK225:AEP225"/>
    <mergeCell ref="AEQ225:AEV225"/>
    <mergeCell ref="AEW225:AFB225"/>
    <mergeCell ref="AFC225:AFH225"/>
    <mergeCell ref="AFI225:AFN225"/>
    <mergeCell ref="AFO225:AFT225"/>
    <mergeCell ref="AFU225:AFZ225"/>
    <mergeCell ref="ABW225:ACB225"/>
    <mergeCell ref="ACC225:ACH225"/>
    <mergeCell ref="ACI225:ACN225"/>
    <mergeCell ref="ACO225:ACT225"/>
    <mergeCell ref="ACU225:ACZ225"/>
    <mergeCell ref="ADA225:ADF225"/>
    <mergeCell ref="ADG225:ADL225"/>
    <mergeCell ref="ADM225:ADR225"/>
    <mergeCell ref="ADS225:ADX225"/>
    <mergeCell ref="AIC225:AIH225"/>
    <mergeCell ref="AII225:AIN225"/>
    <mergeCell ref="AIO225:AIT225"/>
    <mergeCell ref="AIU225:AIZ225"/>
    <mergeCell ref="AJA225:AJF225"/>
    <mergeCell ref="AJG225:AJL225"/>
    <mergeCell ref="AJM225:AJR225"/>
    <mergeCell ref="AJS225:AJX225"/>
    <mergeCell ref="AJY225:AKD225"/>
    <mergeCell ref="AGA225:AGF225"/>
    <mergeCell ref="AGG225:AGL225"/>
    <mergeCell ref="AGM225:AGR225"/>
    <mergeCell ref="AGS225:AGX225"/>
    <mergeCell ref="AGY225:AHD225"/>
    <mergeCell ref="AHE225:AHJ225"/>
    <mergeCell ref="AHK225:AHP225"/>
    <mergeCell ref="AHQ225:AHV225"/>
    <mergeCell ref="AHW225:AIB225"/>
    <mergeCell ref="AMG225:AML225"/>
    <mergeCell ref="AMM225:AMR225"/>
    <mergeCell ref="AMS225:AMX225"/>
    <mergeCell ref="AMY225:AND225"/>
    <mergeCell ref="ANE225:ANJ225"/>
    <mergeCell ref="ANK225:ANP225"/>
    <mergeCell ref="ANQ225:ANV225"/>
    <mergeCell ref="ANW225:AOB225"/>
    <mergeCell ref="AOC225:AOH225"/>
    <mergeCell ref="AKE225:AKJ225"/>
    <mergeCell ref="AKK225:AKP225"/>
    <mergeCell ref="AKQ225:AKV225"/>
    <mergeCell ref="AKW225:ALB225"/>
    <mergeCell ref="ALC225:ALH225"/>
    <mergeCell ref="ALI225:ALN225"/>
    <mergeCell ref="ALO225:ALT225"/>
    <mergeCell ref="ALU225:ALZ225"/>
    <mergeCell ref="AMA225:AMF225"/>
    <mergeCell ref="AQK225:AQP225"/>
    <mergeCell ref="AQQ225:AQV225"/>
    <mergeCell ref="AQW225:ARB225"/>
    <mergeCell ref="ARC225:ARH225"/>
    <mergeCell ref="ARI225:ARN225"/>
    <mergeCell ref="ARO225:ART225"/>
    <mergeCell ref="ARU225:ARZ225"/>
    <mergeCell ref="ASA225:ASF225"/>
    <mergeCell ref="ASG225:ASL225"/>
    <mergeCell ref="AOI225:AON225"/>
    <mergeCell ref="AOO225:AOT225"/>
    <mergeCell ref="AOU225:AOZ225"/>
    <mergeCell ref="APA225:APF225"/>
    <mergeCell ref="APG225:APL225"/>
    <mergeCell ref="APM225:APR225"/>
    <mergeCell ref="APS225:APX225"/>
    <mergeCell ref="APY225:AQD225"/>
    <mergeCell ref="AQE225:AQJ225"/>
    <mergeCell ref="AUO225:AUT225"/>
    <mergeCell ref="AUU225:AUZ225"/>
    <mergeCell ref="AVA225:AVF225"/>
    <mergeCell ref="AVG225:AVL225"/>
    <mergeCell ref="AVM225:AVR225"/>
    <mergeCell ref="AVS225:AVX225"/>
    <mergeCell ref="AVY225:AWD225"/>
    <mergeCell ref="AWE225:AWJ225"/>
    <mergeCell ref="AWK225:AWP225"/>
    <mergeCell ref="ASM225:ASR225"/>
    <mergeCell ref="ASS225:ASX225"/>
    <mergeCell ref="ASY225:ATD225"/>
    <mergeCell ref="ATE225:ATJ225"/>
    <mergeCell ref="ATK225:ATP225"/>
    <mergeCell ref="ATQ225:ATV225"/>
    <mergeCell ref="ATW225:AUB225"/>
    <mergeCell ref="AUC225:AUH225"/>
    <mergeCell ref="AUI225:AUN225"/>
    <mergeCell ref="AYS225:AYX225"/>
    <mergeCell ref="AYY225:AZD225"/>
    <mergeCell ref="AZE225:AZJ225"/>
    <mergeCell ref="AZK225:AZP225"/>
    <mergeCell ref="AZQ225:AZV225"/>
    <mergeCell ref="AZW225:BAB225"/>
    <mergeCell ref="BAC225:BAH225"/>
    <mergeCell ref="BAI225:BAN225"/>
    <mergeCell ref="BAO225:BAT225"/>
    <mergeCell ref="AWQ225:AWV225"/>
    <mergeCell ref="AWW225:AXB225"/>
    <mergeCell ref="AXC225:AXH225"/>
    <mergeCell ref="AXI225:AXN225"/>
    <mergeCell ref="AXO225:AXT225"/>
    <mergeCell ref="AXU225:AXZ225"/>
    <mergeCell ref="AYA225:AYF225"/>
    <mergeCell ref="AYG225:AYL225"/>
    <mergeCell ref="AYM225:AYR225"/>
    <mergeCell ref="BCW225:BDB225"/>
    <mergeCell ref="BDC225:BDH225"/>
    <mergeCell ref="BDI225:BDN225"/>
    <mergeCell ref="BDO225:BDT225"/>
    <mergeCell ref="BDU225:BDZ225"/>
    <mergeCell ref="BEA225:BEF225"/>
    <mergeCell ref="BEG225:BEL225"/>
    <mergeCell ref="BEM225:BER225"/>
    <mergeCell ref="BES225:BEX225"/>
    <mergeCell ref="BAU225:BAZ225"/>
    <mergeCell ref="BBA225:BBF225"/>
    <mergeCell ref="BBG225:BBL225"/>
    <mergeCell ref="BBM225:BBR225"/>
    <mergeCell ref="BBS225:BBX225"/>
    <mergeCell ref="BBY225:BCD225"/>
    <mergeCell ref="BCE225:BCJ225"/>
    <mergeCell ref="BCK225:BCP225"/>
    <mergeCell ref="BCQ225:BCV225"/>
    <mergeCell ref="BHA225:BHF225"/>
    <mergeCell ref="BHG225:BHL225"/>
    <mergeCell ref="BHM225:BHR225"/>
    <mergeCell ref="BHS225:BHX225"/>
    <mergeCell ref="BHY225:BID225"/>
    <mergeCell ref="BIE225:BIJ225"/>
    <mergeCell ref="BIK225:BIP225"/>
    <mergeCell ref="BIQ225:BIV225"/>
    <mergeCell ref="BIW225:BJB225"/>
    <mergeCell ref="BEY225:BFD225"/>
    <mergeCell ref="BFE225:BFJ225"/>
    <mergeCell ref="BFK225:BFP225"/>
    <mergeCell ref="BFQ225:BFV225"/>
    <mergeCell ref="BFW225:BGB225"/>
    <mergeCell ref="BGC225:BGH225"/>
    <mergeCell ref="BGI225:BGN225"/>
    <mergeCell ref="BGO225:BGT225"/>
    <mergeCell ref="BGU225:BGZ225"/>
    <mergeCell ref="BLE225:BLJ225"/>
    <mergeCell ref="BLK225:BLP225"/>
    <mergeCell ref="BLQ225:BLV225"/>
    <mergeCell ref="BLW225:BMB225"/>
    <mergeCell ref="BMC225:BMH225"/>
    <mergeCell ref="BMI225:BMN225"/>
    <mergeCell ref="BMO225:BMT225"/>
    <mergeCell ref="BMU225:BMZ225"/>
    <mergeCell ref="BNA225:BNF225"/>
    <mergeCell ref="BJC225:BJH225"/>
    <mergeCell ref="BJI225:BJN225"/>
    <mergeCell ref="BJO225:BJT225"/>
    <mergeCell ref="BJU225:BJZ225"/>
    <mergeCell ref="BKA225:BKF225"/>
    <mergeCell ref="BKG225:BKL225"/>
    <mergeCell ref="BKM225:BKR225"/>
    <mergeCell ref="BKS225:BKX225"/>
    <mergeCell ref="BKY225:BLD225"/>
    <mergeCell ref="BPI225:BPN225"/>
    <mergeCell ref="BPO225:BPT225"/>
    <mergeCell ref="BPU225:BPZ225"/>
    <mergeCell ref="BQA225:BQF225"/>
    <mergeCell ref="BQG225:BQL225"/>
    <mergeCell ref="BQM225:BQR225"/>
    <mergeCell ref="BQS225:BQX225"/>
    <mergeCell ref="BQY225:BRD225"/>
    <mergeCell ref="BRE225:BRJ225"/>
    <mergeCell ref="BNG225:BNL225"/>
    <mergeCell ref="BNM225:BNR225"/>
    <mergeCell ref="BNS225:BNX225"/>
    <mergeCell ref="BNY225:BOD225"/>
    <mergeCell ref="BOE225:BOJ225"/>
    <mergeCell ref="BOK225:BOP225"/>
    <mergeCell ref="BOQ225:BOV225"/>
    <mergeCell ref="BOW225:BPB225"/>
    <mergeCell ref="BPC225:BPH225"/>
    <mergeCell ref="BTM225:BTR225"/>
    <mergeCell ref="BTS225:BTX225"/>
    <mergeCell ref="BTY225:BUD225"/>
    <mergeCell ref="BUE225:BUJ225"/>
    <mergeCell ref="BUK225:BUP225"/>
    <mergeCell ref="BUQ225:BUV225"/>
    <mergeCell ref="BUW225:BVB225"/>
    <mergeCell ref="BVC225:BVH225"/>
    <mergeCell ref="BVI225:BVN225"/>
    <mergeCell ref="BRK225:BRP225"/>
    <mergeCell ref="BRQ225:BRV225"/>
    <mergeCell ref="BRW225:BSB225"/>
    <mergeCell ref="BSC225:BSH225"/>
    <mergeCell ref="BSI225:BSN225"/>
    <mergeCell ref="BSO225:BST225"/>
    <mergeCell ref="BSU225:BSZ225"/>
    <mergeCell ref="BTA225:BTF225"/>
    <mergeCell ref="BTG225:BTL225"/>
    <mergeCell ref="BXQ225:BXV225"/>
    <mergeCell ref="BXW225:BYB225"/>
    <mergeCell ref="BYC225:BYH225"/>
    <mergeCell ref="BYI225:BYN225"/>
    <mergeCell ref="BYO225:BYT225"/>
    <mergeCell ref="BYU225:BYZ225"/>
    <mergeCell ref="BZA225:BZF225"/>
    <mergeCell ref="BZG225:BZL225"/>
    <mergeCell ref="BZM225:BZR225"/>
    <mergeCell ref="BVO225:BVT225"/>
    <mergeCell ref="BVU225:BVZ225"/>
    <mergeCell ref="BWA225:BWF225"/>
    <mergeCell ref="BWG225:BWL225"/>
    <mergeCell ref="BWM225:BWR225"/>
    <mergeCell ref="BWS225:BWX225"/>
    <mergeCell ref="BWY225:BXD225"/>
    <mergeCell ref="BXE225:BXJ225"/>
    <mergeCell ref="BXK225:BXP225"/>
    <mergeCell ref="CBU225:CBZ225"/>
    <mergeCell ref="CCA225:CCF225"/>
    <mergeCell ref="CCG225:CCL225"/>
    <mergeCell ref="CCM225:CCR225"/>
    <mergeCell ref="CCS225:CCX225"/>
    <mergeCell ref="CCY225:CDD225"/>
    <mergeCell ref="CDE225:CDJ225"/>
    <mergeCell ref="CDK225:CDP225"/>
    <mergeCell ref="CDQ225:CDV225"/>
    <mergeCell ref="BZS225:BZX225"/>
    <mergeCell ref="BZY225:CAD225"/>
    <mergeCell ref="CAE225:CAJ225"/>
    <mergeCell ref="CAK225:CAP225"/>
    <mergeCell ref="CAQ225:CAV225"/>
    <mergeCell ref="CAW225:CBB225"/>
    <mergeCell ref="CBC225:CBH225"/>
    <mergeCell ref="CBI225:CBN225"/>
    <mergeCell ref="CBO225:CBT225"/>
    <mergeCell ref="CFY225:CGD225"/>
    <mergeCell ref="CGE225:CGJ225"/>
    <mergeCell ref="CGK225:CGP225"/>
    <mergeCell ref="CGQ225:CGV225"/>
    <mergeCell ref="CGW225:CHB225"/>
    <mergeCell ref="CHC225:CHH225"/>
    <mergeCell ref="CHI225:CHN225"/>
    <mergeCell ref="CHO225:CHT225"/>
    <mergeCell ref="CHU225:CHZ225"/>
    <mergeCell ref="CDW225:CEB225"/>
    <mergeCell ref="CEC225:CEH225"/>
    <mergeCell ref="CEI225:CEN225"/>
    <mergeCell ref="CEO225:CET225"/>
    <mergeCell ref="CEU225:CEZ225"/>
    <mergeCell ref="CFA225:CFF225"/>
    <mergeCell ref="CFG225:CFL225"/>
    <mergeCell ref="CFM225:CFR225"/>
    <mergeCell ref="CFS225:CFX225"/>
    <mergeCell ref="CKC225:CKH225"/>
    <mergeCell ref="CKI225:CKN225"/>
    <mergeCell ref="CKO225:CKT225"/>
    <mergeCell ref="CKU225:CKZ225"/>
    <mergeCell ref="CLA225:CLF225"/>
    <mergeCell ref="CLG225:CLL225"/>
    <mergeCell ref="CLM225:CLR225"/>
    <mergeCell ref="CLS225:CLX225"/>
    <mergeCell ref="CLY225:CMD225"/>
    <mergeCell ref="CIA225:CIF225"/>
    <mergeCell ref="CIG225:CIL225"/>
    <mergeCell ref="CIM225:CIR225"/>
    <mergeCell ref="CIS225:CIX225"/>
    <mergeCell ref="CIY225:CJD225"/>
    <mergeCell ref="CJE225:CJJ225"/>
    <mergeCell ref="CJK225:CJP225"/>
    <mergeCell ref="CJQ225:CJV225"/>
    <mergeCell ref="CJW225:CKB225"/>
    <mergeCell ref="COG225:COL225"/>
    <mergeCell ref="COM225:COR225"/>
    <mergeCell ref="COS225:COX225"/>
    <mergeCell ref="COY225:CPD225"/>
    <mergeCell ref="CPE225:CPJ225"/>
    <mergeCell ref="CPK225:CPP225"/>
    <mergeCell ref="CPQ225:CPV225"/>
    <mergeCell ref="CPW225:CQB225"/>
    <mergeCell ref="CQC225:CQH225"/>
    <mergeCell ref="CME225:CMJ225"/>
    <mergeCell ref="CMK225:CMP225"/>
    <mergeCell ref="CMQ225:CMV225"/>
    <mergeCell ref="CMW225:CNB225"/>
    <mergeCell ref="CNC225:CNH225"/>
    <mergeCell ref="CNI225:CNN225"/>
    <mergeCell ref="CNO225:CNT225"/>
    <mergeCell ref="CNU225:CNZ225"/>
    <mergeCell ref="COA225:COF225"/>
    <mergeCell ref="CSK225:CSP225"/>
    <mergeCell ref="CSQ225:CSV225"/>
    <mergeCell ref="CSW225:CTB225"/>
    <mergeCell ref="CTC225:CTH225"/>
    <mergeCell ref="CTI225:CTN225"/>
    <mergeCell ref="CTO225:CTT225"/>
    <mergeCell ref="CTU225:CTZ225"/>
    <mergeCell ref="CUA225:CUF225"/>
    <mergeCell ref="CUG225:CUL225"/>
    <mergeCell ref="CQI225:CQN225"/>
    <mergeCell ref="CQO225:CQT225"/>
    <mergeCell ref="CQU225:CQZ225"/>
    <mergeCell ref="CRA225:CRF225"/>
    <mergeCell ref="CRG225:CRL225"/>
    <mergeCell ref="CRM225:CRR225"/>
    <mergeCell ref="CRS225:CRX225"/>
    <mergeCell ref="CRY225:CSD225"/>
    <mergeCell ref="CSE225:CSJ225"/>
    <mergeCell ref="CWO225:CWT225"/>
    <mergeCell ref="CWU225:CWZ225"/>
    <mergeCell ref="CXA225:CXF225"/>
    <mergeCell ref="CXG225:CXL225"/>
    <mergeCell ref="CXM225:CXR225"/>
    <mergeCell ref="CXS225:CXX225"/>
    <mergeCell ref="CXY225:CYD225"/>
    <mergeCell ref="CYE225:CYJ225"/>
    <mergeCell ref="CYK225:CYP225"/>
    <mergeCell ref="CUM225:CUR225"/>
    <mergeCell ref="CUS225:CUX225"/>
    <mergeCell ref="CUY225:CVD225"/>
    <mergeCell ref="CVE225:CVJ225"/>
    <mergeCell ref="CVK225:CVP225"/>
    <mergeCell ref="CVQ225:CVV225"/>
    <mergeCell ref="CVW225:CWB225"/>
    <mergeCell ref="CWC225:CWH225"/>
    <mergeCell ref="CWI225:CWN225"/>
    <mergeCell ref="DAS225:DAX225"/>
    <mergeCell ref="DAY225:DBD225"/>
    <mergeCell ref="DBE225:DBJ225"/>
    <mergeCell ref="DBK225:DBP225"/>
    <mergeCell ref="DBQ225:DBV225"/>
    <mergeCell ref="DBW225:DCB225"/>
    <mergeCell ref="DCC225:DCH225"/>
    <mergeCell ref="DCI225:DCN225"/>
    <mergeCell ref="DCO225:DCT225"/>
    <mergeCell ref="CYQ225:CYV225"/>
    <mergeCell ref="CYW225:CZB225"/>
    <mergeCell ref="CZC225:CZH225"/>
    <mergeCell ref="CZI225:CZN225"/>
    <mergeCell ref="CZO225:CZT225"/>
    <mergeCell ref="CZU225:CZZ225"/>
    <mergeCell ref="DAA225:DAF225"/>
    <mergeCell ref="DAG225:DAL225"/>
    <mergeCell ref="DAM225:DAR225"/>
    <mergeCell ref="DEW225:DFB225"/>
    <mergeCell ref="DFC225:DFH225"/>
    <mergeCell ref="DFI225:DFN225"/>
    <mergeCell ref="DFO225:DFT225"/>
    <mergeCell ref="DFU225:DFZ225"/>
    <mergeCell ref="DGA225:DGF225"/>
    <mergeCell ref="DGG225:DGL225"/>
    <mergeCell ref="DGM225:DGR225"/>
    <mergeCell ref="DGS225:DGX225"/>
    <mergeCell ref="DCU225:DCZ225"/>
    <mergeCell ref="DDA225:DDF225"/>
    <mergeCell ref="DDG225:DDL225"/>
    <mergeCell ref="DDM225:DDR225"/>
    <mergeCell ref="DDS225:DDX225"/>
    <mergeCell ref="DDY225:DED225"/>
    <mergeCell ref="DEE225:DEJ225"/>
    <mergeCell ref="DEK225:DEP225"/>
    <mergeCell ref="DEQ225:DEV225"/>
    <mergeCell ref="DJA225:DJF225"/>
    <mergeCell ref="DJG225:DJL225"/>
    <mergeCell ref="DJM225:DJR225"/>
    <mergeCell ref="DJS225:DJX225"/>
    <mergeCell ref="DJY225:DKD225"/>
    <mergeCell ref="DKE225:DKJ225"/>
    <mergeCell ref="DKK225:DKP225"/>
    <mergeCell ref="DKQ225:DKV225"/>
    <mergeCell ref="DKW225:DLB225"/>
    <mergeCell ref="DGY225:DHD225"/>
    <mergeCell ref="DHE225:DHJ225"/>
    <mergeCell ref="DHK225:DHP225"/>
    <mergeCell ref="DHQ225:DHV225"/>
    <mergeCell ref="DHW225:DIB225"/>
    <mergeCell ref="DIC225:DIH225"/>
    <mergeCell ref="DII225:DIN225"/>
    <mergeCell ref="DIO225:DIT225"/>
    <mergeCell ref="DIU225:DIZ225"/>
    <mergeCell ref="DNE225:DNJ225"/>
    <mergeCell ref="DNK225:DNP225"/>
    <mergeCell ref="DNQ225:DNV225"/>
    <mergeCell ref="DNW225:DOB225"/>
    <mergeCell ref="DOC225:DOH225"/>
    <mergeCell ref="DOI225:DON225"/>
    <mergeCell ref="DOO225:DOT225"/>
    <mergeCell ref="DOU225:DOZ225"/>
    <mergeCell ref="DPA225:DPF225"/>
    <mergeCell ref="DLC225:DLH225"/>
    <mergeCell ref="DLI225:DLN225"/>
    <mergeCell ref="DLO225:DLT225"/>
    <mergeCell ref="DLU225:DLZ225"/>
    <mergeCell ref="DMA225:DMF225"/>
    <mergeCell ref="DMG225:DML225"/>
    <mergeCell ref="DMM225:DMR225"/>
    <mergeCell ref="DMS225:DMX225"/>
    <mergeCell ref="DMY225:DND225"/>
    <mergeCell ref="DRI225:DRN225"/>
    <mergeCell ref="DRO225:DRT225"/>
    <mergeCell ref="DRU225:DRZ225"/>
    <mergeCell ref="DSA225:DSF225"/>
    <mergeCell ref="DSG225:DSL225"/>
    <mergeCell ref="DSM225:DSR225"/>
    <mergeCell ref="DSS225:DSX225"/>
    <mergeCell ref="DSY225:DTD225"/>
    <mergeCell ref="DTE225:DTJ225"/>
    <mergeCell ref="DPG225:DPL225"/>
    <mergeCell ref="DPM225:DPR225"/>
    <mergeCell ref="DPS225:DPX225"/>
    <mergeCell ref="DPY225:DQD225"/>
    <mergeCell ref="DQE225:DQJ225"/>
    <mergeCell ref="DQK225:DQP225"/>
    <mergeCell ref="DQQ225:DQV225"/>
    <mergeCell ref="DQW225:DRB225"/>
    <mergeCell ref="DRC225:DRH225"/>
    <mergeCell ref="DVM225:DVR225"/>
    <mergeCell ref="DVS225:DVX225"/>
    <mergeCell ref="DVY225:DWD225"/>
    <mergeCell ref="DWE225:DWJ225"/>
    <mergeCell ref="DWK225:DWP225"/>
    <mergeCell ref="DWQ225:DWV225"/>
    <mergeCell ref="DWW225:DXB225"/>
    <mergeCell ref="DXC225:DXH225"/>
    <mergeCell ref="DXI225:DXN225"/>
    <mergeCell ref="DTK225:DTP225"/>
    <mergeCell ref="DTQ225:DTV225"/>
    <mergeCell ref="DTW225:DUB225"/>
    <mergeCell ref="DUC225:DUH225"/>
    <mergeCell ref="DUI225:DUN225"/>
    <mergeCell ref="DUO225:DUT225"/>
    <mergeCell ref="DUU225:DUZ225"/>
    <mergeCell ref="DVA225:DVF225"/>
    <mergeCell ref="DVG225:DVL225"/>
    <mergeCell ref="DZQ225:DZV225"/>
    <mergeCell ref="DZW225:EAB225"/>
    <mergeCell ref="EAC225:EAH225"/>
    <mergeCell ref="EAI225:EAN225"/>
    <mergeCell ref="EAO225:EAT225"/>
    <mergeCell ref="EAU225:EAZ225"/>
    <mergeCell ref="EBA225:EBF225"/>
    <mergeCell ref="EBG225:EBL225"/>
    <mergeCell ref="EBM225:EBR225"/>
    <mergeCell ref="DXO225:DXT225"/>
    <mergeCell ref="DXU225:DXZ225"/>
    <mergeCell ref="DYA225:DYF225"/>
    <mergeCell ref="DYG225:DYL225"/>
    <mergeCell ref="DYM225:DYR225"/>
    <mergeCell ref="DYS225:DYX225"/>
    <mergeCell ref="DYY225:DZD225"/>
    <mergeCell ref="DZE225:DZJ225"/>
    <mergeCell ref="DZK225:DZP225"/>
    <mergeCell ref="EDU225:EDZ225"/>
    <mergeCell ref="EEA225:EEF225"/>
    <mergeCell ref="EEG225:EEL225"/>
    <mergeCell ref="EEM225:EER225"/>
    <mergeCell ref="EES225:EEX225"/>
    <mergeCell ref="EEY225:EFD225"/>
    <mergeCell ref="EFE225:EFJ225"/>
    <mergeCell ref="EFK225:EFP225"/>
    <mergeCell ref="EFQ225:EFV225"/>
    <mergeCell ref="EBS225:EBX225"/>
    <mergeCell ref="EBY225:ECD225"/>
    <mergeCell ref="ECE225:ECJ225"/>
    <mergeCell ref="ECK225:ECP225"/>
    <mergeCell ref="ECQ225:ECV225"/>
    <mergeCell ref="ECW225:EDB225"/>
    <mergeCell ref="EDC225:EDH225"/>
    <mergeCell ref="EDI225:EDN225"/>
    <mergeCell ref="EDO225:EDT225"/>
    <mergeCell ref="EHY225:EID225"/>
    <mergeCell ref="EIE225:EIJ225"/>
    <mergeCell ref="EIK225:EIP225"/>
    <mergeCell ref="EIQ225:EIV225"/>
    <mergeCell ref="EIW225:EJB225"/>
    <mergeCell ref="EJC225:EJH225"/>
    <mergeCell ref="EJI225:EJN225"/>
    <mergeCell ref="EJO225:EJT225"/>
    <mergeCell ref="EJU225:EJZ225"/>
    <mergeCell ref="EFW225:EGB225"/>
    <mergeCell ref="EGC225:EGH225"/>
    <mergeCell ref="EGI225:EGN225"/>
    <mergeCell ref="EGO225:EGT225"/>
    <mergeCell ref="EGU225:EGZ225"/>
    <mergeCell ref="EHA225:EHF225"/>
    <mergeCell ref="EHG225:EHL225"/>
    <mergeCell ref="EHM225:EHR225"/>
    <mergeCell ref="EHS225:EHX225"/>
    <mergeCell ref="EMC225:EMH225"/>
    <mergeCell ref="EMI225:EMN225"/>
    <mergeCell ref="EMO225:EMT225"/>
    <mergeCell ref="EMU225:EMZ225"/>
    <mergeCell ref="ENA225:ENF225"/>
    <mergeCell ref="ENG225:ENL225"/>
    <mergeCell ref="ENM225:ENR225"/>
    <mergeCell ref="ENS225:ENX225"/>
    <mergeCell ref="ENY225:EOD225"/>
    <mergeCell ref="EKA225:EKF225"/>
    <mergeCell ref="EKG225:EKL225"/>
    <mergeCell ref="EKM225:EKR225"/>
    <mergeCell ref="EKS225:EKX225"/>
    <mergeCell ref="EKY225:ELD225"/>
    <mergeCell ref="ELE225:ELJ225"/>
    <mergeCell ref="ELK225:ELP225"/>
    <mergeCell ref="ELQ225:ELV225"/>
    <mergeCell ref="ELW225:EMB225"/>
    <mergeCell ref="EQG225:EQL225"/>
    <mergeCell ref="EQM225:EQR225"/>
    <mergeCell ref="EQS225:EQX225"/>
    <mergeCell ref="EQY225:ERD225"/>
    <mergeCell ref="ERE225:ERJ225"/>
    <mergeCell ref="ERK225:ERP225"/>
    <mergeCell ref="ERQ225:ERV225"/>
    <mergeCell ref="ERW225:ESB225"/>
    <mergeCell ref="ESC225:ESH225"/>
    <mergeCell ref="EOE225:EOJ225"/>
    <mergeCell ref="EOK225:EOP225"/>
    <mergeCell ref="EOQ225:EOV225"/>
    <mergeCell ref="EOW225:EPB225"/>
    <mergeCell ref="EPC225:EPH225"/>
    <mergeCell ref="EPI225:EPN225"/>
    <mergeCell ref="EPO225:EPT225"/>
    <mergeCell ref="EPU225:EPZ225"/>
    <mergeCell ref="EQA225:EQF225"/>
    <mergeCell ref="EUK225:EUP225"/>
    <mergeCell ref="EUQ225:EUV225"/>
    <mergeCell ref="EUW225:EVB225"/>
    <mergeCell ref="EVC225:EVH225"/>
    <mergeCell ref="EVI225:EVN225"/>
    <mergeCell ref="EVO225:EVT225"/>
    <mergeCell ref="EVU225:EVZ225"/>
    <mergeCell ref="EWA225:EWF225"/>
    <mergeCell ref="EWG225:EWL225"/>
    <mergeCell ref="ESI225:ESN225"/>
    <mergeCell ref="ESO225:EST225"/>
    <mergeCell ref="ESU225:ESZ225"/>
    <mergeCell ref="ETA225:ETF225"/>
    <mergeCell ref="ETG225:ETL225"/>
    <mergeCell ref="ETM225:ETR225"/>
    <mergeCell ref="ETS225:ETX225"/>
    <mergeCell ref="ETY225:EUD225"/>
    <mergeCell ref="EUE225:EUJ225"/>
    <mergeCell ref="EYO225:EYT225"/>
    <mergeCell ref="EYU225:EYZ225"/>
    <mergeCell ref="EZA225:EZF225"/>
    <mergeCell ref="EZG225:EZL225"/>
    <mergeCell ref="EZM225:EZR225"/>
    <mergeCell ref="EZS225:EZX225"/>
    <mergeCell ref="EZY225:FAD225"/>
    <mergeCell ref="FAE225:FAJ225"/>
    <mergeCell ref="FAK225:FAP225"/>
    <mergeCell ref="EWM225:EWR225"/>
    <mergeCell ref="EWS225:EWX225"/>
    <mergeCell ref="EWY225:EXD225"/>
    <mergeCell ref="EXE225:EXJ225"/>
    <mergeCell ref="EXK225:EXP225"/>
    <mergeCell ref="EXQ225:EXV225"/>
    <mergeCell ref="EXW225:EYB225"/>
    <mergeCell ref="EYC225:EYH225"/>
    <mergeCell ref="EYI225:EYN225"/>
    <mergeCell ref="FCS225:FCX225"/>
    <mergeCell ref="FCY225:FDD225"/>
    <mergeCell ref="FDE225:FDJ225"/>
    <mergeCell ref="FDK225:FDP225"/>
    <mergeCell ref="FDQ225:FDV225"/>
    <mergeCell ref="FDW225:FEB225"/>
    <mergeCell ref="FEC225:FEH225"/>
    <mergeCell ref="FEI225:FEN225"/>
    <mergeCell ref="FEO225:FET225"/>
    <mergeCell ref="FAQ225:FAV225"/>
    <mergeCell ref="FAW225:FBB225"/>
    <mergeCell ref="FBC225:FBH225"/>
    <mergeCell ref="FBI225:FBN225"/>
    <mergeCell ref="FBO225:FBT225"/>
    <mergeCell ref="FBU225:FBZ225"/>
    <mergeCell ref="FCA225:FCF225"/>
    <mergeCell ref="FCG225:FCL225"/>
    <mergeCell ref="FCM225:FCR225"/>
    <mergeCell ref="FGW225:FHB225"/>
    <mergeCell ref="FHC225:FHH225"/>
    <mergeCell ref="FHI225:FHN225"/>
    <mergeCell ref="FHO225:FHT225"/>
    <mergeCell ref="FHU225:FHZ225"/>
    <mergeCell ref="FIA225:FIF225"/>
    <mergeCell ref="FIG225:FIL225"/>
    <mergeCell ref="FIM225:FIR225"/>
    <mergeCell ref="FIS225:FIX225"/>
    <mergeCell ref="FEU225:FEZ225"/>
    <mergeCell ref="FFA225:FFF225"/>
    <mergeCell ref="FFG225:FFL225"/>
    <mergeCell ref="FFM225:FFR225"/>
    <mergeCell ref="FFS225:FFX225"/>
    <mergeCell ref="FFY225:FGD225"/>
    <mergeCell ref="FGE225:FGJ225"/>
    <mergeCell ref="FGK225:FGP225"/>
    <mergeCell ref="FGQ225:FGV225"/>
    <mergeCell ref="FLA225:FLF225"/>
    <mergeCell ref="FLG225:FLL225"/>
    <mergeCell ref="FLM225:FLR225"/>
    <mergeCell ref="FLS225:FLX225"/>
    <mergeCell ref="FLY225:FMD225"/>
    <mergeCell ref="FME225:FMJ225"/>
    <mergeCell ref="FMK225:FMP225"/>
    <mergeCell ref="FMQ225:FMV225"/>
    <mergeCell ref="FMW225:FNB225"/>
    <mergeCell ref="FIY225:FJD225"/>
    <mergeCell ref="FJE225:FJJ225"/>
    <mergeCell ref="FJK225:FJP225"/>
    <mergeCell ref="FJQ225:FJV225"/>
    <mergeCell ref="FJW225:FKB225"/>
    <mergeCell ref="FKC225:FKH225"/>
    <mergeCell ref="FKI225:FKN225"/>
    <mergeCell ref="FKO225:FKT225"/>
    <mergeCell ref="FKU225:FKZ225"/>
    <mergeCell ref="FPE225:FPJ225"/>
    <mergeCell ref="FPK225:FPP225"/>
    <mergeCell ref="FPQ225:FPV225"/>
    <mergeCell ref="FPW225:FQB225"/>
    <mergeCell ref="FQC225:FQH225"/>
    <mergeCell ref="FQI225:FQN225"/>
    <mergeCell ref="FQO225:FQT225"/>
    <mergeCell ref="FQU225:FQZ225"/>
    <mergeCell ref="FRA225:FRF225"/>
    <mergeCell ref="FNC225:FNH225"/>
    <mergeCell ref="FNI225:FNN225"/>
    <mergeCell ref="FNO225:FNT225"/>
    <mergeCell ref="FNU225:FNZ225"/>
    <mergeCell ref="FOA225:FOF225"/>
    <mergeCell ref="FOG225:FOL225"/>
    <mergeCell ref="FOM225:FOR225"/>
    <mergeCell ref="FOS225:FOX225"/>
    <mergeCell ref="FOY225:FPD225"/>
    <mergeCell ref="FTI225:FTN225"/>
    <mergeCell ref="FTO225:FTT225"/>
    <mergeCell ref="FTU225:FTZ225"/>
    <mergeCell ref="FUA225:FUF225"/>
    <mergeCell ref="FUG225:FUL225"/>
    <mergeCell ref="FUM225:FUR225"/>
    <mergeCell ref="FUS225:FUX225"/>
    <mergeCell ref="FUY225:FVD225"/>
    <mergeCell ref="FVE225:FVJ225"/>
    <mergeCell ref="FRG225:FRL225"/>
    <mergeCell ref="FRM225:FRR225"/>
    <mergeCell ref="FRS225:FRX225"/>
    <mergeCell ref="FRY225:FSD225"/>
    <mergeCell ref="FSE225:FSJ225"/>
    <mergeCell ref="FSK225:FSP225"/>
    <mergeCell ref="FSQ225:FSV225"/>
    <mergeCell ref="FSW225:FTB225"/>
    <mergeCell ref="FTC225:FTH225"/>
    <mergeCell ref="FXM225:FXR225"/>
    <mergeCell ref="FXS225:FXX225"/>
    <mergeCell ref="FXY225:FYD225"/>
    <mergeCell ref="FYE225:FYJ225"/>
    <mergeCell ref="FYK225:FYP225"/>
    <mergeCell ref="FYQ225:FYV225"/>
    <mergeCell ref="FYW225:FZB225"/>
    <mergeCell ref="FZC225:FZH225"/>
    <mergeCell ref="FZI225:FZN225"/>
    <mergeCell ref="FVK225:FVP225"/>
    <mergeCell ref="FVQ225:FVV225"/>
    <mergeCell ref="FVW225:FWB225"/>
    <mergeCell ref="FWC225:FWH225"/>
    <mergeCell ref="FWI225:FWN225"/>
    <mergeCell ref="FWO225:FWT225"/>
    <mergeCell ref="FWU225:FWZ225"/>
    <mergeCell ref="FXA225:FXF225"/>
    <mergeCell ref="FXG225:FXL225"/>
    <mergeCell ref="GBQ225:GBV225"/>
    <mergeCell ref="GBW225:GCB225"/>
    <mergeCell ref="GCC225:GCH225"/>
    <mergeCell ref="GCI225:GCN225"/>
    <mergeCell ref="GCO225:GCT225"/>
    <mergeCell ref="GCU225:GCZ225"/>
    <mergeCell ref="GDA225:GDF225"/>
    <mergeCell ref="GDG225:GDL225"/>
    <mergeCell ref="GDM225:GDR225"/>
    <mergeCell ref="FZO225:FZT225"/>
    <mergeCell ref="FZU225:FZZ225"/>
    <mergeCell ref="GAA225:GAF225"/>
    <mergeCell ref="GAG225:GAL225"/>
    <mergeCell ref="GAM225:GAR225"/>
    <mergeCell ref="GAS225:GAX225"/>
    <mergeCell ref="GAY225:GBD225"/>
    <mergeCell ref="GBE225:GBJ225"/>
    <mergeCell ref="GBK225:GBP225"/>
    <mergeCell ref="GFU225:GFZ225"/>
    <mergeCell ref="GGA225:GGF225"/>
    <mergeCell ref="GGG225:GGL225"/>
    <mergeCell ref="GGM225:GGR225"/>
    <mergeCell ref="GGS225:GGX225"/>
    <mergeCell ref="GGY225:GHD225"/>
    <mergeCell ref="GHE225:GHJ225"/>
    <mergeCell ref="GHK225:GHP225"/>
    <mergeCell ref="GHQ225:GHV225"/>
    <mergeCell ref="GDS225:GDX225"/>
    <mergeCell ref="GDY225:GED225"/>
    <mergeCell ref="GEE225:GEJ225"/>
    <mergeCell ref="GEK225:GEP225"/>
    <mergeCell ref="GEQ225:GEV225"/>
    <mergeCell ref="GEW225:GFB225"/>
    <mergeCell ref="GFC225:GFH225"/>
    <mergeCell ref="GFI225:GFN225"/>
    <mergeCell ref="GFO225:GFT225"/>
    <mergeCell ref="GJY225:GKD225"/>
    <mergeCell ref="GKE225:GKJ225"/>
    <mergeCell ref="GKK225:GKP225"/>
    <mergeCell ref="GKQ225:GKV225"/>
    <mergeCell ref="GKW225:GLB225"/>
    <mergeCell ref="GLC225:GLH225"/>
    <mergeCell ref="GLI225:GLN225"/>
    <mergeCell ref="GLO225:GLT225"/>
    <mergeCell ref="GLU225:GLZ225"/>
    <mergeCell ref="GHW225:GIB225"/>
    <mergeCell ref="GIC225:GIH225"/>
    <mergeCell ref="GII225:GIN225"/>
    <mergeCell ref="GIO225:GIT225"/>
    <mergeCell ref="GIU225:GIZ225"/>
    <mergeCell ref="GJA225:GJF225"/>
    <mergeCell ref="GJG225:GJL225"/>
    <mergeCell ref="GJM225:GJR225"/>
    <mergeCell ref="GJS225:GJX225"/>
    <mergeCell ref="GOC225:GOH225"/>
    <mergeCell ref="GOI225:GON225"/>
    <mergeCell ref="GOO225:GOT225"/>
    <mergeCell ref="GOU225:GOZ225"/>
    <mergeCell ref="GPA225:GPF225"/>
    <mergeCell ref="GPG225:GPL225"/>
    <mergeCell ref="GPM225:GPR225"/>
    <mergeCell ref="GPS225:GPX225"/>
    <mergeCell ref="GPY225:GQD225"/>
    <mergeCell ref="GMA225:GMF225"/>
    <mergeCell ref="GMG225:GML225"/>
    <mergeCell ref="GMM225:GMR225"/>
    <mergeCell ref="GMS225:GMX225"/>
    <mergeCell ref="GMY225:GND225"/>
    <mergeCell ref="GNE225:GNJ225"/>
    <mergeCell ref="GNK225:GNP225"/>
    <mergeCell ref="GNQ225:GNV225"/>
    <mergeCell ref="GNW225:GOB225"/>
    <mergeCell ref="GSG225:GSL225"/>
    <mergeCell ref="GSM225:GSR225"/>
    <mergeCell ref="GSS225:GSX225"/>
    <mergeCell ref="GSY225:GTD225"/>
    <mergeCell ref="GTE225:GTJ225"/>
    <mergeCell ref="GTK225:GTP225"/>
    <mergeCell ref="GTQ225:GTV225"/>
    <mergeCell ref="GTW225:GUB225"/>
    <mergeCell ref="GUC225:GUH225"/>
    <mergeCell ref="GQE225:GQJ225"/>
    <mergeCell ref="GQK225:GQP225"/>
    <mergeCell ref="GQQ225:GQV225"/>
    <mergeCell ref="GQW225:GRB225"/>
    <mergeCell ref="GRC225:GRH225"/>
    <mergeCell ref="GRI225:GRN225"/>
    <mergeCell ref="GRO225:GRT225"/>
    <mergeCell ref="GRU225:GRZ225"/>
    <mergeCell ref="GSA225:GSF225"/>
    <mergeCell ref="GWK225:GWP225"/>
    <mergeCell ref="GWQ225:GWV225"/>
    <mergeCell ref="GWW225:GXB225"/>
    <mergeCell ref="GXC225:GXH225"/>
    <mergeCell ref="GXI225:GXN225"/>
    <mergeCell ref="GXO225:GXT225"/>
    <mergeCell ref="GXU225:GXZ225"/>
    <mergeCell ref="GYA225:GYF225"/>
    <mergeCell ref="GYG225:GYL225"/>
    <mergeCell ref="GUI225:GUN225"/>
    <mergeCell ref="GUO225:GUT225"/>
    <mergeCell ref="GUU225:GUZ225"/>
    <mergeCell ref="GVA225:GVF225"/>
    <mergeCell ref="GVG225:GVL225"/>
    <mergeCell ref="GVM225:GVR225"/>
    <mergeCell ref="GVS225:GVX225"/>
    <mergeCell ref="GVY225:GWD225"/>
    <mergeCell ref="GWE225:GWJ225"/>
    <mergeCell ref="HAO225:HAT225"/>
    <mergeCell ref="HAU225:HAZ225"/>
    <mergeCell ref="HBA225:HBF225"/>
    <mergeCell ref="HBG225:HBL225"/>
    <mergeCell ref="HBM225:HBR225"/>
    <mergeCell ref="HBS225:HBX225"/>
    <mergeCell ref="HBY225:HCD225"/>
    <mergeCell ref="HCE225:HCJ225"/>
    <mergeCell ref="HCK225:HCP225"/>
    <mergeCell ref="GYM225:GYR225"/>
    <mergeCell ref="GYS225:GYX225"/>
    <mergeCell ref="GYY225:GZD225"/>
    <mergeCell ref="GZE225:GZJ225"/>
    <mergeCell ref="GZK225:GZP225"/>
    <mergeCell ref="GZQ225:GZV225"/>
    <mergeCell ref="GZW225:HAB225"/>
    <mergeCell ref="HAC225:HAH225"/>
    <mergeCell ref="HAI225:HAN225"/>
    <mergeCell ref="HES225:HEX225"/>
    <mergeCell ref="HEY225:HFD225"/>
    <mergeCell ref="HFE225:HFJ225"/>
    <mergeCell ref="HFK225:HFP225"/>
    <mergeCell ref="HFQ225:HFV225"/>
    <mergeCell ref="HFW225:HGB225"/>
    <mergeCell ref="HGC225:HGH225"/>
    <mergeCell ref="HGI225:HGN225"/>
    <mergeCell ref="HGO225:HGT225"/>
    <mergeCell ref="HCQ225:HCV225"/>
    <mergeCell ref="HCW225:HDB225"/>
    <mergeCell ref="HDC225:HDH225"/>
    <mergeCell ref="HDI225:HDN225"/>
    <mergeCell ref="HDO225:HDT225"/>
    <mergeCell ref="HDU225:HDZ225"/>
    <mergeCell ref="HEA225:HEF225"/>
    <mergeCell ref="HEG225:HEL225"/>
    <mergeCell ref="HEM225:HER225"/>
    <mergeCell ref="HIW225:HJB225"/>
    <mergeCell ref="HJC225:HJH225"/>
    <mergeCell ref="HJI225:HJN225"/>
    <mergeCell ref="HJO225:HJT225"/>
    <mergeCell ref="HJU225:HJZ225"/>
    <mergeCell ref="HKA225:HKF225"/>
    <mergeCell ref="HKG225:HKL225"/>
    <mergeCell ref="HKM225:HKR225"/>
    <mergeCell ref="HKS225:HKX225"/>
    <mergeCell ref="HGU225:HGZ225"/>
    <mergeCell ref="HHA225:HHF225"/>
    <mergeCell ref="HHG225:HHL225"/>
    <mergeCell ref="HHM225:HHR225"/>
    <mergeCell ref="HHS225:HHX225"/>
    <mergeCell ref="HHY225:HID225"/>
    <mergeCell ref="HIE225:HIJ225"/>
    <mergeCell ref="HIK225:HIP225"/>
    <mergeCell ref="HIQ225:HIV225"/>
    <mergeCell ref="HNA225:HNF225"/>
    <mergeCell ref="HNG225:HNL225"/>
    <mergeCell ref="HNM225:HNR225"/>
    <mergeCell ref="HNS225:HNX225"/>
    <mergeCell ref="HNY225:HOD225"/>
    <mergeCell ref="HOE225:HOJ225"/>
    <mergeCell ref="HOK225:HOP225"/>
    <mergeCell ref="HOQ225:HOV225"/>
    <mergeCell ref="HOW225:HPB225"/>
    <mergeCell ref="HKY225:HLD225"/>
    <mergeCell ref="HLE225:HLJ225"/>
    <mergeCell ref="HLK225:HLP225"/>
    <mergeCell ref="HLQ225:HLV225"/>
    <mergeCell ref="HLW225:HMB225"/>
    <mergeCell ref="HMC225:HMH225"/>
    <mergeCell ref="HMI225:HMN225"/>
    <mergeCell ref="HMO225:HMT225"/>
    <mergeCell ref="HMU225:HMZ225"/>
    <mergeCell ref="HRE225:HRJ225"/>
    <mergeCell ref="HRK225:HRP225"/>
    <mergeCell ref="HRQ225:HRV225"/>
    <mergeCell ref="HRW225:HSB225"/>
    <mergeCell ref="HSC225:HSH225"/>
    <mergeCell ref="HSI225:HSN225"/>
    <mergeCell ref="HSO225:HST225"/>
    <mergeCell ref="HSU225:HSZ225"/>
    <mergeCell ref="HTA225:HTF225"/>
    <mergeCell ref="HPC225:HPH225"/>
    <mergeCell ref="HPI225:HPN225"/>
    <mergeCell ref="HPO225:HPT225"/>
    <mergeCell ref="HPU225:HPZ225"/>
    <mergeCell ref="HQA225:HQF225"/>
    <mergeCell ref="HQG225:HQL225"/>
    <mergeCell ref="HQM225:HQR225"/>
    <mergeCell ref="HQS225:HQX225"/>
    <mergeCell ref="HQY225:HRD225"/>
    <mergeCell ref="HVI225:HVN225"/>
    <mergeCell ref="HVO225:HVT225"/>
    <mergeCell ref="HVU225:HVZ225"/>
    <mergeCell ref="HWA225:HWF225"/>
    <mergeCell ref="HWG225:HWL225"/>
    <mergeCell ref="HWM225:HWR225"/>
    <mergeCell ref="HWS225:HWX225"/>
    <mergeCell ref="HWY225:HXD225"/>
    <mergeCell ref="HXE225:HXJ225"/>
    <mergeCell ref="HTG225:HTL225"/>
    <mergeCell ref="HTM225:HTR225"/>
    <mergeCell ref="HTS225:HTX225"/>
    <mergeCell ref="HTY225:HUD225"/>
    <mergeCell ref="HUE225:HUJ225"/>
    <mergeCell ref="HUK225:HUP225"/>
    <mergeCell ref="HUQ225:HUV225"/>
    <mergeCell ref="HUW225:HVB225"/>
    <mergeCell ref="HVC225:HVH225"/>
    <mergeCell ref="HZM225:HZR225"/>
    <mergeCell ref="HZS225:HZX225"/>
    <mergeCell ref="HZY225:IAD225"/>
    <mergeCell ref="IAE225:IAJ225"/>
    <mergeCell ref="IAK225:IAP225"/>
    <mergeCell ref="IAQ225:IAV225"/>
    <mergeCell ref="IAW225:IBB225"/>
    <mergeCell ref="IBC225:IBH225"/>
    <mergeCell ref="IBI225:IBN225"/>
    <mergeCell ref="HXK225:HXP225"/>
    <mergeCell ref="HXQ225:HXV225"/>
    <mergeCell ref="HXW225:HYB225"/>
    <mergeCell ref="HYC225:HYH225"/>
    <mergeCell ref="HYI225:HYN225"/>
    <mergeCell ref="HYO225:HYT225"/>
    <mergeCell ref="HYU225:HYZ225"/>
    <mergeCell ref="HZA225:HZF225"/>
    <mergeCell ref="HZG225:HZL225"/>
    <mergeCell ref="IDQ225:IDV225"/>
    <mergeCell ref="IDW225:IEB225"/>
    <mergeCell ref="IEC225:IEH225"/>
    <mergeCell ref="IEI225:IEN225"/>
    <mergeCell ref="IEO225:IET225"/>
    <mergeCell ref="IEU225:IEZ225"/>
    <mergeCell ref="IFA225:IFF225"/>
    <mergeCell ref="IFG225:IFL225"/>
    <mergeCell ref="IFM225:IFR225"/>
    <mergeCell ref="IBO225:IBT225"/>
    <mergeCell ref="IBU225:IBZ225"/>
    <mergeCell ref="ICA225:ICF225"/>
    <mergeCell ref="ICG225:ICL225"/>
    <mergeCell ref="ICM225:ICR225"/>
    <mergeCell ref="ICS225:ICX225"/>
    <mergeCell ref="ICY225:IDD225"/>
    <mergeCell ref="IDE225:IDJ225"/>
    <mergeCell ref="IDK225:IDP225"/>
    <mergeCell ref="IHU225:IHZ225"/>
    <mergeCell ref="IIA225:IIF225"/>
    <mergeCell ref="IIG225:IIL225"/>
    <mergeCell ref="IIM225:IIR225"/>
    <mergeCell ref="IIS225:IIX225"/>
    <mergeCell ref="IIY225:IJD225"/>
    <mergeCell ref="IJE225:IJJ225"/>
    <mergeCell ref="IJK225:IJP225"/>
    <mergeCell ref="IJQ225:IJV225"/>
    <mergeCell ref="IFS225:IFX225"/>
    <mergeCell ref="IFY225:IGD225"/>
    <mergeCell ref="IGE225:IGJ225"/>
    <mergeCell ref="IGK225:IGP225"/>
    <mergeCell ref="IGQ225:IGV225"/>
    <mergeCell ref="IGW225:IHB225"/>
    <mergeCell ref="IHC225:IHH225"/>
    <mergeCell ref="IHI225:IHN225"/>
    <mergeCell ref="IHO225:IHT225"/>
    <mergeCell ref="ILY225:IMD225"/>
    <mergeCell ref="IME225:IMJ225"/>
    <mergeCell ref="IMK225:IMP225"/>
    <mergeCell ref="IMQ225:IMV225"/>
    <mergeCell ref="IMW225:INB225"/>
    <mergeCell ref="INC225:INH225"/>
    <mergeCell ref="INI225:INN225"/>
    <mergeCell ref="INO225:INT225"/>
    <mergeCell ref="INU225:INZ225"/>
    <mergeCell ref="IJW225:IKB225"/>
    <mergeCell ref="IKC225:IKH225"/>
    <mergeCell ref="IKI225:IKN225"/>
    <mergeCell ref="IKO225:IKT225"/>
    <mergeCell ref="IKU225:IKZ225"/>
    <mergeCell ref="ILA225:ILF225"/>
    <mergeCell ref="ILG225:ILL225"/>
    <mergeCell ref="ILM225:ILR225"/>
    <mergeCell ref="ILS225:ILX225"/>
    <mergeCell ref="IQC225:IQH225"/>
    <mergeCell ref="IQI225:IQN225"/>
    <mergeCell ref="IQO225:IQT225"/>
    <mergeCell ref="IQU225:IQZ225"/>
    <mergeCell ref="IRA225:IRF225"/>
    <mergeCell ref="IRG225:IRL225"/>
    <mergeCell ref="IRM225:IRR225"/>
    <mergeCell ref="IRS225:IRX225"/>
    <mergeCell ref="IRY225:ISD225"/>
    <mergeCell ref="IOA225:IOF225"/>
    <mergeCell ref="IOG225:IOL225"/>
    <mergeCell ref="IOM225:IOR225"/>
    <mergeCell ref="IOS225:IOX225"/>
    <mergeCell ref="IOY225:IPD225"/>
    <mergeCell ref="IPE225:IPJ225"/>
    <mergeCell ref="IPK225:IPP225"/>
    <mergeCell ref="IPQ225:IPV225"/>
    <mergeCell ref="IPW225:IQB225"/>
    <mergeCell ref="IUG225:IUL225"/>
    <mergeCell ref="IUM225:IUR225"/>
    <mergeCell ref="IUS225:IUX225"/>
    <mergeCell ref="IUY225:IVD225"/>
    <mergeCell ref="IVE225:IVJ225"/>
    <mergeCell ref="IVK225:IVP225"/>
    <mergeCell ref="IVQ225:IVV225"/>
    <mergeCell ref="IVW225:IWB225"/>
    <mergeCell ref="IWC225:IWH225"/>
    <mergeCell ref="ISE225:ISJ225"/>
    <mergeCell ref="ISK225:ISP225"/>
    <mergeCell ref="ISQ225:ISV225"/>
    <mergeCell ref="ISW225:ITB225"/>
    <mergeCell ref="ITC225:ITH225"/>
    <mergeCell ref="ITI225:ITN225"/>
    <mergeCell ref="ITO225:ITT225"/>
    <mergeCell ref="ITU225:ITZ225"/>
    <mergeCell ref="IUA225:IUF225"/>
    <mergeCell ref="IYK225:IYP225"/>
    <mergeCell ref="IYQ225:IYV225"/>
    <mergeCell ref="IYW225:IZB225"/>
    <mergeCell ref="IZC225:IZH225"/>
    <mergeCell ref="IZI225:IZN225"/>
    <mergeCell ref="IZO225:IZT225"/>
    <mergeCell ref="IZU225:IZZ225"/>
    <mergeCell ref="JAA225:JAF225"/>
    <mergeCell ref="JAG225:JAL225"/>
    <mergeCell ref="IWI225:IWN225"/>
    <mergeCell ref="IWO225:IWT225"/>
    <mergeCell ref="IWU225:IWZ225"/>
    <mergeCell ref="IXA225:IXF225"/>
    <mergeCell ref="IXG225:IXL225"/>
    <mergeCell ref="IXM225:IXR225"/>
    <mergeCell ref="IXS225:IXX225"/>
    <mergeCell ref="IXY225:IYD225"/>
    <mergeCell ref="IYE225:IYJ225"/>
    <mergeCell ref="JCO225:JCT225"/>
    <mergeCell ref="JCU225:JCZ225"/>
    <mergeCell ref="JDA225:JDF225"/>
    <mergeCell ref="JDG225:JDL225"/>
    <mergeCell ref="JDM225:JDR225"/>
    <mergeCell ref="JDS225:JDX225"/>
    <mergeCell ref="JDY225:JED225"/>
    <mergeCell ref="JEE225:JEJ225"/>
    <mergeCell ref="JEK225:JEP225"/>
    <mergeCell ref="JAM225:JAR225"/>
    <mergeCell ref="JAS225:JAX225"/>
    <mergeCell ref="JAY225:JBD225"/>
    <mergeCell ref="JBE225:JBJ225"/>
    <mergeCell ref="JBK225:JBP225"/>
    <mergeCell ref="JBQ225:JBV225"/>
    <mergeCell ref="JBW225:JCB225"/>
    <mergeCell ref="JCC225:JCH225"/>
    <mergeCell ref="JCI225:JCN225"/>
    <mergeCell ref="JGS225:JGX225"/>
    <mergeCell ref="JGY225:JHD225"/>
    <mergeCell ref="JHE225:JHJ225"/>
    <mergeCell ref="JHK225:JHP225"/>
    <mergeCell ref="JHQ225:JHV225"/>
    <mergeCell ref="JHW225:JIB225"/>
    <mergeCell ref="JIC225:JIH225"/>
    <mergeCell ref="JII225:JIN225"/>
    <mergeCell ref="JIO225:JIT225"/>
    <mergeCell ref="JEQ225:JEV225"/>
    <mergeCell ref="JEW225:JFB225"/>
    <mergeCell ref="JFC225:JFH225"/>
    <mergeCell ref="JFI225:JFN225"/>
    <mergeCell ref="JFO225:JFT225"/>
    <mergeCell ref="JFU225:JFZ225"/>
    <mergeCell ref="JGA225:JGF225"/>
    <mergeCell ref="JGG225:JGL225"/>
    <mergeCell ref="JGM225:JGR225"/>
    <mergeCell ref="JKW225:JLB225"/>
    <mergeCell ref="JLC225:JLH225"/>
    <mergeCell ref="JLI225:JLN225"/>
    <mergeCell ref="JLO225:JLT225"/>
    <mergeCell ref="JLU225:JLZ225"/>
    <mergeCell ref="JMA225:JMF225"/>
    <mergeCell ref="JMG225:JML225"/>
    <mergeCell ref="JMM225:JMR225"/>
    <mergeCell ref="JMS225:JMX225"/>
    <mergeCell ref="JIU225:JIZ225"/>
    <mergeCell ref="JJA225:JJF225"/>
    <mergeCell ref="JJG225:JJL225"/>
    <mergeCell ref="JJM225:JJR225"/>
    <mergeCell ref="JJS225:JJX225"/>
    <mergeCell ref="JJY225:JKD225"/>
    <mergeCell ref="JKE225:JKJ225"/>
    <mergeCell ref="JKK225:JKP225"/>
    <mergeCell ref="JKQ225:JKV225"/>
    <mergeCell ref="JPA225:JPF225"/>
    <mergeCell ref="JPG225:JPL225"/>
    <mergeCell ref="JPM225:JPR225"/>
    <mergeCell ref="JPS225:JPX225"/>
    <mergeCell ref="JPY225:JQD225"/>
    <mergeCell ref="JQE225:JQJ225"/>
    <mergeCell ref="JQK225:JQP225"/>
    <mergeCell ref="JQQ225:JQV225"/>
    <mergeCell ref="JQW225:JRB225"/>
    <mergeCell ref="JMY225:JND225"/>
    <mergeCell ref="JNE225:JNJ225"/>
    <mergeCell ref="JNK225:JNP225"/>
    <mergeCell ref="JNQ225:JNV225"/>
    <mergeCell ref="JNW225:JOB225"/>
    <mergeCell ref="JOC225:JOH225"/>
    <mergeCell ref="JOI225:JON225"/>
    <mergeCell ref="JOO225:JOT225"/>
    <mergeCell ref="JOU225:JOZ225"/>
    <mergeCell ref="JTE225:JTJ225"/>
    <mergeCell ref="JTK225:JTP225"/>
    <mergeCell ref="JTQ225:JTV225"/>
    <mergeCell ref="JTW225:JUB225"/>
    <mergeCell ref="JUC225:JUH225"/>
    <mergeCell ref="JUI225:JUN225"/>
    <mergeCell ref="JUO225:JUT225"/>
    <mergeCell ref="JUU225:JUZ225"/>
    <mergeCell ref="JVA225:JVF225"/>
    <mergeCell ref="JRC225:JRH225"/>
    <mergeCell ref="JRI225:JRN225"/>
    <mergeCell ref="JRO225:JRT225"/>
    <mergeCell ref="JRU225:JRZ225"/>
    <mergeCell ref="JSA225:JSF225"/>
    <mergeCell ref="JSG225:JSL225"/>
    <mergeCell ref="JSM225:JSR225"/>
    <mergeCell ref="JSS225:JSX225"/>
    <mergeCell ref="JSY225:JTD225"/>
    <mergeCell ref="JXI225:JXN225"/>
    <mergeCell ref="JXO225:JXT225"/>
    <mergeCell ref="JXU225:JXZ225"/>
    <mergeCell ref="JYA225:JYF225"/>
    <mergeCell ref="JYG225:JYL225"/>
    <mergeCell ref="JYM225:JYR225"/>
    <mergeCell ref="JYS225:JYX225"/>
    <mergeCell ref="JYY225:JZD225"/>
    <mergeCell ref="JZE225:JZJ225"/>
    <mergeCell ref="JVG225:JVL225"/>
    <mergeCell ref="JVM225:JVR225"/>
    <mergeCell ref="JVS225:JVX225"/>
    <mergeCell ref="JVY225:JWD225"/>
    <mergeCell ref="JWE225:JWJ225"/>
    <mergeCell ref="JWK225:JWP225"/>
    <mergeCell ref="JWQ225:JWV225"/>
    <mergeCell ref="JWW225:JXB225"/>
    <mergeCell ref="JXC225:JXH225"/>
    <mergeCell ref="KBM225:KBR225"/>
    <mergeCell ref="KBS225:KBX225"/>
    <mergeCell ref="KBY225:KCD225"/>
    <mergeCell ref="KCE225:KCJ225"/>
    <mergeCell ref="KCK225:KCP225"/>
    <mergeCell ref="KCQ225:KCV225"/>
    <mergeCell ref="KCW225:KDB225"/>
    <mergeCell ref="KDC225:KDH225"/>
    <mergeCell ref="KDI225:KDN225"/>
    <mergeCell ref="JZK225:JZP225"/>
    <mergeCell ref="JZQ225:JZV225"/>
    <mergeCell ref="JZW225:KAB225"/>
    <mergeCell ref="KAC225:KAH225"/>
    <mergeCell ref="KAI225:KAN225"/>
    <mergeCell ref="KAO225:KAT225"/>
    <mergeCell ref="KAU225:KAZ225"/>
    <mergeCell ref="KBA225:KBF225"/>
    <mergeCell ref="KBG225:KBL225"/>
    <mergeCell ref="KFQ225:KFV225"/>
    <mergeCell ref="KFW225:KGB225"/>
    <mergeCell ref="KGC225:KGH225"/>
    <mergeCell ref="KGI225:KGN225"/>
    <mergeCell ref="KGO225:KGT225"/>
    <mergeCell ref="KGU225:KGZ225"/>
    <mergeCell ref="KHA225:KHF225"/>
    <mergeCell ref="KHG225:KHL225"/>
    <mergeCell ref="KHM225:KHR225"/>
    <mergeCell ref="KDO225:KDT225"/>
    <mergeCell ref="KDU225:KDZ225"/>
    <mergeCell ref="KEA225:KEF225"/>
    <mergeCell ref="KEG225:KEL225"/>
    <mergeCell ref="KEM225:KER225"/>
    <mergeCell ref="KES225:KEX225"/>
    <mergeCell ref="KEY225:KFD225"/>
    <mergeCell ref="KFE225:KFJ225"/>
    <mergeCell ref="KFK225:KFP225"/>
    <mergeCell ref="KJU225:KJZ225"/>
    <mergeCell ref="KKA225:KKF225"/>
    <mergeCell ref="KKG225:KKL225"/>
    <mergeCell ref="KKM225:KKR225"/>
    <mergeCell ref="KKS225:KKX225"/>
    <mergeCell ref="KKY225:KLD225"/>
    <mergeCell ref="KLE225:KLJ225"/>
    <mergeCell ref="KLK225:KLP225"/>
    <mergeCell ref="KLQ225:KLV225"/>
    <mergeCell ref="KHS225:KHX225"/>
    <mergeCell ref="KHY225:KID225"/>
    <mergeCell ref="KIE225:KIJ225"/>
    <mergeCell ref="KIK225:KIP225"/>
    <mergeCell ref="KIQ225:KIV225"/>
    <mergeCell ref="KIW225:KJB225"/>
    <mergeCell ref="KJC225:KJH225"/>
    <mergeCell ref="KJI225:KJN225"/>
    <mergeCell ref="KJO225:KJT225"/>
    <mergeCell ref="KNY225:KOD225"/>
    <mergeCell ref="KOE225:KOJ225"/>
    <mergeCell ref="KOK225:KOP225"/>
    <mergeCell ref="KOQ225:KOV225"/>
    <mergeCell ref="KOW225:KPB225"/>
    <mergeCell ref="KPC225:KPH225"/>
    <mergeCell ref="KPI225:KPN225"/>
    <mergeCell ref="KPO225:KPT225"/>
    <mergeCell ref="KPU225:KPZ225"/>
    <mergeCell ref="KLW225:KMB225"/>
    <mergeCell ref="KMC225:KMH225"/>
    <mergeCell ref="KMI225:KMN225"/>
    <mergeCell ref="KMO225:KMT225"/>
    <mergeCell ref="KMU225:KMZ225"/>
    <mergeCell ref="KNA225:KNF225"/>
    <mergeCell ref="KNG225:KNL225"/>
    <mergeCell ref="KNM225:KNR225"/>
    <mergeCell ref="KNS225:KNX225"/>
    <mergeCell ref="KSC225:KSH225"/>
    <mergeCell ref="KSI225:KSN225"/>
    <mergeCell ref="KSO225:KST225"/>
    <mergeCell ref="KSU225:KSZ225"/>
    <mergeCell ref="KTA225:KTF225"/>
    <mergeCell ref="KTG225:KTL225"/>
    <mergeCell ref="KTM225:KTR225"/>
    <mergeCell ref="KTS225:KTX225"/>
    <mergeCell ref="KTY225:KUD225"/>
    <mergeCell ref="KQA225:KQF225"/>
    <mergeCell ref="KQG225:KQL225"/>
    <mergeCell ref="KQM225:KQR225"/>
    <mergeCell ref="KQS225:KQX225"/>
    <mergeCell ref="KQY225:KRD225"/>
    <mergeCell ref="KRE225:KRJ225"/>
    <mergeCell ref="KRK225:KRP225"/>
    <mergeCell ref="KRQ225:KRV225"/>
    <mergeCell ref="KRW225:KSB225"/>
    <mergeCell ref="KWG225:KWL225"/>
    <mergeCell ref="KWM225:KWR225"/>
    <mergeCell ref="KWS225:KWX225"/>
    <mergeCell ref="KWY225:KXD225"/>
    <mergeCell ref="KXE225:KXJ225"/>
    <mergeCell ref="KXK225:KXP225"/>
    <mergeCell ref="KXQ225:KXV225"/>
    <mergeCell ref="KXW225:KYB225"/>
    <mergeCell ref="KYC225:KYH225"/>
    <mergeCell ref="KUE225:KUJ225"/>
    <mergeCell ref="KUK225:KUP225"/>
    <mergeCell ref="KUQ225:KUV225"/>
    <mergeCell ref="KUW225:KVB225"/>
    <mergeCell ref="KVC225:KVH225"/>
    <mergeCell ref="KVI225:KVN225"/>
    <mergeCell ref="KVO225:KVT225"/>
    <mergeCell ref="KVU225:KVZ225"/>
    <mergeCell ref="KWA225:KWF225"/>
    <mergeCell ref="LAK225:LAP225"/>
    <mergeCell ref="LAQ225:LAV225"/>
    <mergeCell ref="LAW225:LBB225"/>
    <mergeCell ref="LBC225:LBH225"/>
    <mergeCell ref="LBI225:LBN225"/>
    <mergeCell ref="LBO225:LBT225"/>
    <mergeCell ref="LBU225:LBZ225"/>
    <mergeCell ref="LCA225:LCF225"/>
    <mergeCell ref="LCG225:LCL225"/>
    <mergeCell ref="KYI225:KYN225"/>
    <mergeCell ref="KYO225:KYT225"/>
    <mergeCell ref="KYU225:KYZ225"/>
    <mergeCell ref="KZA225:KZF225"/>
    <mergeCell ref="KZG225:KZL225"/>
    <mergeCell ref="KZM225:KZR225"/>
    <mergeCell ref="KZS225:KZX225"/>
    <mergeCell ref="KZY225:LAD225"/>
    <mergeCell ref="LAE225:LAJ225"/>
    <mergeCell ref="LEO225:LET225"/>
    <mergeCell ref="LEU225:LEZ225"/>
    <mergeCell ref="LFA225:LFF225"/>
    <mergeCell ref="LFG225:LFL225"/>
    <mergeCell ref="LFM225:LFR225"/>
    <mergeCell ref="LFS225:LFX225"/>
    <mergeCell ref="LFY225:LGD225"/>
    <mergeCell ref="LGE225:LGJ225"/>
    <mergeCell ref="LGK225:LGP225"/>
    <mergeCell ref="LCM225:LCR225"/>
    <mergeCell ref="LCS225:LCX225"/>
    <mergeCell ref="LCY225:LDD225"/>
    <mergeCell ref="LDE225:LDJ225"/>
    <mergeCell ref="LDK225:LDP225"/>
    <mergeCell ref="LDQ225:LDV225"/>
    <mergeCell ref="LDW225:LEB225"/>
    <mergeCell ref="LEC225:LEH225"/>
    <mergeCell ref="LEI225:LEN225"/>
    <mergeCell ref="LIS225:LIX225"/>
    <mergeCell ref="LIY225:LJD225"/>
    <mergeCell ref="LJE225:LJJ225"/>
    <mergeCell ref="LJK225:LJP225"/>
    <mergeCell ref="LJQ225:LJV225"/>
    <mergeCell ref="LJW225:LKB225"/>
    <mergeCell ref="LKC225:LKH225"/>
    <mergeCell ref="LKI225:LKN225"/>
    <mergeCell ref="LKO225:LKT225"/>
    <mergeCell ref="LGQ225:LGV225"/>
    <mergeCell ref="LGW225:LHB225"/>
    <mergeCell ref="LHC225:LHH225"/>
    <mergeCell ref="LHI225:LHN225"/>
    <mergeCell ref="LHO225:LHT225"/>
    <mergeCell ref="LHU225:LHZ225"/>
    <mergeCell ref="LIA225:LIF225"/>
    <mergeCell ref="LIG225:LIL225"/>
    <mergeCell ref="LIM225:LIR225"/>
    <mergeCell ref="LMW225:LNB225"/>
    <mergeCell ref="LNC225:LNH225"/>
    <mergeCell ref="LNI225:LNN225"/>
    <mergeCell ref="LNO225:LNT225"/>
    <mergeCell ref="LNU225:LNZ225"/>
    <mergeCell ref="LOA225:LOF225"/>
    <mergeCell ref="LOG225:LOL225"/>
    <mergeCell ref="LOM225:LOR225"/>
    <mergeCell ref="LOS225:LOX225"/>
    <mergeCell ref="LKU225:LKZ225"/>
    <mergeCell ref="LLA225:LLF225"/>
    <mergeCell ref="LLG225:LLL225"/>
    <mergeCell ref="LLM225:LLR225"/>
    <mergeCell ref="LLS225:LLX225"/>
    <mergeCell ref="LLY225:LMD225"/>
    <mergeCell ref="LME225:LMJ225"/>
    <mergeCell ref="LMK225:LMP225"/>
    <mergeCell ref="LMQ225:LMV225"/>
    <mergeCell ref="LRA225:LRF225"/>
    <mergeCell ref="LRG225:LRL225"/>
    <mergeCell ref="LRM225:LRR225"/>
    <mergeCell ref="LRS225:LRX225"/>
    <mergeCell ref="LRY225:LSD225"/>
    <mergeCell ref="LSE225:LSJ225"/>
    <mergeCell ref="LSK225:LSP225"/>
    <mergeCell ref="LSQ225:LSV225"/>
    <mergeCell ref="LSW225:LTB225"/>
    <mergeCell ref="LOY225:LPD225"/>
    <mergeCell ref="LPE225:LPJ225"/>
    <mergeCell ref="LPK225:LPP225"/>
    <mergeCell ref="LPQ225:LPV225"/>
    <mergeCell ref="LPW225:LQB225"/>
    <mergeCell ref="LQC225:LQH225"/>
    <mergeCell ref="LQI225:LQN225"/>
    <mergeCell ref="LQO225:LQT225"/>
    <mergeCell ref="LQU225:LQZ225"/>
    <mergeCell ref="LVE225:LVJ225"/>
    <mergeCell ref="LVK225:LVP225"/>
    <mergeCell ref="LVQ225:LVV225"/>
    <mergeCell ref="LVW225:LWB225"/>
    <mergeCell ref="LWC225:LWH225"/>
    <mergeCell ref="LWI225:LWN225"/>
    <mergeCell ref="LWO225:LWT225"/>
    <mergeCell ref="LWU225:LWZ225"/>
    <mergeCell ref="LXA225:LXF225"/>
    <mergeCell ref="LTC225:LTH225"/>
    <mergeCell ref="LTI225:LTN225"/>
    <mergeCell ref="LTO225:LTT225"/>
    <mergeCell ref="LTU225:LTZ225"/>
    <mergeCell ref="LUA225:LUF225"/>
    <mergeCell ref="LUG225:LUL225"/>
    <mergeCell ref="LUM225:LUR225"/>
    <mergeCell ref="LUS225:LUX225"/>
    <mergeCell ref="LUY225:LVD225"/>
    <mergeCell ref="LZI225:LZN225"/>
    <mergeCell ref="LZO225:LZT225"/>
    <mergeCell ref="LZU225:LZZ225"/>
    <mergeCell ref="MAA225:MAF225"/>
    <mergeCell ref="MAG225:MAL225"/>
    <mergeCell ref="MAM225:MAR225"/>
    <mergeCell ref="MAS225:MAX225"/>
    <mergeCell ref="MAY225:MBD225"/>
    <mergeCell ref="MBE225:MBJ225"/>
    <mergeCell ref="LXG225:LXL225"/>
    <mergeCell ref="LXM225:LXR225"/>
    <mergeCell ref="LXS225:LXX225"/>
    <mergeCell ref="LXY225:LYD225"/>
    <mergeCell ref="LYE225:LYJ225"/>
    <mergeCell ref="LYK225:LYP225"/>
    <mergeCell ref="LYQ225:LYV225"/>
    <mergeCell ref="LYW225:LZB225"/>
    <mergeCell ref="LZC225:LZH225"/>
    <mergeCell ref="MDM225:MDR225"/>
    <mergeCell ref="MDS225:MDX225"/>
    <mergeCell ref="MDY225:MED225"/>
    <mergeCell ref="MEE225:MEJ225"/>
    <mergeCell ref="MEK225:MEP225"/>
    <mergeCell ref="MEQ225:MEV225"/>
    <mergeCell ref="MEW225:MFB225"/>
    <mergeCell ref="MFC225:MFH225"/>
    <mergeCell ref="MFI225:MFN225"/>
    <mergeCell ref="MBK225:MBP225"/>
    <mergeCell ref="MBQ225:MBV225"/>
    <mergeCell ref="MBW225:MCB225"/>
    <mergeCell ref="MCC225:MCH225"/>
    <mergeCell ref="MCI225:MCN225"/>
    <mergeCell ref="MCO225:MCT225"/>
    <mergeCell ref="MCU225:MCZ225"/>
    <mergeCell ref="MDA225:MDF225"/>
    <mergeCell ref="MDG225:MDL225"/>
    <mergeCell ref="MHQ225:MHV225"/>
    <mergeCell ref="MHW225:MIB225"/>
    <mergeCell ref="MIC225:MIH225"/>
    <mergeCell ref="MII225:MIN225"/>
    <mergeCell ref="MIO225:MIT225"/>
    <mergeCell ref="MIU225:MIZ225"/>
    <mergeCell ref="MJA225:MJF225"/>
    <mergeCell ref="MJG225:MJL225"/>
    <mergeCell ref="MJM225:MJR225"/>
    <mergeCell ref="MFO225:MFT225"/>
    <mergeCell ref="MFU225:MFZ225"/>
    <mergeCell ref="MGA225:MGF225"/>
    <mergeCell ref="MGG225:MGL225"/>
    <mergeCell ref="MGM225:MGR225"/>
    <mergeCell ref="MGS225:MGX225"/>
    <mergeCell ref="MGY225:MHD225"/>
    <mergeCell ref="MHE225:MHJ225"/>
    <mergeCell ref="MHK225:MHP225"/>
    <mergeCell ref="MLU225:MLZ225"/>
    <mergeCell ref="MMA225:MMF225"/>
    <mergeCell ref="MMG225:MML225"/>
    <mergeCell ref="MMM225:MMR225"/>
    <mergeCell ref="MMS225:MMX225"/>
    <mergeCell ref="MMY225:MND225"/>
    <mergeCell ref="MNE225:MNJ225"/>
    <mergeCell ref="MNK225:MNP225"/>
    <mergeCell ref="MNQ225:MNV225"/>
    <mergeCell ref="MJS225:MJX225"/>
    <mergeCell ref="MJY225:MKD225"/>
    <mergeCell ref="MKE225:MKJ225"/>
    <mergeCell ref="MKK225:MKP225"/>
    <mergeCell ref="MKQ225:MKV225"/>
    <mergeCell ref="MKW225:MLB225"/>
    <mergeCell ref="MLC225:MLH225"/>
    <mergeCell ref="MLI225:MLN225"/>
    <mergeCell ref="MLO225:MLT225"/>
    <mergeCell ref="MPY225:MQD225"/>
    <mergeCell ref="MQE225:MQJ225"/>
    <mergeCell ref="MQK225:MQP225"/>
    <mergeCell ref="MQQ225:MQV225"/>
    <mergeCell ref="MQW225:MRB225"/>
    <mergeCell ref="MRC225:MRH225"/>
    <mergeCell ref="MRI225:MRN225"/>
    <mergeCell ref="MRO225:MRT225"/>
    <mergeCell ref="MRU225:MRZ225"/>
    <mergeCell ref="MNW225:MOB225"/>
    <mergeCell ref="MOC225:MOH225"/>
    <mergeCell ref="MOI225:MON225"/>
    <mergeCell ref="MOO225:MOT225"/>
    <mergeCell ref="MOU225:MOZ225"/>
    <mergeCell ref="MPA225:MPF225"/>
    <mergeCell ref="MPG225:MPL225"/>
    <mergeCell ref="MPM225:MPR225"/>
    <mergeCell ref="MPS225:MPX225"/>
    <mergeCell ref="MUC225:MUH225"/>
    <mergeCell ref="MUI225:MUN225"/>
    <mergeCell ref="MUO225:MUT225"/>
    <mergeCell ref="MUU225:MUZ225"/>
    <mergeCell ref="MVA225:MVF225"/>
    <mergeCell ref="MVG225:MVL225"/>
    <mergeCell ref="MVM225:MVR225"/>
    <mergeCell ref="MVS225:MVX225"/>
    <mergeCell ref="MVY225:MWD225"/>
    <mergeCell ref="MSA225:MSF225"/>
    <mergeCell ref="MSG225:MSL225"/>
    <mergeCell ref="MSM225:MSR225"/>
    <mergeCell ref="MSS225:MSX225"/>
    <mergeCell ref="MSY225:MTD225"/>
    <mergeCell ref="MTE225:MTJ225"/>
    <mergeCell ref="MTK225:MTP225"/>
    <mergeCell ref="MTQ225:MTV225"/>
    <mergeCell ref="MTW225:MUB225"/>
    <mergeCell ref="MYG225:MYL225"/>
    <mergeCell ref="MYM225:MYR225"/>
    <mergeCell ref="MYS225:MYX225"/>
    <mergeCell ref="MYY225:MZD225"/>
    <mergeCell ref="MZE225:MZJ225"/>
    <mergeCell ref="MZK225:MZP225"/>
    <mergeCell ref="MZQ225:MZV225"/>
    <mergeCell ref="MZW225:NAB225"/>
    <mergeCell ref="NAC225:NAH225"/>
    <mergeCell ref="MWE225:MWJ225"/>
    <mergeCell ref="MWK225:MWP225"/>
    <mergeCell ref="MWQ225:MWV225"/>
    <mergeCell ref="MWW225:MXB225"/>
    <mergeCell ref="MXC225:MXH225"/>
    <mergeCell ref="MXI225:MXN225"/>
    <mergeCell ref="MXO225:MXT225"/>
    <mergeCell ref="MXU225:MXZ225"/>
    <mergeCell ref="MYA225:MYF225"/>
    <mergeCell ref="NCK225:NCP225"/>
    <mergeCell ref="NCQ225:NCV225"/>
    <mergeCell ref="NCW225:NDB225"/>
    <mergeCell ref="NDC225:NDH225"/>
    <mergeCell ref="NDI225:NDN225"/>
    <mergeCell ref="NDO225:NDT225"/>
    <mergeCell ref="NDU225:NDZ225"/>
    <mergeCell ref="NEA225:NEF225"/>
    <mergeCell ref="NEG225:NEL225"/>
    <mergeCell ref="NAI225:NAN225"/>
    <mergeCell ref="NAO225:NAT225"/>
    <mergeCell ref="NAU225:NAZ225"/>
    <mergeCell ref="NBA225:NBF225"/>
    <mergeCell ref="NBG225:NBL225"/>
    <mergeCell ref="NBM225:NBR225"/>
    <mergeCell ref="NBS225:NBX225"/>
    <mergeCell ref="NBY225:NCD225"/>
    <mergeCell ref="NCE225:NCJ225"/>
    <mergeCell ref="NGO225:NGT225"/>
    <mergeCell ref="NGU225:NGZ225"/>
    <mergeCell ref="NHA225:NHF225"/>
    <mergeCell ref="NHG225:NHL225"/>
    <mergeCell ref="NHM225:NHR225"/>
    <mergeCell ref="NHS225:NHX225"/>
    <mergeCell ref="NHY225:NID225"/>
    <mergeCell ref="NIE225:NIJ225"/>
    <mergeCell ref="NIK225:NIP225"/>
    <mergeCell ref="NEM225:NER225"/>
    <mergeCell ref="NES225:NEX225"/>
    <mergeCell ref="NEY225:NFD225"/>
    <mergeCell ref="NFE225:NFJ225"/>
    <mergeCell ref="NFK225:NFP225"/>
    <mergeCell ref="NFQ225:NFV225"/>
    <mergeCell ref="NFW225:NGB225"/>
    <mergeCell ref="NGC225:NGH225"/>
    <mergeCell ref="NGI225:NGN225"/>
    <mergeCell ref="NKS225:NKX225"/>
    <mergeCell ref="NKY225:NLD225"/>
    <mergeCell ref="NLE225:NLJ225"/>
    <mergeCell ref="NLK225:NLP225"/>
    <mergeCell ref="NLQ225:NLV225"/>
    <mergeCell ref="NLW225:NMB225"/>
    <mergeCell ref="NMC225:NMH225"/>
    <mergeCell ref="NMI225:NMN225"/>
    <mergeCell ref="NMO225:NMT225"/>
    <mergeCell ref="NIQ225:NIV225"/>
    <mergeCell ref="NIW225:NJB225"/>
    <mergeCell ref="NJC225:NJH225"/>
    <mergeCell ref="NJI225:NJN225"/>
    <mergeCell ref="NJO225:NJT225"/>
    <mergeCell ref="NJU225:NJZ225"/>
    <mergeCell ref="NKA225:NKF225"/>
    <mergeCell ref="NKG225:NKL225"/>
    <mergeCell ref="NKM225:NKR225"/>
    <mergeCell ref="NOW225:NPB225"/>
    <mergeCell ref="NPC225:NPH225"/>
    <mergeCell ref="NPI225:NPN225"/>
    <mergeCell ref="NPO225:NPT225"/>
    <mergeCell ref="NPU225:NPZ225"/>
    <mergeCell ref="NQA225:NQF225"/>
    <mergeCell ref="NQG225:NQL225"/>
    <mergeCell ref="NQM225:NQR225"/>
    <mergeCell ref="NQS225:NQX225"/>
    <mergeCell ref="NMU225:NMZ225"/>
    <mergeCell ref="NNA225:NNF225"/>
    <mergeCell ref="NNG225:NNL225"/>
    <mergeCell ref="NNM225:NNR225"/>
    <mergeCell ref="NNS225:NNX225"/>
    <mergeCell ref="NNY225:NOD225"/>
    <mergeCell ref="NOE225:NOJ225"/>
    <mergeCell ref="NOK225:NOP225"/>
    <mergeCell ref="NOQ225:NOV225"/>
    <mergeCell ref="NTA225:NTF225"/>
    <mergeCell ref="NTG225:NTL225"/>
    <mergeCell ref="NTM225:NTR225"/>
    <mergeCell ref="NTS225:NTX225"/>
    <mergeCell ref="NTY225:NUD225"/>
    <mergeCell ref="NUE225:NUJ225"/>
    <mergeCell ref="NUK225:NUP225"/>
    <mergeCell ref="NUQ225:NUV225"/>
    <mergeCell ref="NUW225:NVB225"/>
    <mergeCell ref="NQY225:NRD225"/>
    <mergeCell ref="NRE225:NRJ225"/>
    <mergeCell ref="NRK225:NRP225"/>
    <mergeCell ref="NRQ225:NRV225"/>
    <mergeCell ref="NRW225:NSB225"/>
    <mergeCell ref="NSC225:NSH225"/>
    <mergeCell ref="NSI225:NSN225"/>
    <mergeCell ref="NSO225:NST225"/>
    <mergeCell ref="NSU225:NSZ225"/>
    <mergeCell ref="NXE225:NXJ225"/>
    <mergeCell ref="NXK225:NXP225"/>
    <mergeCell ref="NXQ225:NXV225"/>
    <mergeCell ref="NXW225:NYB225"/>
    <mergeCell ref="NYC225:NYH225"/>
    <mergeCell ref="NYI225:NYN225"/>
    <mergeCell ref="NYO225:NYT225"/>
    <mergeCell ref="NYU225:NYZ225"/>
    <mergeCell ref="NZA225:NZF225"/>
    <mergeCell ref="NVC225:NVH225"/>
    <mergeCell ref="NVI225:NVN225"/>
    <mergeCell ref="NVO225:NVT225"/>
    <mergeCell ref="NVU225:NVZ225"/>
    <mergeCell ref="NWA225:NWF225"/>
    <mergeCell ref="NWG225:NWL225"/>
    <mergeCell ref="NWM225:NWR225"/>
    <mergeCell ref="NWS225:NWX225"/>
    <mergeCell ref="NWY225:NXD225"/>
    <mergeCell ref="OBI225:OBN225"/>
    <mergeCell ref="OBO225:OBT225"/>
    <mergeCell ref="OBU225:OBZ225"/>
    <mergeCell ref="OCA225:OCF225"/>
    <mergeCell ref="OCG225:OCL225"/>
    <mergeCell ref="OCM225:OCR225"/>
    <mergeCell ref="OCS225:OCX225"/>
    <mergeCell ref="OCY225:ODD225"/>
    <mergeCell ref="ODE225:ODJ225"/>
    <mergeCell ref="NZG225:NZL225"/>
    <mergeCell ref="NZM225:NZR225"/>
    <mergeCell ref="NZS225:NZX225"/>
    <mergeCell ref="NZY225:OAD225"/>
    <mergeCell ref="OAE225:OAJ225"/>
    <mergeCell ref="OAK225:OAP225"/>
    <mergeCell ref="OAQ225:OAV225"/>
    <mergeCell ref="OAW225:OBB225"/>
    <mergeCell ref="OBC225:OBH225"/>
    <mergeCell ref="OFM225:OFR225"/>
    <mergeCell ref="OFS225:OFX225"/>
    <mergeCell ref="OFY225:OGD225"/>
    <mergeCell ref="OGE225:OGJ225"/>
    <mergeCell ref="OGK225:OGP225"/>
    <mergeCell ref="OGQ225:OGV225"/>
    <mergeCell ref="OGW225:OHB225"/>
    <mergeCell ref="OHC225:OHH225"/>
    <mergeCell ref="OHI225:OHN225"/>
    <mergeCell ref="ODK225:ODP225"/>
    <mergeCell ref="ODQ225:ODV225"/>
    <mergeCell ref="ODW225:OEB225"/>
    <mergeCell ref="OEC225:OEH225"/>
    <mergeCell ref="OEI225:OEN225"/>
    <mergeCell ref="OEO225:OET225"/>
    <mergeCell ref="OEU225:OEZ225"/>
    <mergeCell ref="OFA225:OFF225"/>
    <mergeCell ref="OFG225:OFL225"/>
    <mergeCell ref="OJQ225:OJV225"/>
    <mergeCell ref="OJW225:OKB225"/>
    <mergeCell ref="OKC225:OKH225"/>
    <mergeCell ref="OKI225:OKN225"/>
    <mergeCell ref="OKO225:OKT225"/>
    <mergeCell ref="OKU225:OKZ225"/>
    <mergeCell ref="OLA225:OLF225"/>
    <mergeCell ref="OLG225:OLL225"/>
    <mergeCell ref="OLM225:OLR225"/>
    <mergeCell ref="OHO225:OHT225"/>
    <mergeCell ref="OHU225:OHZ225"/>
    <mergeCell ref="OIA225:OIF225"/>
    <mergeCell ref="OIG225:OIL225"/>
    <mergeCell ref="OIM225:OIR225"/>
    <mergeCell ref="OIS225:OIX225"/>
    <mergeCell ref="OIY225:OJD225"/>
    <mergeCell ref="OJE225:OJJ225"/>
    <mergeCell ref="OJK225:OJP225"/>
    <mergeCell ref="ONU225:ONZ225"/>
    <mergeCell ref="OOA225:OOF225"/>
    <mergeCell ref="OOG225:OOL225"/>
    <mergeCell ref="OOM225:OOR225"/>
    <mergeCell ref="OOS225:OOX225"/>
    <mergeCell ref="OOY225:OPD225"/>
    <mergeCell ref="OPE225:OPJ225"/>
    <mergeCell ref="OPK225:OPP225"/>
    <mergeCell ref="OPQ225:OPV225"/>
    <mergeCell ref="OLS225:OLX225"/>
    <mergeCell ref="OLY225:OMD225"/>
    <mergeCell ref="OME225:OMJ225"/>
    <mergeCell ref="OMK225:OMP225"/>
    <mergeCell ref="OMQ225:OMV225"/>
    <mergeCell ref="OMW225:ONB225"/>
    <mergeCell ref="ONC225:ONH225"/>
    <mergeCell ref="ONI225:ONN225"/>
    <mergeCell ref="ONO225:ONT225"/>
    <mergeCell ref="ORY225:OSD225"/>
    <mergeCell ref="OSE225:OSJ225"/>
    <mergeCell ref="OSK225:OSP225"/>
    <mergeCell ref="OSQ225:OSV225"/>
    <mergeCell ref="OSW225:OTB225"/>
    <mergeCell ref="OTC225:OTH225"/>
    <mergeCell ref="OTI225:OTN225"/>
    <mergeCell ref="OTO225:OTT225"/>
    <mergeCell ref="OTU225:OTZ225"/>
    <mergeCell ref="OPW225:OQB225"/>
    <mergeCell ref="OQC225:OQH225"/>
    <mergeCell ref="OQI225:OQN225"/>
    <mergeCell ref="OQO225:OQT225"/>
    <mergeCell ref="OQU225:OQZ225"/>
    <mergeCell ref="ORA225:ORF225"/>
    <mergeCell ref="ORG225:ORL225"/>
    <mergeCell ref="ORM225:ORR225"/>
    <mergeCell ref="ORS225:ORX225"/>
    <mergeCell ref="OWC225:OWH225"/>
    <mergeCell ref="OWI225:OWN225"/>
    <mergeCell ref="OWO225:OWT225"/>
    <mergeCell ref="OWU225:OWZ225"/>
    <mergeCell ref="OXA225:OXF225"/>
    <mergeCell ref="OXG225:OXL225"/>
    <mergeCell ref="OXM225:OXR225"/>
    <mergeCell ref="OXS225:OXX225"/>
    <mergeCell ref="OXY225:OYD225"/>
    <mergeCell ref="OUA225:OUF225"/>
    <mergeCell ref="OUG225:OUL225"/>
    <mergeCell ref="OUM225:OUR225"/>
    <mergeCell ref="OUS225:OUX225"/>
    <mergeCell ref="OUY225:OVD225"/>
    <mergeCell ref="OVE225:OVJ225"/>
    <mergeCell ref="OVK225:OVP225"/>
    <mergeCell ref="OVQ225:OVV225"/>
    <mergeCell ref="OVW225:OWB225"/>
    <mergeCell ref="PAG225:PAL225"/>
    <mergeCell ref="PAM225:PAR225"/>
    <mergeCell ref="PAS225:PAX225"/>
    <mergeCell ref="PAY225:PBD225"/>
    <mergeCell ref="PBE225:PBJ225"/>
    <mergeCell ref="PBK225:PBP225"/>
    <mergeCell ref="PBQ225:PBV225"/>
    <mergeCell ref="PBW225:PCB225"/>
    <mergeCell ref="PCC225:PCH225"/>
    <mergeCell ref="OYE225:OYJ225"/>
    <mergeCell ref="OYK225:OYP225"/>
    <mergeCell ref="OYQ225:OYV225"/>
    <mergeCell ref="OYW225:OZB225"/>
    <mergeCell ref="OZC225:OZH225"/>
    <mergeCell ref="OZI225:OZN225"/>
    <mergeCell ref="OZO225:OZT225"/>
    <mergeCell ref="OZU225:OZZ225"/>
    <mergeCell ref="PAA225:PAF225"/>
    <mergeCell ref="PEK225:PEP225"/>
    <mergeCell ref="PEQ225:PEV225"/>
    <mergeCell ref="PEW225:PFB225"/>
    <mergeCell ref="PFC225:PFH225"/>
    <mergeCell ref="PFI225:PFN225"/>
    <mergeCell ref="PFO225:PFT225"/>
    <mergeCell ref="PFU225:PFZ225"/>
    <mergeCell ref="PGA225:PGF225"/>
    <mergeCell ref="PGG225:PGL225"/>
    <mergeCell ref="PCI225:PCN225"/>
    <mergeCell ref="PCO225:PCT225"/>
    <mergeCell ref="PCU225:PCZ225"/>
    <mergeCell ref="PDA225:PDF225"/>
    <mergeCell ref="PDG225:PDL225"/>
    <mergeCell ref="PDM225:PDR225"/>
    <mergeCell ref="PDS225:PDX225"/>
    <mergeCell ref="PDY225:PED225"/>
    <mergeCell ref="PEE225:PEJ225"/>
    <mergeCell ref="PIO225:PIT225"/>
    <mergeCell ref="PIU225:PIZ225"/>
    <mergeCell ref="PJA225:PJF225"/>
    <mergeCell ref="PJG225:PJL225"/>
    <mergeCell ref="PJM225:PJR225"/>
    <mergeCell ref="PJS225:PJX225"/>
    <mergeCell ref="PJY225:PKD225"/>
    <mergeCell ref="PKE225:PKJ225"/>
    <mergeCell ref="PKK225:PKP225"/>
    <mergeCell ref="PGM225:PGR225"/>
    <mergeCell ref="PGS225:PGX225"/>
    <mergeCell ref="PGY225:PHD225"/>
    <mergeCell ref="PHE225:PHJ225"/>
    <mergeCell ref="PHK225:PHP225"/>
    <mergeCell ref="PHQ225:PHV225"/>
    <mergeCell ref="PHW225:PIB225"/>
    <mergeCell ref="PIC225:PIH225"/>
    <mergeCell ref="PII225:PIN225"/>
    <mergeCell ref="PMS225:PMX225"/>
    <mergeCell ref="PMY225:PND225"/>
    <mergeCell ref="PNE225:PNJ225"/>
    <mergeCell ref="PNK225:PNP225"/>
    <mergeCell ref="PNQ225:PNV225"/>
    <mergeCell ref="PNW225:POB225"/>
    <mergeCell ref="POC225:POH225"/>
    <mergeCell ref="POI225:PON225"/>
    <mergeCell ref="POO225:POT225"/>
    <mergeCell ref="PKQ225:PKV225"/>
    <mergeCell ref="PKW225:PLB225"/>
    <mergeCell ref="PLC225:PLH225"/>
    <mergeCell ref="PLI225:PLN225"/>
    <mergeCell ref="PLO225:PLT225"/>
    <mergeCell ref="PLU225:PLZ225"/>
    <mergeCell ref="PMA225:PMF225"/>
    <mergeCell ref="PMG225:PML225"/>
    <mergeCell ref="PMM225:PMR225"/>
    <mergeCell ref="PQW225:PRB225"/>
    <mergeCell ref="PRC225:PRH225"/>
    <mergeCell ref="PRI225:PRN225"/>
    <mergeCell ref="PRO225:PRT225"/>
    <mergeCell ref="PRU225:PRZ225"/>
    <mergeCell ref="PSA225:PSF225"/>
    <mergeCell ref="PSG225:PSL225"/>
    <mergeCell ref="PSM225:PSR225"/>
    <mergeCell ref="PSS225:PSX225"/>
    <mergeCell ref="POU225:POZ225"/>
    <mergeCell ref="PPA225:PPF225"/>
    <mergeCell ref="PPG225:PPL225"/>
    <mergeCell ref="PPM225:PPR225"/>
    <mergeCell ref="PPS225:PPX225"/>
    <mergeCell ref="PPY225:PQD225"/>
    <mergeCell ref="PQE225:PQJ225"/>
    <mergeCell ref="PQK225:PQP225"/>
    <mergeCell ref="PQQ225:PQV225"/>
    <mergeCell ref="PVA225:PVF225"/>
    <mergeCell ref="PVG225:PVL225"/>
    <mergeCell ref="PVM225:PVR225"/>
    <mergeCell ref="PVS225:PVX225"/>
    <mergeCell ref="PVY225:PWD225"/>
    <mergeCell ref="PWE225:PWJ225"/>
    <mergeCell ref="PWK225:PWP225"/>
    <mergeCell ref="PWQ225:PWV225"/>
    <mergeCell ref="PWW225:PXB225"/>
    <mergeCell ref="PSY225:PTD225"/>
    <mergeCell ref="PTE225:PTJ225"/>
    <mergeCell ref="PTK225:PTP225"/>
    <mergeCell ref="PTQ225:PTV225"/>
    <mergeCell ref="PTW225:PUB225"/>
    <mergeCell ref="PUC225:PUH225"/>
    <mergeCell ref="PUI225:PUN225"/>
    <mergeCell ref="PUO225:PUT225"/>
    <mergeCell ref="PUU225:PUZ225"/>
    <mergeCell ref="PZE225:PZJ225"/>
    <mergeCell ref="PZK225:PZP225"/>
    <mergeCell ref="PZQ225:PZV225"/>
    <mergeCell ref="PZW225:QAB225"/>
    <mergeCell ref="QAC225:QAH225"/>
    <mergeCell ref="QAI225:QAN225"/>
    <mergeCell ref="QAO225:QAT225"/>
    <mergeCell ref="QAU225:QAZ225"/>
    <mergeCell ref="QBA225:QBF225"/>
    <mergeCell ref="PXC225:PXH225"/>
    <mergeCell ref="PXI225:PXN225"/>
    <mergeCell ref="PXO225:PXT225"/>
    <mergeCell ref="PXU225:PXZ225"/>
    <mergeCell ref="PYA225:PYF225"/>
    <mergeCell ref="PYG225:PYL225"/>
    <mergeCell ref="PYM225:PYR225"/>
    <mergeCell ref="PYS225:PYX225"/>
    <mergeCell ref="PYY225:PZD225"/>
    <mergeCell ref="QDI225:QDN225"/>
    <mergeCell ref="QDO225:QDT225"/>
    <mergeCell ref="QDU225:QDZ225"/>
    <mergeCell ref="QEA225:QEF225"/>
    <mergeCell ref="QEG225:QEL225"/>
    <mergeCell ref="QEM225:QER225"/>
    <mergeCell ref="QES225:QEX225"/>
    <mergeCell ref="QEY225:QFD225"/>
    <mergeCell ref="QFE225:QFJ225"/>
    <mergeCell ref="QBG225:QBL225"/>
    <mergeCell ref="QBM225:QBR225"/>
    <mergeCell ref="QBS225:QBX225"/>
    <mergeCell ref="QBY225:QCD225"/>
    <mergeCell ref="QCE225:QCJ225"/>
    <mergeCell ref="QCK225:QCP225"/>
    <mergeCell ref="QCQ225:QCV225"/>
    <mergeCell ref="QCW225:QDB225"/>
    <mergeCell ref="QDC225:QDH225"/>
    <mergeCell ref="QHM225:QHR225"/>
    <mergeCell ref="QHS225:QHX225"/>
    <mergeCell ref="QHY225:QID225"/>
    <mergeCell ref="QIE225:QIJ225"/>
    <mergeCell ref="QIK225:QIP225"/>
    <mergeCell ref="QIQ225:QIV225"/>
    <mergeCell ref="QIW225:QJB225"/>
    <mergeCell ref="QJC225:QJH225"/>
    <mergeCell ref="QJI225:QJN225"/>
    <mergeCell ref="QFK225:QFP225"/>
    <mergeCell ref="QFQ225:QFV225"/>
    <mergeCell ref="QFW225:QGB225"/>
    <mergeCell ref="QGC225:QGH225"/>
    <mergeCell ref="QGI225:QGN225"/>
    <mergeCell ref="QGO225:QGT225"/>
    <mergeCell ref="QGU225:QGZ225"/>
    <mergeCell ref="QHA225:QHF225"/>
    <mergeCell ref="QHG225:QHL225"/>
    <mergeCell ref="QLQ225:QLV225"/>
    <mergeCell ref="QLW225:QMB225"/>
    <mergeCell ref="QMC225:QMH225"/>
    <mergeCell ref="QMI225:QMN225"/>
    <mergeCell ref="QMO225:QMT225"/>
    <mergeCell ref="QMU225:QMZ225"/>
    <mergeCell ref="QNA225:QNF225"/>
    <mergeCell ref="QNG225:QNL225"/>
    <mergeCell ref="QNM225:QNR225"/>
    <mergeCell ref="QJO225:QJT225"/>
    <mergeCell ref="QJU225:QJZ225"/>
    <mergeCell ref="QKA225:QKF225"/>
    <mergeCell ref="QKG225:QKL225"/>
    <mergeCell ref="QKM225:QKR225"/>
    <mergeCell ref="QKS225:QKX225"/>
    <mergeCell ref="QKY225:QLD225"/>
    <mergeCell ref="QLE225:QLJ225"/>
    <mergeCell ref="QLK225:QLP225"/>
    <mergeCell ref="QPU225:QPZ225"/>
    <mergeCell ref="QQA225:QQF225"/>
    <mergeCell ref="QQG225:QQL225"/>
    <mergeCell ref="QQM225:QQR225"/>
    <mergeCell ref="QQS225:QQX225"/>
    <mergeCell ref="QQY225:QRD225"/>
    <mergeCell ref="QRE225:QRJ225"/>
    <mergeCell ref="QRK225:QRP225"/>
    <mergeCell ref="QRQ225:QRV225"/>
    <mergeCell ref="QNS225:QNX225"/>
    <mergeCell ref="QNY225:QOD225"/>
    <mergeCell ref="QOE225:QOJ225"/>
    <mergeCell ref="QOK225:QOP225"/>
    <mergeCell ref="QOQ225:QOV225"/>
    <mergeCell ref="QOW225:QPB225"/>
    <mergeCell ref="QPC225:QPH225"/>
    <mergeCell ref="QPI225:QPN225"/>
    <mergeCell ref="QPO225:QPT225"/>
    <mergeCell ref="QTY225:QUD225"/>
    <mergeCell ref="QUE225:QUJ225"/>
    <mergeCell ref="QUK225:QUP225"/>
    <mergeCell ref="QUQ225:QUV225"/>
    <mergeCell ref="QUW225:QVB225"/>
    <mergeCell ref="QVC225:QVH225"/>
    <mergeCell ref="QVI225:QVN225"/>
    <mergeCell ref="QVO225:QVT225"/>
    <mergeCell ref="QVU225:QVZ225"/>
    <mergeCell ref="QRW225:QSB225"/>
    <mergeCell ref="QSC225:QSH225"/>
    <mergeCell ref="QSI225:QSN225"/>
    <mergeCell ref="QSO225:QST225"/>
    <mergeCell ref="QSU225:QSZ225"/>
    <mergeCell ref="QTA225:QTF225"/>
    <mergeCell ref="QTG225:QTL225"/>
    <mergeCell ref="QTM225:QTR225"/>
    <mergeCell ref="QTS225:QTX225"/>
    <mergeCell ref="QYC225:QYH225"/>
    <mergeCell ref="QYI225:QYN225"/>
    <mergeCell ref="QYO225:QYT225"/>
    <mergeCell ref="QYU225:QYZ225"/>
    <mergeCell ref="QZA225:QZF225"/>
    <mergeCell ref="QZG225:QZL225"/>
    <mergeCell ref="QZM225:QZR225"/>
    <mergeCell ref="QZS225:QZX225"/>
    <mergeCell ref="QZY225:RAD225"/>
    <mergeCell ref="QWA225:QWF225"/>
    <mergeCell ref="QWG225:QWL225"/>
    <mergeCell ref="QWM225:QWR225"/>
    <mergeCell ref="QWS225:QWX225"/>
    <mergeCell ref="QWY225:QXD225"/>
    <mergeCell ref="QXE225:QXJ225"/>
    <mergeCell ref="QXK225:QXP225"/>
    <mergeCell ref="QXQ225:QXV225"/>
    <mergeCell ref="QXW225:QYB225"/>
    <mergeCell ref="RCG225:RCL225"/>
    <mergeCell ref="RCM225:RCR225"/>
    <mergeCell ref="RCS225:RCX225"/>
    <mergeCell ref="RCY225:RDD225"/>
    <mergeCell ref="RDE225:RDJ225"/>
    <mergeCell ref="RDK225:RDP225"/>
    <mergeCell ref="RDQ225:RDV225"/>
    <mergeCell ref="RDW225:REB225"/>
    <mergeCell ref="REC225:REH225"/>
    <mergeCell ref="RAE225:RAJ225"/>
    <mergeCell ref="RAK225:RAP225"/>
    <mergeCell ref="RAQ225:RAV225"/>
    <mergeCell ref="RAW225:RBB225"/>
    <mergeCell ref="RBC225:RBH225"/>
    <mergeCell ref="RBI225:RBN225"/>
    <mergeCell ref="RBO225:RBT225"/>
    <mergeCell ref="RBU225:RBZ225"/>
    <mergeCell ref="RCA225:RCF225"/>
    <mergeCell ref="RGK225:RGP225"/>
    <mergeCell ref="RGQ225:RGV225"/>
    <mergeCell ref="RGW225:RHB225"/>
    <mergeCell ref="RHC225:RHH225"/>
    <mergeCell ref="RHI225:RHN225"/>
    <mergeCell ref="RHO225:RHT225"/>
    <mergeCell ref="RHU225:RHZ225"/>
    <mergeCell ref="RIA225:RIF225"/>
    <mergeCell ref="RIG225:RIL225"/>
    <mergeCell ref="REI225:REN225"/>
    <mergeCell ref="REO225:RET225"/>
    <mergeCell ref="REU225:REZ225"/>
    <mergeCell ref="RFA225:RFF225"/>
    <mergeCell ref="RFG225:RFL225"/>
    <mergeCell ref="RFM225:RFR225"/>
    <mergeCell ref="RFS225:RFX225"/>
    <mergeCell ref="RFY225:RGD225"/>
    <mergeCell ref="RGE225:RGJ225"/>
    <mergeCell ref="RKO225:RKT225"/>
    <mergeCell ref="RKU225:RKZ225"/>
    <mergeCell ref="RLA225:RLF225"/>
    <mergeCell ref="RLG225:RLL225"/>
    <mergeCell ref="RLM225:RLR225"/>
    <mergeCell ref="RLS225:RLX225"/>
    <mergeCell ref="RLY225:RMD225"/>
    <mergeCell ref="RME225:RMJ225"/>
    <mergeCell ref="RMK225:RMP225"/>
    <mergeCell ref="RIM225:RIR225"/>
    <mergeCell ref="RIS225:RIX225"/>
    <mergeCell ref="RIY225:RJD225"/>
    <mergeCell ref="RJE225:RJJ225"/>
    <mergeCell ref="RJK225:RJP225"/>
    <mergeCell ref="RJQ225:RJV225"/>
    <mergeCell ref="RJW225:RKB225"/>
    <mergeCell ref="RKC225:RKH225"/>
    <mergeCell ref="RKI225:RKN225"/>
    <mergeCell ref="ROS225:ROX225"/>
    <mergeCell ref="ROY225:RPD225"/>
    <mergeCell ref="RPE225:RPJ225"/>
    <mergeCell ref="RPK225:RPP225"/>
    <mergeCell ref="RPQ225:RPV225"/>
    <mergeCell ref="RPW225:RQB225"/>
    <mergeCell ref="RQC225:RQH225"/>
    <mergeCell ref="RQI225:RQN225"/>
    <mergeCell ref="RQO225:RQT225"/>
    <mergeCell ref="RMQ225:RMV225"/>
    <mergeCell ref="RMW225:RNB225"/>
    <mergeCell ref="RNC225:RNH225"/>
    <mergeCell ref="RNI225:RNN225"/>
    <mergeCell ref="RNO225:RNT225"/>
    <mergeCell ref="RNU225:RNZ225"/>
    <mergeCell ref="ROA225:ROF225"/>
    <mergeCell ref="ROG225:ROL225"/>
    <mergeCell ref="ROM225:ROR225"/>
    <mergeCell ref="RSW225:RTB225"/>
    <mergeCell ref="RTC225:RTH225"/>
    <mergeCell ref="RTI225:RTN225"/>
    <mergeCell ref="RTO225:RTT225"/>
    <mergeCell ref="RTU225:RTZ225"/>
    <mergeCell ref="RUA225:RUF225"/>
    <mergeCell ref="RUG225:RUL225"/>
    <mergeCell ref="RUM225:RUR225"/>
    <mergeCell ref="RUS225:RUX225"/>
    <mergeCell ref="RQU225:RQZ225"/>
    <mergeCell ref="RRA225:RRF225"/>
    <mergeCell ref="RRG225:RRL225"/>
    <mergeCell ref="RRM225:RRR225"/>
    <mergeCell ref="RRS225:RRX225"/>
    <mergeCell ref="RRY225:RSD225"/>
    <mergeCell ref="RSE225:RSJ225"/>
    <mergeCell ref="RSK225:RSP225"/>
    <mergeCell ref="RSQ225:RSV225"/>
    <mergeCell ref="RXA225:RXF225"/>
    <mergeCell ref="RXG225:RXL225"/>
    <mergeCell ref="RXM225:RXR225"/>
    <mergeCell ref="RXS225:RXX225"/>
    <mergeCell ref="RXY225:RYD225"/>
    <mergeCell ref="RYE225:RYJ225"/>
    <mergeCell ref="RYK225:RYP225"/>
    <mergeCell ref="RYQ225:RYV225"/>
    <mergeCell ref="RYW225:RZB225"/>
    <mergeCell ref="RUY225:RVD225"/>
    <mergeCell ref="RVE225:RVJ225"/>
    <mergeCell ref="RVK225:RVP225"/>
    <mergeCell ref="RVQ225:RVV225"/>
    <mergeCell ref="RVW225:RWB225"/>
    <mergeCell ref="RWC225:RWH225"/>
    <mergeCell ref="RWI225:RWN225"/>
    <mergeCell ref="RWO225:RWT225"/>
    <mergeCell ref="RWU225:RWZ225"/>
    <mergeCell ref="SBE225:SBJ225"/>
    <mergeCell ref="SBK225:SBP225"/>
    <mergeCell ref="SBQ225:SBV225"/>
    <mergeCell ref="SBW225:SCB225"/>
    <mergeCell ref="SCC225:SCH225"/>
    <mergeCell ref="SCI225:SCN225"/>
    <mergeCell ref="SCO225:SCT225"/>
    <mergeCell ref="SCU225:SCZ225"/>
    <mergeCell ref="SDA225:SDF225"/>
    <mergeCell ref="RZC225:RZH225"/>
    <mergeCell ref="RZI225:RZN225"/>
    <mergeCell ref="RZO225:RZT225"/>
    <mergeCell ref="RZU225:RZZ225"/>
    <mergeCell ref="SAA225:SAF225"/>
    <mergeCell ref="SAG225:SAL225"/>
    <mergeCell ref="SAM225:SAR225"/>
    <mergeCell ref="SAS225:SAX225"/>
    <mergeCell ref="SAY225:SBD225"/>
    <mergeCell ref="SFI225:SFN225"/>
    <mergeCell ref="SFO225:SFT225"/>
    <mergeCell ref="SFU225:SFZ225"/>
    <mergeCell ref="SGA225:SGF225"/>
    <mergeCell ref="SGG225:SGL225"/>
    <mergeCell ref="SGM225:SGR225"/>
    <mergeCell ref="SGS225:SGX225"/>
    <mergeCell ref="SGY225:SHD225"/>
    <mergeCell ref="SHE225:SHJ225"/>
    <mergeCell ref="SDG225:SDL225"/>
    <mergeCell ref="SDM225:SDR225"/>
    <mergeCell ref="SDS225:SDX225"/>
    <mergeCell ref="SDY225:SED225"/>
    <mergeCell ref="SEE225:SEJ225"/>
    <mergeCell ref="SEK225:SEP225"/>
    <mergeCell ref="SEQ225:SEV225"/>
    <mergeCell ref="SEW225:SFB225"/>
    <mergeCell ref="SFC225:SFH225"/>
    <mergeCell ref="SJM225:SJR225"/>
    <mergeCell ref="SJS225:SJX225"/>
    <mergeCell ref="SJY225:SKD225"/>
    <mergeCell ref="SKE225:SKJ225"/>
    <mergeCell ref="SKK225:SKP225"/>
    <mergeCell ref="SKQ225:SKV225"/>
    <mergeCell ref="SKW225:SLB225"/>
    <mergeCell ref="SLC225:SLH225"/>
    <mergeCell ref="SLI225:SLN225"/>
    <mergeCell ref="SHK225:SHP225"/>
    <mergeCell ref="SHQ225:SHV225"/>
    <mergeCell ref="SHW225:SIB225"/>
    <mergeCell ref="SIC225:SIH225"/>
    <mergeCell ref="SII225:SIN225"/>
    <mergeCell ref="SIO225:SIT225"/>
    <mergeCell ref="SIU225:SIZ225"/>
    <mergeCell ref="SJA225:SJF225"/>
    <mergeCell ref="SJG225:SJL225"/>
    <mergeCell ref="SNQ225:SNV225"/>
    <mergeCell ref="SNW225:SOB225"/>
    <mergeCell ref="SOC225:SOH225"/>
    <mergeCell ref="SOI225:SON225"/>
    <mergeCell ref="SOO225:SOT225"/>
    <mergeCell ref="SOU225:SOZ225"/>
    <mergeCell ref="SPA225:SPF225"/>
    <mergeCell ref="SPG225:SPL225"/>
    <mergeCell ref="SPM225:SPR225"/>
    <mergeCell ref="SLO225:SLT225"/>
    <mergeCell ref="SLU225:SLZ225"/>
    <mergeCell ref="SMA225:SMF225"/>
    <mergeCell ref="SMG225:SML225"/>
    <mergeCell ref="SMM225:SMR225"/>
    <mergeCell ref="SMS225:SMX225"/>
    <mergeCell ref="SMY225:SND225"/>
    <mergeCell ref="SNE225:SNJ225"/>
    <mergeCell ref="SNK225:SNP225"/>
    <mergeCell ref="SRU225:SRZ225"/>
    <mergeCell ref="SSA225:SSF225"/>
    <mergeCell ref="SSG225:SSL225"/>
    <mergeCell ref="SSM225:SSR225"/>
    <mergeCell ref="SSS225:SSX225"/>
    <mergeCell ref="SSY225:STD225"/>
    <mergeCell ref="STE225:STJ225"/>
    <mergeCell ref="STK225:STP225"/>
    <mergeCell ref="STQ225:STV225"/>
    <mergeCell ref="SPS225:SPX225"/>
    <mergeCell ref="SPY225:SQD225"/>
    <mergeCell ref="SQE225:SQJ225"/>
    <mergeCell ref="SQK225:SQP225"/>
    <mergeCell ref="SQQ225:SQV225"/>
    <mergeCell ref="SQW225:SRB225"/>
    <mergeCell ref="SRC225:SRH225"/>
    <mergeCell ref="SRI225:SRN225"/>
    <mergeCell ref="SRO225:SRT225"/>
    <mergeCell ref="SVY225:SWD225"/>
    <mergeCell ref="SWE225:SWJ225"/>
    <mergeCell ref="SWK225:SWP225"/>
    <mergeCell ref="SWQ225:SWV225"/>
    <mergeCell ref="SWW225:SXB225"/>
    <mergeCell ref="SXC225:SXH225"/>
    <mergeCell ref="SXI225:SXN225"/>
    <mergeCell ref="SXO225:SXT225"/>
    <mergeCell ref="SXU225:SXZ225"/>
    <mergeCell ref="STW225:SUB225"/>
    <mergeCell ref="SUC225:SUH225"/>
    <mergeCell ref="SUI225:SUN225"/>
    <mergeCell ref="SUO225:SUT225"/>
    <mergeCell ref="SUU225:SUZ225"/>
    <mergeCell ref="SVA225:SVF225"/>
    <mergeCell ref="SVG225:SVL225"/>
    <mergeCell ref="SVM225:SVR225"/>
    <mergeCell ref="SVS225:SVX225"/>
    <mergeCell ref="TAC225:TAH225"/>
    <mergeCell ref="TAI225:TAN225"/>
    <mergeCell ref="TAO225:TAT225"/>
    <mergeCell ref="TAU225:TAZ225"/>
    <mergeCell ref="TBA225:TBF225"/>
    <mergeCell ref="TBG225:TBL225"/>
    <mergeCell ref="TBM225:TBR225"/>
    <mergeCell ref="TBS225:TBX225"/>
    <mergeCell ref="TBY225:TCD225"/>
    <mergeCell ref="SYA225:SYF225"/>
    <mergeCell ref="SYG225:SYL225"/>
    <mergeCell ref="SYM225:SYR225"/>
    <mergeCell ref="SYS225:SYX225"/>
    <mergeCell ref="SYY225:SZD225"/>
    <mergeCell ref="SZE225:SZJ225"/>
    <mergeCell ref="SZK225:SZP225"/>
    <mergeCell ref="SZQ225:SZV225"/>
    <mergeCell ref="SZW225:TAB225"/>
    <mergeCell ref="TEG225:TEL225"/>
    <mergeCell ref="TEM225:TER225"/>
    <mergeCell ref="TES225:TEX225"/>
    <mergeCell ref="TEY225:TFD225"/>
    <mergeCell ref="TFE225:TFJ225"/>
    <mergeCell ref="TFK225:TFP225"/>
    <mergeCell ref="TFQ225:TFV225"/>
    <mergeCell ref="TFW225:TGB225"/>
    <mergeCell ref="TGC225:TGH225"/>
    <mergeCell ref="TCE225:TCJ225"/>
    <mergeCell ref="TCK225:TCP225"/>
    <mergeCell ref="TCQ225:TCV225"/>
    <mergeCell ref="TCW225:TDB225"/>
    <mergeCell ref="TDC225:TDH225"/>
    <mergeCell ref="TDI225:TDN225"/>
    <mergeCell ref="TDO225:TDT225"/>
    <mergeCell ref="TDU225:TDZ225"/>
    <mergeCell ref="TEA225:TEF225"/>
    <mergeCell ref="TIK225:TIP225"/>
    <mergeCell ref="TIQ225:TIV225"/>
    <mergeCell ref="TIW225:TJB225"/>
    <mergeCell ref="TJC225:TJH225"/>
    <mergeCell ref="TJI225:TJN225"/>
    <mergeCell ref="TJO225:TJT225"/>
    <mergeCell ref="TJU225:TJZ225"/>
    <mergeCell ref="TKA225:TKF225"/>
    <mergeCell ref="TKG225:TKL225"/>
    <mergeCell ref="TGI225:TGN225"/>
    <mergeCell ref="TGO225:TGT225"/>
    <mergeCell ref="TGU225:TGZ225"/>
    <mergeCell ref="THA225:THF225"/>
    <mergeCell ref="THG225:THL225"/>
    <mergeCell ref="THM225:THR225"/>
    <mergeCell ref="THS225:THX225"/>
    <mergeCell ref="THY225:TID225"/>
    <mergeCell ref="TIE225:TIJ225"/>
    <mergeCell ref="TMO225:TMT225"/>
    <mergeCell ref="TMU225:TMZ225"/>
    <mergeCell ref="TNA225:TNF225"/>
    <mergeCell ref="TNG225:TNL225"/>
    <mergeCell ref="TNM225:TNR225"/>
    <mergeCell ref="TNS225:TNX225"/>
    <mergeCell ref="TNY225:TOD225"/>
    <mergeCell ref="TOE225:TOJ225"/>
    <mergeCell ref="TOK225:TOP225"/>
    <mergeCell ref="TKM225:TKR225"/>
    <mergeCell ref="TKS225:TKX225"/>
    <mergeCell ref="TKY225:TLD225"/>
    <mergeCell ref="TLE225:TLJ225"/>
    <mergeCell ref="TLK225:TLP225"/>
    <mergeCell ref="TLQ225:TLV225"/>
    <mergeCell ref="TLW225:TMB225"/>
    <mergeCell ref="TMC225:TMH225"/>
    <mergeCell ref="TMI225:TMN225"/>
    <mergeCell ref="TQS225:TQX225"/>
    <mergeCell ref="TQY225:TRD225"/>
    <mergeCell ref="TRE225:TRJ225"/>
    <mergeCell ref="TRK225:TRP225"/>
    <mergeCell ref="TRQ225:TRV225"/>
    <mergeCell ref="TRW225:TSB225"/>
    <mergeCell ref="TSC225:TSH225"/>
    <mergeCell ref="TSI225:TSN225"/>
    <mergeCell ref="TSO225:TST225"/>
    <mergeCell ref="TOQ225:TOV225"/>
    <mergeCell ref="TOW225:TPB225"/>
    <mergeCell ref="TPC225:TPH225"/>
    <mergeCell ref="TPI225:TPN225"/>
    <mergeCell ref="TPO225:TPT225"/>
    <mergeCell ref="TPU225:TPZ225"/>
    <mergeCell ref="TQA225:TQF225"/>
    <mergeCell ref="TQG225:TQL225"/>
    <mergeCell ref="TQM225:TQR225"/>
    <mergeCell ref="TUW225:TVB225"/>
    <mergeCell ref="TVC225:TVH225"/>
    <mergeCell ref="TVI225:TVN225"/>
    <mergeCell ref="TVO225:TVT225"/>
    <mergeCell ref="TVU225:TVZ225"/>
    <mergeCell ref="TWA225:TWF225"/>
    <mergeCell ref="TWG225:TWL225"/>
    <mergeCell ref="TWM225:TWR225"/>
    <mergeCell ref="TWS225:TWX225"/>
    <mergeCell ref="TSU225:TSZ225"/>
    <mergeCell ref="TTA225:TTF225"/>
    <mergeCell ref="TTG225:TTL225"/>
    <mergeCell ref="TTM225:TTR225"/>
    <mergeCell ref="TTS225:TTX225"/>
    <mergeCell ref="TTY225:TUD225"/>
    <mergeCell ref="TUE225:TUJ225"/>
    <mergeCell ref="TUK225:TUP225"/>
    <mergeCell ref="TUQ225:TUV225"/>
    <mergeCell ref="TZA225:TZF225"/>
    <mergeCell ref="TZG225:TZL225"/>
    <mergeCell ref="TZM225:TZR225"/>
    <mergeCell ref="TZS225:TZX225"/>
    <mergeCell ref="TZY225:UAD225"/>
    <mergeCell ref="UAE225:UAJ225"/>
    <mergeCell ref="UAK225:UAP225"/>
    <mergeCell ref="UAQ225:UAV225"/>
    <mergeCell ref="UAW225:UBB225"/>
    <mergeCell ref="TWY225:TXD225"/>
    <mergeCell ref="TXE225:TXJ225"/>
    <mergeCell ref="TXK225:TXP225"/>
    <mergeCell ref="TXQ225:TXV225"/>
    <mergeCell ref="TXW225:TYB225"/>
    <mergeCell ref="TYC225:TYH225"/>
    <mergeCell ref="TYI225:TYN225"/>
    <mergeCell ref="TYO225:TYT225"/>
    <mergeCell ref="TYU225:TYZ225"/>
    <mergeCell ref="UDE225:UDJ225"/>
    <mergeCell ref="UDK225:UDP225"/>
    <mergeCell ref="UDQ225:UDV225"/>
    <mergeCell ref="UDW225:UEB225"/>
    <mergeCell ref="UEC225:UEH225"/>
    <mergeCell ref="UEI225:UEN225"/>
    <mergeCell ref="UEO225:UET225"/>
    <mergeCell ref="UEU225:UEZ225"/>
    <mergeCell ref="UFA225:UFF225"/>
    <mergeCell ref="UBC225:UBH225"/>
    <mergeCell ref="UBI225:UBN225"/>
    <mergeCell ref="UBO225:UBT225"/>
    <mergeCell ref="UBU225:UBZ225"/>
    <mergeCell ref="UCA225:UCF225"/>
    <mergeCell ref="UCG225:UCL225"/>
    <mergeCell ref="UCM225:UCR225"/>
    <mergeCell ref="UCS225:UCX225"/>
    <mergeCell ref="UCY225:UDD225"/>
    <mergeCell ref="UHI225:UHN225"/>
    <mergeCell ref="UHO225:UHT225"/>
    <mergeCell ref="UHU225:UHZ225"/>
    <mergeCell ref="UIA225:UIF225"/>
    <mergeCell ref="UIG225:UIL225"/>
    <mergeCell ref="UIM225:UIR225"/>
    <mergeCell ref="UIS225:UIX225"/>
    <mergeCell ref="UIY225:UJD225"/>
    <mergeCell ref="UJE225:UJJ225"/>
    <mergeCell ref="UFG225:UFL225"/>
    <mergeCell ref="UFM225:UFR225"/>
    <mergeCell ref="UFS225:UFX225"/>
    <mergeCell ref="UFY225:UGD225"/>
    <mergeCell ref="UGE225:UGJ225"/>
    <mergeCell ref="UGK225:UGP225"/>
    <mergeCell ref="UGQ225:UGV225"/>
    <mergeCell ref="UGW225:UHB225"/>
    <mergeCell ref="UHC225:UHH225"/>
    <mergeCell ref="ULM225:ULR225"/>
    <mergeCell ref="ULS225:ULX225"/>
    <mergeCell ref="ULY225:UMD225"/>
    <mergeCell ref="UME225:UMJ225"/>
    <mergeCell ref="UMK225:UMP225"/>
    <mergeCell ref="UMQ225:UMV225"/>
    <mergeCell ref="UMW225:UNB225"/>
    <mergeCell ref="UNC225:UNH225"/>
    <mergeCell ref="UNI225:UNN225"/>
    <mergeCell ref="UJK225:UJP225"/>
    <mergeCell ref="UJQ225:UJV225"/>
    <mergeCell ref="UJW225:UKB225"/>
    <mergeCell ref="UKC225:UKH225"/>
    <mergeCell ref="UKI225:UKN225"/>
    <mergeCell ref="UKO225:UKT225"/>
    <mergeCell ref="UKU225:UKZ225"/>
    <mergeCell ref="ULA225:ULF225"/>
    <mergeCell ref="ULG225:ULL225"/>
    <mergeCell ref="UPQ225:UPV225"/>
    <mergeCell ref="UPW225:UQB225"/>
    <mergeCell ref="UQC225:UQH225"/>
    <mergeCell ref="UQI225:UQN225"/>
    <mergeCell ref="UQO225:UQT225"/>
    <mergeCell ref="UQU225:UQZ225"/>
    <mergeCell ref="URA225:URF225"/>
    <mergeCell ref="URG225:URL225"/>
    <mergeCell ref="URM225:URR225"/>
    <mergeCell ref="UNO225:UNT225"/>
    <mergeCell ref="UNU225:UNZ225"/>
    <mergeCell ref="UOA225:UOF225"/>
    <mergeCell ref="UOG225:UOL225"/>
    <mergeCell ref="UOM225:UOR225"/>
    <mergeCell ref="UOS225:UOX225"/>
    <mergeCell ref="UOY225:UPD225"/>
    <mergeCell ref="UPE225:UPJ225"/>
    <mergeCell ref="UPK225:UPP225"/>
    <mergeCell ref="UTU225:UTZ225"/>
    <mergeCell ref="UUA225:UUF225"/>
    <mergeCell ref="UUG225:UUL225"/>
    <mergeCell ref="UUM225:UUR225"/>
    <mergeCell ref="UUS225:UUX225"/>
    <mergeCell ref="UUY225:UVD225"/>
    <mergeCell ref="UVE225:UVJ225"/>
    <mergeCell ref="UVK225:UVP225"/>
    <mergeCell ref="UVQ225:UVV225"/>
    <mergeCell ref="URS225:URX225"/>
    <mergeCell ref="URY225:USD225"/>
    <mergeCell ref="USE225:USJ225"/>
    <mergeCell ref="USK225:USP225"/>
    <mergeCell ref="USQ225:USV225"/>
    <mergeCell ref="USW225:UTB225"/>
    <mergeCell ref="UTC225:UTH225"/>
    <mergeCell ref="UTI225:UTN225"/>
    <mergeCell ref="UTO225:UTT225"/>
    <mergeCell ref="UXY225:UYD225"/>
    <mergeCell ref="UYE225:UYJ225"/>
    <mergeCell ref="UYK225:UYP225"/>
    <mergeCell ref="UYQ225:UYV225"/>
    <mergeCell ref="UYW225:UZB225"/>
    <mergeCell ref="UZC225:UZH225"/>
    <mergeCell ref="UZI225:UZN225"/>
    <mergeCell ref="UZO225:UZT225"/>
    <mergeCell ref="UZU225:UZZ225"/>
    <mergeCell ref="UVW225:UWB225"/>
    <mergeCell ref="UWC225:UWH225"/>
    <mergeCell ref="UWI225:UWN225"/>
    <mergeCell ref="UWO225:UWT225"/>
    <mergeCell ref="UWU225:UWZ225"/>
    <mergeCell ref="UXA225:UXF225"/>
    <mergeCell ref="UXG225:UXL225"/>
    <mergeCell ref="UXM225:UXR225"/>
    <mergeCell ref="UXS225:UXX225"/>
    <mergeCell ref="VCC225:VCH225"/>
    <mergeCell ref="VCI225:VCN225"/>
    <mergeCell ref="VCO225:VCT225"/>
    <mergeCell ref="VCU225:VCZ225"/>
    <mergeCell ref="VDA225:VDF225"/>
    <mergeCell ref="VDG225:VDL225"/>
    <mergeCell ref="VDM225:VDR225"/>
    <mergeCell ref="VDS225:VDX225"/>
    <mergeCell ref="VDY225:VED225"/>
    <mergeCell ref="VAA225:VAF225"/>
    <mergeCell ref="VAG225:VAL225"/>
    <mergeCell ref="VAM225:VAR225"/>
    <mergeCell ref="VAS225:VAX225"/>
    <mergeCell ref="VAY225:VBD225"/>
    <mergeCell ref="VBE225:VBJ225"/>
    <mergeCell ref="VBK225:VBP225"/>
    <mergeCell ref="VBQ225:VBV225"/>
    <mergeCell ref="VBW225:VCB225"/>
    <mergeCell ref="VGG225:VGL225"/>
    <mergeCell ref="VGM225:VGR225"/>
    <mergeCell ref="VGS225:VGX225"/>
    <mergeCell ref="VGY225:VHD225"/>
    <mergeCell ref="VHE225:VHJ225"/>
    <mergeCell ref="VHK225:VHP225"/>
    <mergeCell ref="VHQ225:VHV225"/>
    <mergeCell ref="VHW225:VIB225"/>
    <mergeCell ref="VIC225:VIH225"/>
    <mergeCell ref="VEE225:VEJ225"/>
    <mergeCell ref="VEK225:VEP225"/>
    <mergeCell ref="VEQ225:VEV225"/>
    <mergeCell ref="VEW225:VFB225"/>
    <mergeCell ref="VFC225:VFH225"/>
    <mergeCell ref="VFI225:VFN225"/>
    <mergeCell ref="VFO225:VFT225"/>
    <mergeCell ref="VFU225:VFZ225"/>
    <mergeCell ref="VGA225:VGF225"/>
    <mergeCell ref="VKK225:VKP225"/>
    <mergeCell ref="VKQ225:VKV225"/>
    <mergeCell ref="VKW225:VLB225"/>
    <mergeCell ref="VLC225:VLH225"/>
    <mergeCell ref="VLI225:VLN225"/>
    <mergeCell ref="VLO225:VLT225"/>
    <mergeCell ref="VLU225:VLZ225"/>
    <mergeCell ref="VMA225:VMF225"/>
    <mergeCell ref="VMG225:VML225"/>
    <mergeCell ref="VII225:VIN225"/>
    <mergeCell ref="VIO225:VIT225"/>
    <mergeCell ref="VIU225:VIZ225"/>
    <mergeCell ref="VJA225:VJF225"/>
    <mergeCell ref="VJG225:VJL225"/>
    <mergeCell ref="VJM225:VJR225"/>
    <mergeCell ref="VJS225:VJX225"/>
    <mergeCell ref="VJY225:VKD225"/>
    <mergeCell ref="VKE225:VKJ225"/>
    <mergeCell ref="VOO225:VOT225"/>
    <mergeCell ref="VOU225:VOZ225"/>
    <mergeCell ref="VPA225:VPF225"/>
    <mergeCell ref="VPG225:VPL225"/>
    <mergeCell ref="VPM225:VPR225"/>
    <mergeCell ref="VPS225:VPX225"/>
    <mergeCell ref="VPY225:VQD225"/>
    <mergeCell ref="VQE225:VQJ225"/>
    <mergeCell ref="VQK225:VQP225"/>
    <mergeCell ref="VMM225:VMR225"/>
    <mergeCell ref="VMS225:VMX225"/>
    <mergeCell ref="VMY225:VND225"/>
    <mergeCell ref="VNE225:VNJ225"/>
    <mergeCell ref="VNK225:VNP225"/>
    <mergeCell ref="VNQ225:VNV225"/>
    <mergeCell ref="VNW225:VOB225"/>
    <mergeCell ref="VOC225:VOH225"/>
    <mergeCell ref="VOI225:VON225"/>
    <mergeCell ref="VSS225:VSX225"/>
    <mergeCell ref="VSY225:VTD225"/>
    <mergeCell ref="VTE225:VTJ225"/>
    <mergeCell ref="VTK225:VTP225"/>
    <mergeCell ref="VTQ225:VTV225"/>
    <mergeCell ref="VTW225:VUB225"/>
    <mergeCell ref="VUC225:VUH225"/>
    <mergeCell ref="VUI225:VUN225"/>
    <mergeCell ref="VUO225:VUT225"/>
    <mergeCell ref="VQQ225:VQV225"/>
    <mergeCell ref="VQW225:VRB225"/>
    <mergeCell ref="VRC225:VRH225"/>
    <mergeCell ref="VRI225:VRN225"/>
    <mergeCell ref="VRO225:VRT225"/>
    <mergeCell ref="VRU225:VRZ225"/>
    <mergeCell ref="VSA225:VSF225"/>
    <mergeCell ref="VSG225:VSL225"/>
    <mergeCell ref="VSM225:VSR225"/>
    <mergeCell ref="VWW225:VXB225"/>
    <mergeCell ref="VXC225:VXH225"/>
    <mergeCell ref="VXI225:VXN225"/>
    <mergeCell ref="VXO225:VXT225"/>
    <mergeCell ref="VXU225:VXZ225"/>
    <mergeCell ref="VYA225:VYF225"/>
    <mergeCell ref="VYG225:VYL225"/>
    <mergeCell ref="VYM225:VYR225"/>
    <mergeCell ref="VYS225:VYX225"/>
    <mergeCell ref="VUU225:VUZ225"/>
    <mergeCell ref="VVA225:VVF225"/>
    <mergeCell ref="VVG225:VVL225"/>
    <mergeCell ref="VVM225:VVR225"/>
    <mergeCell ref="VVS225:VVX225"/>
    <mergeCell ref="VVY225:VWD225"/>
    <mergeCell ref="VWE225:VWJ225"/>
    <mergeCell ref="VWK225:VWP225"/>
    <mergeCell ref="VWQ225:VWV225"/>
    <mergeCell ref="WBA225:WBF225"/>
    <mergeCell ref="WBG225:WBL225"/>
    <mergeCell ref="WBM225:WBR225"/>
    <mergeCell ref="WBS225:WBX225"/>
    <mergeCell ref="WBY225:WCD225"/>
    <mergeCell ref="WCE225:WCJ225"/>
    <mergeCell ref="WCK225:WCP225"/>
    <mergeCell ref="WCQ225:WCV225"/>
    <mergeCell ref="WCW225:WDB225"/>
    <mergeCell ref="VYY225:VZD225"/>
    <mergeCell ref="VZE225:VZJ225"/>
    <mergeCell ref="VZK225:VZP225"/>
    <mergeCell ref="VZQ225:VZV225"/>
    <mergeCell ref="VZW225:WAB225"/>
    <mergeCell ref="WAC225:WAH225"/>
    <mergeCell ref="WAI225:WAN225"/>
    <mergeCell ref="WAO225:WAT225"/>
    <mergeCell ref="WAU225:WAZ225"/>
    <mergeCell ref="WFE225:WFJ225"/>
    <mergeCell ref="WFK225:WFP225"/>
    <mergeCell ref="WFQ225:WFV225"/>
    <mergeCell ref="WFW225:WGB225"/>
    <mergeCell ref="WGC225:WGH225"/>
    <mergeCell ref="WGI225:WGN225"/>
    <mergeCell ref="WGO225:WGT225"/>
    <mergeCell ref="WGU225:WGZ225"/>
    <mergeCell ref="WHA225:WHF225"/>
    <mergeCell ref="WDC225:WDH225"/>
    <mergeCell ref="WDI225:WDN225"/>
    <mergeCell ref="WDO225:WDT225"/>
    <mergeCell ref="WDU225:WDZ225"/>
    <mergeCell ref="WEA225:WEF225"/>
    <mergeCell ref="WEG225:WEL225"/>
    <mergeCell ref="WEM225:WER225"/>
    <mergeCell ref="WES225:WEX225"/>
    <mergeCell ref="WEY225:WFD225"/>
    <mergeCell ref="WJI225:WJN225"/>
    <mergeCell ref="WJO225:WJT225"/>
    <mergeCell ref="WJU225:WJZ225"/>
    <mergeCell ref="WKA225:WKF225"/>
    <mergeCell ref="WKG225:WKL225"/>
    <mergeCell ref="WKM225:WKR225"/>
    <mergeCell ref="WKS225:WKX225"/>
    <mergeCell ref="WKY225:WLD225"/>
    <mergeCell ref="WLE225:WLJ225"/>
    <mergeCell ref="WHG225:WHL225"/>
    <mergeCell ref="WHM225:WHR225"/>
    <mergeCell ref="WHS225:WHX225"/>
    <mergeCell ref="WHY225:WID225"/>
    <mergeCell ref="WIE225:WIJ225"/>
    <mergeCell ref="WIK225:WIP225"/>
    <mergeCell ref="WIQ225:WIV225"/>
    <mergeCell ref="WIW225:WJB225"/>
    <mergeCell ref="WJC225:WJH225"/>
    <mergeCell ref="WNM225:WNR225"/>
    <mergeCell ref="WNS225:WNX225"/>
    <mergeCell ref="WNY225:WOD225"/>
    <mergeCell ref="WOE225:WOJ225"/>
    <mergeCell ref="WOK225:WOP225"/>
    <mergeCell ref="WOQ225:WOV225"/>
    <mergeCell ref="WOW225:WPB225"/>
    <mergeCell ref="WPC225:WPH225"/>
    <mergeCell ref="WPI225:WPN225"/>
    <mergeCell ref="WLK225:WLP225"/>
    <mergeCell ref="WLQ225:WLV225"/>
    <mergeCell ref="WLW225:WMB225"/>
    <mergeCell ref="WMC225:WMH225"/>
    <mergeCell ref="WMI225:WMN225"/>
    <mergeCell ref="WMO225:WMT225"/>
    <mergeCell ref="WMU225:WMZ225"/>
    <mergeCell ref="WNA225:WNF225"/>
    <mergeCell ref="WNG225:WNL225"/>
    <mergeCell ref="WRQ225:WRV225"/>
    <mergeCell ref="WRW225:WSB225"/>
    <mergeCell ref="WSC225:WSH225"/>
    <mergeCell ref="WSI225:WSN225"/>
    <mergeCell ref="WSO225:WST225"/>
    <mergeCell ref="WSU225:WSZ225"/>
    <mergeCell ref="WTA225:WTF225"/>
    <mergeCell ref="WTG225:WTL225"/>
    <mergeCell ref="WTM225:WTR225"/>
    <mergeCell ref="WPO225:WPT225"/>
    <mergeCell ref="WPU225:WPZ225"/>
    <mergeCell ref="WQA225:WQF225"/>
    <mergeCell ref="WQG225:WQL225"/>
    <mergeCell ref="WQM225:WQR225"/>
    <mergeCell ref="WQS225:WQX225"/>
    <mergeCell ref="WQY225:WRD225"/>
    <mergeCell ref="WRE225:WRJ225"/>
    <mergeCell ref="WRK225:WRP225"/>
    <mergeCell ref="WZA225:WZF225"/>
    <mergeCell ref="WZG225:WZL225"/>
    <mergeCell ref="WZM225:WZR225"/>
    <mergeCell ref="WZS225:WZX225"/>
    <mergeCell ref="WVU225:WVZ225"/>
    <mergeCell ref="WWA225:WWF225"/>
    <mergeCell ref="WWG225:WWL225"/>
    <mergeCell ref="WWM225:WWR225"/>
    <mergeCell ref="WWS225:WWX225"/>
    <mergeCell ref="WWY225:WXD225"/>
    <mergeCell ref="WXE225:WXJ225"/>
    <mergeCell ref="WXK225:WXP225"/>
    <mergeCell ref="WXQ225:WXV225"/>
    <mergeCell ref="WTS225:WTX225"/>
    <mergeCell ref="WTY225:WUD225"/>
    <mergeCell ref="WUE225:WUJ225"/>
    <mergeCell ref="WUK225:WUP225"/>
    <mergeCell ref="WUQ225:WUV225"/>
    <mergeCell ref="WUW225:WVB225"/>
    <mergeCell ref="WVC225:WVH225"/>
    <mergeCell ref="WVI225:WVN225"/>
    <mergeCell ref="WVO225:WVT225"/>
    <mergeCell ref="D140:F140"/>
    <mergeCell ref="B143:C143"/>
    <mergeCell ref="D143:F143"/>
    <mergeCell ref="B144:C144"/>
    <mergeCell ref="XEC225:XEH225"/>
    <mergeCell ref="XEI225:XEN225"/>
    <mergeCell ref="XEO225:XET225"/>
    <mergeCell ref="XEU225:XEZ225"/>
    <mergeCell ref="XFA225:XFD225"/>
    <mergeCell ref="XCA225:XCF225"/>
    <mergeCell ref="XCG225:XCL225"/>
    <mergeCell ref="XCM225:XCR225"/>
    <mergeCell ref="XCS225:XCX225"/>
    <mergeCell ref="XCY225:XDD225"/>
    <mergeCell ref="XDE225:XDJ225"/>
    <mergeCell ref="XDK225:XDP225"/>
    <mergeCell ref="XDQ225:XDV225"/>
    <mergeCell ref="XDW225:XEB225"/>
    <mergeCell ref="WZY225:XAD225"/>
    <mergeCell ref="XAE225:XAJ225"/>
    <mergeCell ref="XAK225:XAP225"/>
    <mergeCell ref="XAQ225:XAV225"/>
    <mergeCell ref="XAW225:XBB225"/>
    <mergeCell ref="XBC225:XBH225"/>
    <mergeCell ref="XBI225:XBN225"/>
    <mergeCell ref="XBO225:XBT225"/>
    <mergeCell ref="XBU225:XBZ225"/>
    <mergeCell ref="WXW225:WYB225"/>
    <mergeCell ref="WYC225:WYH225"/>
    <mergeCell ref="WYI225:WYN225"/>
    <mergeCell ref="WYO225:WYT225"/>
    <mergeCell ref="WYU225:WYZ225"/>
    <mergeCell ref="D144:F144"/>
    <mergeCell ref="B155:C155"/>
    <mergeCell ref="D155:F155"/>
    <mergeCell ref="B156:C156"/>
    <mergeCell ref="B127:C127"/>
    <mergeCell ref="D127:F127"/>
    <mergeCell ref="B109:C109"/>
    <mergeCell ref="D109:F109"/>
    <mergeCell ref="D129:F129"/>
    <mergeCell ref="B152:C152"/>
    <mergeCell ref="D152:F152"/>
    <mergeCell ref="B151:C151"/>
    <mergeCell ref="B148:C148"/>
    <mergeCell ref="B115:C115"/>
    <mergeCell ref="B159:C159"/>
    <mergeCell ref="D159:F159"/>
    <mergeCell ref="B129:C129"/>
    <mergeCell ref="B133:C133"/>
    <mergeCell ref="D133:F133"/>
    <mergeCell ref="B134:C134"/>
    <mergeCell ref="D134:F134"/>
    <mergeCell ref="B135:C135"/>
    <mergeCell ref="D135:F135"/>
    <mergeCell ref="B136:C136"/>
    <mergeCell ref="D136:F136"/>
    <mergeCell ref="B131:C131"/>
    <mergeCell ref="D131:F131"/>
    <mergeCell ref="B132:C132"/>
    <mergeCell ref="D132:F132"/>
    <mergeCell ref="B139:C139"/>
    <mergeCell ref="D139:F139"/>
    <mergeCell ref="B140:C140"/>
  </mergeCells>
  <conditionalFormatting sqref="B5">
    <cfRule type="expression" dxfId="770" priority="15">
      <formula>$B5="Paramedic"</formula>
    </cfRule>
    <cfRule type="expression" dxfId="769" priority="16">
      <formula>$B5="AEMT"</formula>
    </cfRule>
  </conditionalFormatting>
  <conditionalFormatting sqref="B9">
    <cfRule type="expression" dxfId="768" priority="13">
      <formula>$B9="Paramedic"</formula>
    </cfRule>
    <cfRule type="expression" dxfId="767" priority="14">
      <formula>$B9="AEMT"</formula>
    </cfRule>
  </conditionalFormatting>
  <conditionalFormatting sqref="B205">
    <cfRule type="expression" dxfId="766" priority="11">
      <formula>$B205="Paramedic"</formula>
    </cfRule>
    <cfRule type="expression" dxfId="765" priority="12">
      <formula>$B205="AEMT"</formula>
    </cfRule>
  </conditionalFormatting>
  <conditionalFormatting sqref="B223">
    <cfRule type="expression" dxfId="764" priority="9">
      <formula>$B223="Paramedic"</formula>
    </cfRule>
    <cfRule type="expression" dxfId="763" priority="10">
      <formula>$B223="AEMT"</formula>
    </cfRule>
  </conditionalFormatting>
  <conditionalFormatting sqref="B249">
    <cfRule type="expression" dxfId="762" priority="7">
      <formula>$B249="Paramedic"</formula>
    </cfRule>
    <cfRule type="expression" dxfId="761" priority="8">
      <formula>$B249="AEMT"</formula>
    </cfRule>
  </conditionalFormatting>
  <conditionalFormatting sqref="B50:C50">
    <cfRule type="expression" dxfId="760" priority="32">
      <formula>$B$50&lt;&gt;""</formula>
    </cfRule>
  </conditionalFormatting>
  <conditionalFormatting sqref="B51:C51">
    <cfRule type="expression" dxfId="759" priority="5">
      <formula>$B$51&lt;&gt;""</formula>
    </cfRule>
  </conditionalFormatting>
  <conditionalFormatting sqref="B52:C52">
    <cfRule type="expression" dxfId="758" priority="6">
      <formula>$B$52&lt;&gt;""</formula>
    </cfRule>
  </conditionalFormatting>
  <conditionalFormatting sqref="B57:C59">
    <cfRule type="expression" dxfId="757" priority="31">
      <formula>$B$57&lt;&gt;""</formula>
    </cfRule>
  </conditionalFormatting>
  <conditionalFormatting sqref="B62:C64">
    <cfRule type="expression" dxfId="756" priority="3">
      <formula>$B$62&lt;&gt;""</formula>
    </cfRule>
  </conditionalFormatting>
  <conditionalFormatting sqref="B69:C71">
    <cfRule type="expression" dxfId="755" priority="29">
      <formula>$B$69&lt;&gt;""</formula>
    </cfRule>
  </conditionalFormatting>
  <conditionalFormatting sqref="B77:C79">
    <cfRule type="expression" dxfId="754" priority="28">
      <formula>$B$77&lt;&gt;""</formula>
    </cfRule>
  </conditionalFormatting>
  <conditionalFormatting sqref="B80:C82">
    <cfRule type="expression" dxfId="753" priority="27">
      <formula>$B$80&lt;&gt;""</formula>
    </cfRule>
  </conditionalFormatting>
  <conditionalFormatting sqref="B109:C111">
    <cfRule type="expression" dxfId="752" priority="26">
      <formula>$B$109&lt;&gt;""</formula>
    </cfRule>
  </conditionalFormatting>
  <conditionalFormatting sqref="B126:C128">
    <cfRule type="expression" dxfId="751" priority="24">
      <formula>$B$126&lt;&gt;""</formula>
    </cfRule>
  </conditionalFormatting>
  <conditionalFormatting sqref="B130:C136">
    <cfRule type="expression" dxfId="750" priority="23">
      <formula>$B$130&lt;&gt;""</formula>
    </cfRule>
  </conditionalFormatting>
  <conditionalFormatting sqref="B138:C140">
    <cfRule type="expression" dxfId="749" priority="22">
      <formula>$B$138&lt;&gt;""</formula>
    </cfRule>
  </conditionalFormatting>
  <conditionalFormatting sqref="B142:C144">
    <cfRule type="expression" dxfId="748" priority="21">
      <formula>$B$142&lt;&gt;""</formula>
    </cfRule>
  </conditionalFormatting>
  <conditionalFormatting sqref="B147:C149">
    <cfRule type="expression" dxfId="747" priority="20">
      <formula>$B$147&lt;&gt;""</formula>
    </cfRule>
  </conditionalFormatting>
  <conditionalFormatting sqref="B154:C156">
    <cfRule type="expression" dxfId="746" priority="19">
      <formula>$B$154&lt;&gt;""</formula>
    </cfRule>
  </conditionalFormatting>
  <conditionalFormatting sqref="B182:C184">
    <cfRule type="expression" dxfId="745" priority="18">
      <formula>$B$182&lt;&gt;""</formula>
    </cfRule>
  </conditionalFormatting>
  <conditionalFormatting sqref="B196:C198">
    <cfRule type="expression" dxfId="744" priority="1">
      <formula>$B$198&lt;&gt;""</formula>
    </cfRule>
  </conditionalFormatting>
  <pageMargins left="0.45" right="0.45" top="0.5" bottom="0.5" header="0.3" footer="0.3"/>
  <pageSetup scale="81" fitToHeight="0" orientation="landscape" horizontalDpi="1200" verticalDpi="1200" r:id="rId3"/>
  <rowBreaks count="4" manualBreakCount="4">
    <brk id="11" max="6" man="1"/>
    <brk id="27" max="6" man="1"/>
    <brk id="223" max="6" man="1"/>
    <brk id="249"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257</xdr:row>
                    <xdr:rowOff>66675</xdr:rowOff>
                  </from>
                  <to>
                    <xdr:col>1</xdr:col>
                    <xdr:colOff>495300</xdr:colOff>
                    <xdr:row>257</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262</xdr:row>
                    <xdr:rowOff>66675</xdr:rowOff>
                  </from>
                  <to>
                    <xdr:col>1</xdr:col>
                    <xdr:colOff>495300</xdr:colOff>
                    <xdr:row>262</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268</xdr:row>
                    <xdr:rowOff>28575</xdr:rowOff>
                  </from>
                  <to>
                    <xdr:col>1</xdr:col>
                    <xdr:colOff>495300</xdr:colOff>
                    <xdr:row>268</xdr:row>
                    <xdr:rowOff>257175</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295275</xdr:colOff>
                    <xdr:row>274</xdr:row>
                    <xdr:rowOff>28575</xdr:rowOff>
                  </from>
                  <to>
                    <xdr:col>1</xdr:col>
                    <xdr:colOff>523875</xdr:colOff>
                    <xdr:row>274</xdr:row>
                    <xdr:rowOff>238125</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252</xdr:row>
                    <xdr:rowOff>66675</xdr:rowOff>
                  </from>
                  <to>
                    <xdr:col>1</xdr:col>
                    <xdr:colOff>495300</xdr:colOff>
                    <xdr:row>252</xdr:row>
                    <xdr:rowOff>190500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9"/>
  <sheetViews>
    <sheetView showGridLines="0" zoomScaleNormal="100" workbookViewId="0">
      <selection activeCell="F60" sqref="F60:H60"/>
    </sheetView>
  </sheetViews>
  <sheetFormatPr defaultRowHeight="14.25"/>
  <cols>
    <col min="3" max="3" width="12" customWidth="1"/>
    <col min="5" max="5" width="12.375" customWidth="1"/>
    <col min="9" max="9" width="25.75" customWidth="1"/>
    <col min="10" max="10" width="17.625" customWidth="1"/>
    <col min="11" max="11" width="8.75" customWidth="1"/>
    <col min="12" max="12" width="10.125" customWidth="1"/>
    <col min="13" max="13" width="16.25" customWidth="1"/>
    <col min="14" max="14" width="43" customWidth="1"/>
    <col min="15" max="18" width="25.75" customWidth="1"/>
    <col min="19" max="19" width="43" customWidth="1"/>
    <col min="20" max="23" width="25.75" customWidth="1"/>
    <col min="24" max="24" width="43" customWidth="1"/>
    <col min="25" max="28" width="25.75" customWidth="1"/>
  </cols>
  <sheetData>
    <row r="2" spans="2:96" ht="37.5" customHeight="1">
      <c r="B2" s="825" t="str">
        <f>IF(OR('SV Findings'!G292&lt;&gt;"N/A",'SV Findings'!G293&lt;&gt;"N/A",'SV Findings'!G294&lt;&gt;"N/A"),"Site Visit Report Satellite(s) Addendum","No Active Satellites")</f>
        <v>No Active Satellites</v>
      </c>
      <c r="C2" s="825"/>
      <c r="D2" s="825"/>
      <c r="E2" s="825"/>
      <c r="F2" s="825"/>
      <c r="G2" s="825"/>
      <c r="H2" s="825"/>
      <c r="I2" s="825"/>
      <c r="J2" s="825"/>
      <c r="K2" s="825"/>
      <c r="L2" s="825"/>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c r="B3" s="560" t="str">
        <f>IF('Cover Page'!$D$8&lt;&gt;"Please Select",'Cover Page'!$D$8, "")</f>
        <v/>
      </c>
      <c r="C3" s="560"/>
      <c r="D3" s="560"/>
      <c r="E3" s="560"/>
      <c r="F3" s="560"/>
      <c r="G3" s="560"/>
      <c r="H3" s="560"/>
      <c r="I3" s="560"/>
      <c r="J3" s="560"/>
      <c r="K3" s="560"/>
      <c r="L3" s="560"/>
    </row>
    <row r="4" spans="2:96" ht="70.5" customHeight="1">
      <c r="B4" s="826"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26"/>
      <c r="D4" s="826"/>
      <c r="E4" s="826"/>
      <c r="F4" s="826"/>
      <c r="G4" s="826"/>
      <c r="H4" s="826"/>
      <c r="I4" s="826"/>
      <c r="J4" s="826"/>
      <c r="K4" s="826"/>
      <c r="L4" s="826"/>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c r="B6" s="824" t="s">
        <v>632</v>
      </c>
      <c r="C6" s="824"/>
      <c r="D6" s="824"/>
      <c r="E6" s="824"/>
      <c r="F6" s="824"/>
      <c r="G6" s="824"/>
      <c r="H6" s="275" t="str">
        <f>'SV Findings'!G292</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c r="B7" s="824" t="s">
        <v>633</v>
      </c>
      <c r="C7" s="824"/>
      <c r="D7" s="824"/>
      <c r="E7" s="824"/>
      <c r="F7" s="824"/>
      <c r="G7" s="824"/>
      <c r="H7" s="275" t="str">
        <f>'SV Findings'!G293</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c r="B8" s="827" t="str">
        <f>IF('SV Findings'!G294&lt;&gt;"N/A","Number of satellite locations not approved:","")</f>
        <v/>
      </c>
      <c r="C8" s="827"/>
      <c r="D8" s="827"/>
      <c r="E8" s="827"/>
      <c r="F8" s="827"/>
      <c r="G8" s="827"/>
      <c r="H8" s="277" t="str">
        <f>IF('SV Findings'!G295&lt;&gt;"",'SV Findings'!G295,"")</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4.95" customHeight="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c r="B11" s="146"/>
      <c r="C11" s="812"/>
      <c r="D11" s="812"/>
      <c r="E11" s="812"/>
      <c r="F11" s="822" t="str">
        <f>IF(H6&lt;&gt;"N/A","Same State Satellite(s)","")</f>
        <v/>
      </c>
      <c r="G11" s="822"/>
      <c r="H11" s="822"/>
      <c r="I11" s="822"/>
      <c r="J11" s="822"/>
      <c r="K11" s="822"/>
      <c r="L11" s="822"/>
      <c r="M11" s="822"/>
      <c r="N11" s="19"/>
      <c r="O11" s="823" t="str">
        <f>IF(O12&lt;&gt;"","Same State Satellite(s)","")</f>
        <v/>
      </c>
      <c r="P11" s="823"/>
      <c r="Q11" s="823"/>
      <c r="R11" s="823"/>
      <c r="S11" s="19"/>
      <c r="T11" s="822" t="str">
        <f>IF(T12&lt;&gt;"","Same State Satellite(s)","")</f>
        <v/>
      </c>
      <c r="U11" s="822"/>
      <c r="V11" s="822"/>
      <c r="W11" s="822"/>
      <c r="X11" s="19"/>
      <c r="Y11" s="823" t="str">
        <f>IF(Y12&lt;&gt;"","Same State Satellite(s)","")</f>
        <v/>
      </c>
      <c r="Z11" s="823"/>
      <c r="AA11" s="823"/>
      <c r="AB11" s="823"/>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c r="B12" s="146"/>
      <c r="C12" s="475"/>
      <c r="D12" s="475"/>
      <c r="E12" s="475"/>
      <c r="F12" s="822" t="str">
        <f>IF(AND($H6&lt;&gt;"N/A",$H6&gt;=1),"Satellite Location #1","")</f>
        <v/>
      </c>
      <c r="G12" s="822"/>
      <c r="H12" s="822"/>
      <c r="I12" s="159" t="str">
        <f>IF(AND($H6&lt;&gt;"N/A",$H6&gt;=2),"Satellite Location #2","")</f>
        <v/>
      </c>
      <c r="J12" s="822" t="str">
        <f>IF(AND($H6&lt;&gt;"N/A",$H6&gt;=3),"Satellite Location #3","")</f>
        <v/>
      </c>
      <c r="K12" s="822"/>
      <c r="L12" s="822" t="str">
        <f>IF(AND($H6&lt;&gt;"N/A",$H6&gt;=4),"Satellite Location #4","")</f>
        <v/>
      </c>
      <c r="M12" s="822"/>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c r="B13" s="812" t="str">
        <f>IF(F12&lt;&gt;"","Satellite Name, City, State:","")</f>
        <v/>
      </c>
      <c r="C13" s="812"/>
      <c r="D13" s="812"/>
      <c r="E13" s="812"/>
      <c r="F13" s="818"/>
      <c r="G13" s="815"/>
      <c r="H13" s="815"/>
      <c r="I13" s="160"/>
      <c r="J13" s="818"/>
      <c r="K13" s="818"/>
      <c r="L13" s="818"/>
      <c r="M13" s="818"/>
      <c r="N13" s="278" t="str">
        <f>IF(O12&lt;&gt;"","Satellite Name, City, State:","")</f>
        <v/>
      </c>
      <c r="O13" s="160"/>
      <c r="P13" s="160"/>
      <c r="Q13" s="160"/>
      <c r="R13" s="160"/>
      <c r="S13" s="278" t="str">
        <f>IF(T12&lt;&gt;"","Satellite Name, City, State:","")</f>
        <v/>
      </c>
      <c r="T13" s="160"/>
      <c r="U13" s="160"/>
      <c r="V13" s="160"/>
      <c r="W13" s="160"/>
      <c r="X13" s="278"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c r="B14" s="812" t="str">
        <f>IF(F12&lt;&gt;"","Distance from main campus:
(in miles)","")</f>
        <v/>
      </c>
      <c r="C14" s="812"/>
      <c r="D14" s="812"/>
      <c r="E14" s="812"/>
      <c r="F14" s="820"/>
      <c r="G14" s="820"/>
      <c r="H14" s="820"/>
      <c r="I14" s="161"/>
      <c r="J14" s="821"/>
      <c r="K14" s="821"/>
      <c r="L14" s="821"/>
      <c r="M14" s="821"/>
      <c r="N14" s="289" t="str">
        <f>IF(O12&lt;&gt;"","Distance from main campus:
(in miles)","")</f>
        <v/>
      </c>
      <c r="O14" s="161"/>
      <c r="P14" s="161"/>
      <c r="Q14" s="161"/>
      <c r="R14" s="161"/>
      <c r="S14" s="279" t="str">
        <f>IF(T12&lt;&gt;"","Distance from main campus:
(in miles)","")</f>
        <v/>
      </c>
      <c r="T14" s="161"/>
      <c r="U14" s="161"/>
      <c r="V14" s="161"/>
      <c r="W14" s="161"/>
      <c r="X14" s="279"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c r="B15" s="812" t="str">
        <f>IF(F12&lt;&gt;"","Maximum number of students:
(per cohort)","")</f>
        <v/>
      </c>
      <c r="C15" s="812"/>
      <c r="D15" s="812"/>
      <c r="E15" s="812"/>
      <c r="F15" s="820"/>
      <c r="G15" s="820"/>
      <c r="H15" s="820"/>
      <c r="I15" s="161"/>
      <c r="J15" s="821"/>
      <c r="K15" s="821"/>
      <c r="L15" s="821"/>
      <c r="M15" s="821"/>
      <c r="N15" s="279" t="str">
        <f>IF(O12&lt;&gt;"","Maximum number of students:
(per cohort)","")</f>
        <v/>
      </c>
      <c r="O15" s="161"/>
      <c r="P15" s="161"/>
      <c r="Q15" s="161"/>
      <c r="R15" s="161"/>
      <c r="S15" s="279" t="str">
        <f>IF(T12&lt;&gt;"","Maximum number of students:
(per cohort)","")</f>
        <v/>
      </c>
      <c r="T15" s="161"/>
      <c r="U15" s="161"/>
      <c r="V15" s="161"/>
      <c r="W15" s="161"/>
      <c r="X15" s="279"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c r="B16" s="812" t="str">
        <f>IF(F12&lt;&gt;"","Approved satellite Lead Instructor:","")</f>
        <v/>
      </c>
      <c r="C16" s="812"/>
      <c r="D16" s="812"/>
      <c r="E16" s="812"/>
      <c r="F16" s="815"/>
      <c r="G16" s="815"/>
      <c r="H16" s="815"/>
      <c r="I16" s="160"/>
      <c r="J16" s="818"/>
      <c r="K16" s="818"/>
      <c r="L16" s="818"/>
      <c r="M16" s="818"/>
      <c r="N16" s="278" t="str">
        <f>IF(O12&lt;&gt;"","Approved satellite Lead Instructor:","")</f>
        <v/>
      </c>
      <c r="O16" s="160"/>
      <c r="P16" s="160"/>
      <c r="Q16" s="160"/>
      <c r="R16" s="160"/>
      <c r="S16" s="278" t="str">
        <f>IF(T12&lt;&gt;"","Approved satellite Lead Instructor:","")</f>
        <v/>
      </c>
      <c r="T16" s="160"/>
      <c r="U16" s="160"/>
      <c r="V16" s="160"/>
      <c r="W16" s="160"/>
      <c r="X16" s="278"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c r="B17" s="812" t="str">
        <f>IF(F12&lt;&gt;"","Approved satellite Medical Director:","")</f>
        <v/>
      </c>
      <c r="C17" s="812"/>
      <c r="D17" s="812"/>
      <c r="E17" s="812"/>
      <c r="F17" s="815"/>
      <c r="G17" s="815"/>
      <c r="H17" s="815"/>
      <c r="I17" s="160"/>
      <c r="J17" s="818"/>
      <c r="K17" s="818"/>
      <c r="L17" s="818"/>
      <c r="M17" s="818"/>
      <c r="N17" s="278" t="str">
        <f>IF(O12&lt;&gt;"","Approved satellite Medical Director:","")</f>
        <v/>
      </c>
      <c r="O17" s="160"/>
      <c r="P17" s="160"/>
      <c r="Q17" s="160"/>
      <c r="R17" s="160"/>
      <c r="S17" s="278" t="str">
        <f>IF(T12&lt;&gt;"","Approved satellite Medical Director:","")</f>
        <v/>
      </c>
      <c r="T17" s="160"/>
      <c r="U17" s="160"/>
      <c r="V17" s="160"/>
      <c r="W17" s="160"/>
      <c r="X17" s="278"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c r="B18" s="812"/>
      <c r="C18" s="812"/>
      <c r="D18" s="812"/>
      <c r="E18" s="812"/>
      <c r="F18" s="819" t="str">
        <f>IF(F$12&lt;&gt;"","Site Visitors please provide the information below specifically for this satellite location:","")</f>
        <v/>
      </c>
      <c r="G18" s="819"/>
      <c r="H18" s="819"/>
      <c r="I18" s="166" t="str">
        <f>IF(I$12&lt;&gt;"","Site Visitors please provide the information below specifically for this satellite location:","")</f>
        <v/>
      </c>
      <c r="J18" s="819" t="str">
        <f>IF(J$12&lt;&gt;"","Site Visitors please provide the information below specifically for this satellite location:","")</f>
        <v/>
      </c>
      <c r="K18" s="819"/>
      <c r="L18" s="819" t="str">
        <f>IF(L$12&lt;&gt;"","Site Visitors please provide the information below specifically for this satellite location:","")</f>
        <v/>
      </c>
      <c r="M18" s="819"/>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c r="B19" s="812" t="str">
        <f>IF(F12&lt;&gt;"","Did the site visit team visit (phisically or virtually) the satellite location(s)?","")</f>
        <v/>
      </c>
      <c r="C19" s="812"/>
      <c r="D19" s="812"/>
      <c r="E19" s="812"/>
      <c r="F19" s="815"/>
      <c r="G19" s="815"/>
      <c r="H19" s="815"/>
      <c r="I19" s="162"/>
      <c r="J19" s="815"/>
      <c r="K19" s="815"/>
      <c r="L19" s="815"/>
      <c r="M19" s="815"/>
      <c r="N19" s="279" t="str">
        <f>IF(O12&lt;&gt;"","Did the site visit team visit (phisically or virtually) the satellite location(s)?","")</f>
        <v/>
      </c>
      <c r="O19" s="162"/>
      <c r="P19" s="162"/>
      <c r="Q19" s="162"/>
      <c r="R19" s="162"/>
      <c r="S19" s="279" t="str">
        <f>IF(T12&lt;&gt;"","Did the site visit team visit (phisically or virtually) the satellite location(s)?","")</f>
        <v/>
      </c>
      <c r="T19" s="162"/>
      <c r="U19" s="162"/>
      <c r="V19" s="162"/>
      <c r="W19" s="162"/>
      <c r="X19" s="279"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c r="B20" s="812" t="str">
        <f>IF(F12&lt;&gt;"","Does the program utilize specific clinical or field affiliations for this location?","")</f>
        <v/>
      </c>
      <c r="C20" s="812"/>
      <c r="D20" s="812"/>
      <c r="E20" s="812"/>
      <c r="F20" s="815"/>
      <c r="G20" s="815"/>
      <c r="H20" s="815"/>
      <c r="I20" s="162"/>
      <c r="J20" s="815"/>
      <c r="K20" s="815"/>
      <c r="L20" s="815"/>
      <c r="M20" s="815"/>
      <c r="N20" s="279" t="str">
        <f>IF(O12&lt;&gt;"","Does the program utilize specific clinical or field affiliations for this location?","")</f>
        <v/>
      </c>
      <c r="O20" s="162"/>
      <c r="P20" s="162"/>
      <c r="Q20" s="162"/>
      <c r="R20" s="162"/>
      <c r="S20" s="279" t="str">
        <f>IF(T12&lt;&gt;"","Does the program utilize specific clinical or field affiliations for this location?","")</f>
        <v/>
      </c>
      <c r="T20" s="162"/>
      <c r="U20" s="162"/>
      <c r="V20" s="162"/>
      <c r="W20" s="162"/>
      <c r="X20" s="279"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c r="B21" s="812" t="str">
        <f>IF(F12&lt;&gt;"","PD responsible for management:","")</f>
        <v/>
      </c>
      <c r="C21" s="812"/>
      <c r="D21" s="812"/>
      <c r="E21" s="812"/>
      <c r="F21" s="815"/>
      <c r="G21" s="815"/>
      <c r="H21" s="815"/>
      <c r="I21" s="162"/>
      <c r="J21" s="815"/>
      <c r="K21" s="815"/>
      <c r="L21" s="815"/>
      <c r="M21" s="815"/>
      <c r="N21" s="279" t="str">
        <f>IF(O12&lt;&gt;"","PD responsible for management:","")</f>
        <v/>
      </c>
      <c r="O21" s="162"/>
      <c r="P21" s="162"/>
      <c r="Q21" s="162"/>
      <c r="R21" s="162"/>
      <c r="S21" s="279" t="str">
        <f>IF(T12&lt;&gt;"","PD responsible for management:","")</f>
        <v/>
      </c>
      <c r="T21" s="162"/>
      <c r="U21" s="162"/>
      <c r="V21" s="162"/>
      <c r="W21" s="162"/>
      <c r="X21" s="279"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c r="B22" s="812" t="str">
        <f>IF(F12&lt;&gt;"","Satellite(s) Resources Assessment Matrix (RAM) completed 
(separate from main campus)?","")</f>
        <v/>
      </c>
      <c r="C22" s="812"/>
      <c r="D22" s="812"/>
      <c r="E22" s="812"/>
      <c r="F22" s="815"/>
      <c r="G22" s="815"/>
      <c r="H22" s="815"/>
      <c r="I22" s="162"/>
      <c r="J22" s="815"/>
      <c r="K22" s="815"/>
      <c r="L22" s="815"/>
      <c r="M22" s="815"/>
      <c r="N22" s="279" t="str">
        <f>IF(O12&lt;&gt;"","Satellite(s) Resources Assessment Matrix (RAM) completed 
(separate from main campus)?","")</f>
        <v/>
      </c>
      <c r="O22" s="162"/>
      <c r="P22" s="162"/>
      <c r="Q22" s="162"/>
      <c r="R22" s="162"/>
      <c r="S22" s="279" t="str">
        <f>IF(T12&lt;&gt;"","Satellite(s) Resources Assessment Matrix (RAM) completed 
(separate from main campus)?","")</f>
        <v/>
      </c>
      <c r="T22" s="162"/>
      <c r="U22" s="162"/>
      <c r="V22" s="162"/>
      <c r="W22" s="162"/>
      <c r="X22" s="279"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c r="B23" s="812" t="str">
        <f>IF(F12&lt;&gt;"","Were the equipment &amp; supplies sufficient?","")</f>
        <v/>
      </c>
      <c r="C23" s="812"/>
      <c r="D23" s="812"/>
      <c r="E23" s="812"/>
      <c r="F23" s="815"/>
      <c r="G23" s="815"/>
      <c r="H23" s="815"/>
      <c r="I23" s="162"/>
      <c r="J23" s="815"/>
      <c r="K23" s="815"/>
      <c r="L23" s="815"/>
      <c r="M23" s="815"/>
      <c r="N23" s="279" t="str">
        <f>IF(O12&lt;&gt;"","Were the equipment &amp; supplies sufficient?","")</f>
        <v/>
      </c>
      <c r="O23" s="162"/>
      <c r="P23" s="162"/>
      <c r="Q23" s="162"/>
      <c r="R23" s="162"/>
      <c r="S23" s="279" t="str">
        <f>IF(T12&lt;&gt;"","Were the equipment &amp; supplies sufficient?","")</f>
        <v/>
      </c>
      <c r="T23" s="162"/>
      <c r="U23" s="162"/>
      <c r="V23" s="162"/>
      <c r="W23" s="162"/>
      <c r="X23" s="279"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c r="B24" s="812" t="str">
        <f>IF(F12&lt;&gt;"","Were the facilities sufficient?","")</f>
        <v/>
      </c>
      <c r="C24" s="812"/>
      <c r="D24" s="812"/>
      <c r="E24" s="812"/>
      <c r="F24" s="815"/>
      <c r="G24" s="815"/>
      <c r="H24" s="815"/>
      <c r="I24" s="162"/>
      <c r="J24" s="815"/>
      <c r="K24" s="815"/>
      <c r="L24" s="815"/>
      <c r="M24" s="815"/>
      <c r="N24" s="279" t="str">
        <f>IF(O12&lt;&gt;"","Were the facilities sufficient?","")</f>
        <v/>
      </c>
      <c r="O24" s="162"/>
      <c r="P24" s="162"/>
      <c r="Q24" s="162"/>
      <c r="R24" s="162"/>
      <c r="S24" s="279" t="str">
        <f>IF(T12&lt;&gt;"","Were the facilities sufficient?","")</f>
        <v/>
      </c>
      <c r="T24" s="162"/>
      <c r="U24" s="162"/>
      <c r="V24" s="162"/>
      <c r="W24" s="162"/>
      <c r="X24" s="279"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c r="B25" s="812" t="str">
        <f>IF(OR(F$24="Not Met",I$24="Not Met",J$24="Not Met",L$24="Not Met",O$24="Not Met"),"Rationale for 'Not Met' OR 
Clarification Needed for Facilities:","")</f>
        <v/>
      </c>
      <c r="C25" s="812"/>
      <c r="D25" s="812"/>
      <c r="E25" s="812"/>
      <c r="F25" s="813"/>
      <c r="G25" s="813"/>
      <c r="H25" s="813"/>
      <c r="I25" s="163"/>
      <c r="J25" s="813"/>
      <c r="K25" s="813"/>
      <c r="L25" s="813"/>
      <c r="M25" s="813"/>
      <c r="N25" s="279" t="str">
        <f>IF(OR(O$24="Not Met",P$24="Not Met",Q$24="Not Met",R$24="Not Met"),"Rationale for 'Not Met' OR 
Clarification Needed for Facilities:","")</f>
        <v/>
      </c>
      <c r="O25" s="163"/>
      <c r="P25" s="163"/>
      <c r="Q25" s="163"/>
      <c r="R25" s="163"/>
      <c r="S25" s="279" t="str">
        <f>IF(OR(T$24="Not Met",U$24="Not Met",V$24="Not Met",W$24="Not Met"),"Rationale for 'Not Met' OR 
Clarification Needed for Facilities:","")</f>
        <v/>
      </c>
      <c r="T25" s="163"/>
      <c r="U25" s="163"/>
      <c r="V25" s="163"/>
      <c r="W25" s="163"/>
      <c r="X25" s="279"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c r="B26" s="812" t="str">
        <f>IF(F12&lt;&gt;"","Program materials apply to the satellite course:
(program catalog, student handbook, policy manual, &amp; clinical/field internship materials)","")</f>
        <v/>
      </c>
      <c r="C26" s="812"/>
      <c r="D26" s="812"/>
      <c r="E26" s="812"/>
      <c r="F26" s="815"/>
      <c r="G26" s="815"/>
      <c r="H26" s="815"/>
      <c r="I26" s="162"/>
      <c r="J26" s="815"/>
      <c r="K26" s="815"/>
      <c r="L26" s="815"/>
      <c r="M26" s="815"/>
      <c r="N26" s="279" t="str">
        <f>IF(O12&lt;&gt;"","Program materials apply to the satellite course:
(program catalog, student handbook, policy manual, &amp; clinical/field internship materials)","")</f>
        <v/>
      </c>
      <c r="O26" s="162"/>
      <c r="P26" s="162"/>
      <c r="Q26" s="162"/>
      <c r="R26" s="162"/>
      <c r="S26" s="279" t="str">
        <f>IF(T12&lt;&gt;"","Program materials apply to the satellite course:
(program catalog, student handbook, policy manual, &amp; clinical/field internship materials)","")</f>
        <v/>
      </c>
      <c r="T26" s="162"/>
      <c r="U26" s="162"/>
      <c r="V26" s="162"/>
      <c r="W26" s="162"/>
      <c r="X26" s="279"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c r="B27" s="812" t="str">
        <f>IF(OR(F$26="Not Met",I$26="Not Met",J$26="Not Met",L$26="Not Met",O$26="Not Met"),"Rationale for 'Not Met' OR Clarification 
Needed for Satellite Program Materials:","")</f>
        <v/>
      </c>
      <c r="C27" s="812"/>
      <c r="D27" s="812"/>
      <c r="E27" s="812"/>
      <c r="F27" s="813"/>
      <c r="G27" s="813"/>
      <c r="H27" s="813"/>
      <c r="I27" s="164"/>
      <c r="J27" s="814"/>
      <c r="K27" s="814"/>
      <c r="L27" s="814"/>
      <c r="M27" s="814"/>
      <c r="N27" s="279" t="str">
        <f>IF(OR(O$26="Not Met",P$26="Not Met",Q$26="Not Met",R$26="Not Met"),"Rationale for 'Not Met' OR Clarification 
Needed for Satellite Program Materials:","")</f>
        <v/>
      </c>
      <c r="O27" s="163"/>
      <c r="P27" s="163"/>
      <c r="Q27" s="163"/>
      <c r="R27" s="163"/>
      <c r="S27" s="279" t="str">
        <f>IF(OR(T$26="Not Met",U$26="Not Met",V$26="Not Met",W$26="Not Met"),"Rationale for 'Not Met' OR Clarification 
Needed for Satellite Program Materials:","")</f>
        <v/>
      </c>
      <c r="T27" s="163"/>
      <c r="U27" s="163"/>
      <c r="V27" s="163"/>
      <c r="W27" s="163"/>
      <c r="X27" s="279"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c r="B28" s="812" t="str">
        <f>IF(F12&lt;&gt;"","Were students interviewed?","")</f>
        <v/>
      </c>
      <c r="C28" s="812"/>
      <c r="D28" s="812"/>
      <c r="E28" s="812"/>
      <c r="F28" s="815"/>
      <c r="G28" s="815"/>
      <c r="H28" s="815"/>
      <c r="I28" s="162"/>
      <c r="J28" s="815"/>
      <c r="K28" s="815"/>
      <c r="L28" s="815"/>
      <c r="M28" s="815"/>
      <c r="N28" s="279" t="str">
        <f>IF(O12&lt;&gt;"","Were students interviewed?","")</f>
        <v/>
      </c>
      <c r="O28" s="162"/>
      <c r="P28" s="162"/>
      <c r="Q28" s="162"/>
      <c r="R28" s="162"/>
      <c r="S28" s="279" t="str">
        <f>IF(T12&lt;&gt;"","Were students interviewed?","")</f>
        <v/>
      </c>
      <c r="T28" s="162"/>
      <c r="U28" s="162"/>
      <c r="V28" s="162"/>
      <c r="W28" s="162"/>
      <c r="X28" s="279"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5" customHeight="1">
      <c r="B29" s="812" t="str">
        <f>IF(OR(F$28="Not Met",I$28="Not Met",J$28="Not Met",L$28="Not Met",O$28="Not Met"),"Rationale for 'Not Met' OR Clarification 
Needed for interviewing Students:","")</f>
        <v/>
      </c>
      <c r="C29" s="812"/>
      <c r="D29" s="812"/>
      <c r="E29" s="812"/>
      <c r="F29" s="813"/>
      <c r="G29" s="813"/>
      <c r="H29" s="813"/>
      <c r="I29" s="164"/>
      <c r="J29" s="814"/>
      <c r="K29" s="814"/>
      <c r="L29" s="814"/>
      <c r="M29" s="814"/>
      <c r="N29" s="279" t="str">
        <f>IF(OR(O$28="Not Met",P$28="Not Met",Q$28="Not Met",R$28="Not Met"),"Rationale for 'Not Met' OR Clarification 
Needed for interviewing Students:","")</f>
        <v/>
      </c>
      <c r="O29" s="163"/>
      <c r="P29" s="163"/>
      <c r="Q29" s="163"/>
      <c r="R29" s="163"/>
      <c r="S29" s="279" t="str">
        <f>IF(OR(T$28="Not Met",U$28="Not Met",V$28="Not Met",W$28="Not Met"),"Rationale for 'Not Met' OR Clarification 
Needed for interviewing Students:","")</f>
        <v/>
      </c>
      <c r="T29" s="163"/>
      <c r="U29" s="163"/>
      <c r="V29" s="163"/>
      <c r="W29" s="163"/>
      <c r="X29" s="279" t="str">
        <f>IF(OR(Y$28="Not Met",Z$28="Not Met",AA$28="Not Met",AB$28="Not Met"),"Rationale for 'Not Met' OR Clarification 
Needed for interviewing Students:","")</f>
        <v/>
      </c>
      <c r="Y29" s="163"/>
      <c r="Z29" s="163"/>
      <c r="AA29" s="163"/>
      <c r="AB29" s="163"/>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42" customHeight="1">
      <c r="B30" s="812" t="str">
        <f>IF(F12&lt;&gt;"","Were graduates interviewed?","")</f>
        <v/>
      </c>
      <c r="C30" s="812"/>
      <c r="D30" s="812"/>
      <c r="E30" s="812"/>
      <c r="F30" s="815"/>
      <c r="G30" s="815"/>
      <c r="H30" s="815"/>
      <c r="I30" s="162"/>
      <c r="J30" s="815"/>
      <c r="K30" s="815"/>
      <c r="L30" s="815"/>
      <c r="M30" s="815"/>
      <c r="N30" s="279" t="str">
        <f>IF(O12&lt;&gt;"","Were graduates interviewed?","")</f>
        <v/>
      </c>
      <c r="O30" s="162"/>
      <c r="P30" s="162"/>
      <c r="Q30" s="162"/>
      <c r="R30" s="162"/>
      <c r="S30" s="279" t="str">
        <f>IF(T12&lt;&gt;"","Were graduates interviewed?","")</f>
        <v/>
      </c>
      <c r="T30" s="162"/>
      <c r="U30" s="162"/>
      <c r="V30" s="162"/>
      <c r="W30" s="162"/>
      <c r="X30" s="279" t="str">
        <f>IF(Y12&lt;&gt;"","Were graduates interviewed?","")</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5" customHeight="1">
      <c r="B31" s="812" t="str">
        <f>IF(OR(F$30="Not Met",I$30="Not Met",J$30="Not Met",L$30="Not Met",O$30="Not Met"),"Rationale for 'Not Met' OR Clarification 
Needed for interviewing Graduates:","")</f>
        <v/>
      </c>
      <c r="C31" s="812"/>
      <c r="D31" s="812"/>
      <c r="E31" s="812"/>
      <c r="F31" s="813"/>
      <c r="G31" s="813"/>
      <c r="H31" s="813"/>
      <c r="I31" s="164"/>
      <c r="J31" s="814"/>
      <c r="K31" s="814"/>
      <c r="L31" s="814"/>
      <c r="M31" s="814"/>
      <c r="N31" s="279" t="str">
        <f>IF(OR(O30="Not Met",P30="Not Met",Q30="Not Met",R30="Not Met"),"Rationale for 'Not Met' OR Clarification 
Needed for interviewing Graduates:","")</f>
        <v/>
      </c>
      <c r="O31" s="163"/>
      <c r="P31" s="163"/>
      <c r="Q31" s="163"/>
      <c r="R31" s="163"/>
      <c r="S31" s="279" t="str">
        <f>IF(OR(T30="Not Met",U30="Not Met",V30="Not Met",W30="Not Met"),"Rationale for 'Not Met' OR Clarification 
Needed for interviewing Graduates:","")</f>
        <v/>
      </c>
      <c r="T31" s="163"/>
      <c r="U31" s="163"/>
      <c r="V31" s="163"/>
      <c r="W31" s="163"/>
      <c r="X31" s="279" t="str">
        <f>IF(OR(Y30="Not Met",Z30="Not Met",AA30="Not Met",AB30="Not Met"),"Rationale for 'Not Met' OR Clarification 
Needed for interviewing Graduates:","")</f>
        <v/>
      </c>
      <c r="Y31" s="163"/>
      <c r="Z31" s="163"/>
      <c r="AA31" s="163"/>
      <c r="AB31" s="163"/>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57" customHeight="1">
      <c r="B32" s="812" t="str">
        <f>IF(F12&lt;&gt;"","If distant technology is used to deliver content, describe the tools used and the schedule:","")</f>
        <v/>
      </c>
      <c r="C32" s="812"/>
      <c r="D32" s="812"/>
      <c r="E32" s="812"/>
      <c r="F32" s="815"/>
      <c r="G32" s="815"/>
      <c r="H32" s="815"/>
      <c r="I32" s="162"/>
      <c r="J32" s="815"/>
      <c r="K32" s="815"/>
      <c r="L32" s="815"/>
      <c r="M32" s="815"/>
      <c r="N32" s="279" t="str">
        <f>IF(O12&lt;&gt;"","If distant technology is used to deliver content, describe the tools used and the schedule:","")</f>
        <v/>
      </c>
      <c r="O32" s="162"/>
      <c r="P32" s="162"/>
      <c r="Q32" s="162"/>
      <c r="R32" s="162"/>
      <c r="S32" s="279" t="str">
        <f>IF(T12&lt;&gt;"","If distant technology is used to deliver content, describe the tools used and the schedule:","")</f>
        <v/>
      </c>
      <c r="T32" s="162"/>
      <c r="U32" s="162"/>
      <c r="V32" s="162"/>
      <c r="W32" s="162"/>
      <c r="X32" s="279" t="str">
        <f>IF(Y12&lt;&gt;"","If distant technology is used to deliver content, describe the tools used and the schedule:","")</f>
        <v/>
      </c>
      <c r="Y32" s="162"/>
      <c r="Z32" s="162"/>
      <c r="AA32" s="162"/>
      <c r="AB32" s="162"/>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45" customHeight="1">
      <c r="B33" s="812" t="str">
        <f>IF(OR(F$32="Not Met",I$32="Not Met",J$32="Not Met",L$32="Not Met",O$32="Not Met"),"Rationale for 'Not Met' OR Clarification 
Needed for Distant Technology:","")</f>
        <v/>
      </c>
      <c r="C33" s="812"/>
      <c r="D33" s="812"/>
      <c r="E33" s="812"/>
      <c r="F33" s="813"/>
      <c r="G33" s="813"/>
      <c r="H33" s="813"/>
      <c r="I33" s="164"/>
      <c r="J33" s="814"/>
      <c r="K33" s="814"/>
      <c r="L33" s="814"/>
      <c r="M33" s="814"/>
      <c r="N33" s="279" t="str">
        <f>IF(OR(O32="Not Met",P32="Not Met",Q32="Not Met",R366="Not Met"),"Rationale for 'Not Met' OR Clarification 
Needed for Distant Technology:","")</f>
        <v/>
      </c>
      <c r="O33" s="163"/>
      <c r="P33" s="163"/>
      <c r="Q33" s="163"/>
      <c r="R33" s="163"/>
      <c r="S33" s="279" t="str">
        <f>IF(OR(T32="Not Met",U32="Not Met",V32="Not Met",W366="Not Met"),"Rationale for 'Not Met' OR Clarification 
Needed for Distant Technology:","")</f>
        <v/>
      </c>
      <c r="T33" s="163"/>
      <c r="U33" s="163"/>
      <c r="V33" s="163"/>
      <c r="W33" s="163"/>
      <c r="X33" s="279" t="str">
        <f>IF(OR(Y32="Not Met",Z32="Not Met",AA32="Not Met",AB366="Not Met"),"Rationale for 'Not Met' OR Clarification 
Needed for Distant Technology:","")</f>
        <v/>
      </c>
      <c r="Y33" s="163"/>
      <c r="Z33" s="163"/>
      <c r="AA33" s="163"/>
      <c r="AB33" s="163"/>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c r="B34" s="812" t="str">
        <f>IF(F12&lt;&gt;"","Is there a permanent location where
student records are maintained?","")</f>
        <v/>
      </c>
      <c r="C34" s="812"/>
      <c r="D34" s="812"/>
      <c r="E34" s="812"/>
      <c r="F34" s="815"/>
      <c r="G34" s="815"/>
      <c r="H34" s="815"/>
      <c r="I34" s="162"/>
      <c r="J34" s="815"/>
      <c r="K34" s="815"/>
      <c r="L34" s="815"/>
      <c r="M34" s="815"/>
      <c r="N34" s="279" t="str">
        <f>IF(O12&lt;&gt;"","Is there a permanent location where
student records are maintained?","")</f>
        <v/>
      </c>
      <c r="O34" s="162"/>
      <c r="P34" s="162"/>
      <c r="Q34" s="162"/>
      <c r="R34" s="162"/>
      <c r="S34" s="279" t="str">
        <f>IF(T12&lt;&gt;"","Is there a permanent location where
student records are maintained?","")</f>
        <v/>
      </c>
      <c r="T34" s="162"/>
      <c r="U34" s="162"/>
      <c r="V34" s="162"/>
      <c r="W34" s="162"/>
      <c r="X34" s="279" t="str">
        <f>IF(Y12&lt;&gt;"","Is there a permanent location where
student records are maintained?","")</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98.25" customHeight="1">
      <c r="B35" s="812" t="str">
        <f>IF(OR(F$34&lt;&gt;"",I$34&lt;&gt;"",J$34&lt;&gt;"",L$34&lt;&gt;"",O$34&lt;&gt;""),"If 'Met', place location (address) where the permanent student records are maintained.   
If 'Not Met', place rationale OR clarification needed for permanent student records location.","")</f>
        <v/>
      </c>
      <c r="C35" s="812"/>
      <c r="D35" s="812"/>
      <c r="E35" s="812"/>
      <c r="F35" s="813"/>
      <c r="G35" s="813"/>
      <c r="H35" s="813"/>
      <c r="I35" s="164"/>
      <c r="J35" s="814"/>
      <c r="K35" s="814"/>
      <c r="L35" s="814"/>
      <c r="M35" s="814"/>
      <c r="N35" s="279" t="str">
        <f>IF(OR(O$34&lt;&gt;"",P$34&lt;&gt;"",Q$34&lt;&gt;"",R$34&lt;&gt;""),"If 'Met', place location (address) where the permanent student records are maintained.   
If 'Not Met', place rationale OR clarification needed for permanent student records location.","")</f>
        <v/>
      </c>
      <c r="O35" s="163"/>
      <c r="P35" s="163"/>
      <c r="Q35" s="163"/>
      <c r="R35" s="163"/>
      <c r="S35" s="279" t="str">
        <f>IF(OR(T$34&lt;&gt;"",U$34&lt;&gt;"",V$34&lt;&gt;"",W$34&lt;&gt;""),"If 'Met', place location (address) where the permanent student records are maintained.   
If 'Not Met', place rationale OR clarification needed for permanent student records location.","")</f>
        <v/>
      </c>
      <c r="T35" s="163"/>
      <c r="U35" s="163"/>
      <c r="V35" s="163"/>
      <c r="W35" s="163"/>
      <c r="X35" s="279" t="str">
        <f>IF(OR(Y$34&lt;&gt;"",Z$34&lt;&gt;"",AA$34&lt;&gt;"",AB$34&lt;&gt;""),"If 'Met', place location (address) where the permanent student records are maintained.   
If 'Not Met', place rationale OR clarification needed for permanent student records location.","")</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38.1" customHeight="1">
      <c r="B36" s="816" t="str">
        <f>IF(F12&lt;&gt;"","There is evidence the following items are consistent with the main campus:","")</f>
        <v/>
      </c>
      <c r="C36" s="816"/>
      <c r="D36" s="816"/>
      <c r="E36" s="816"/>
      <c r="F36" s="817"/>
      <c r="G36" s="817"/>
      <c r="H36" s="817"/>
      <c r="I36" s="165"/>
      <c r="J36" s="475"/>
      <c r="K36" s="475"/>
      <c r="L36" s="475"/>
      <c r="M36" s="475"/>
      <c r="N36" s="280" t="str">
        <f>IF(O12&lt;&gt;"","There is evidence the following items are consistent with the main campus:","")</f>
        <v/>
      </c>
      <c r="O36" s="165"/>
      <c r="P36" s="165"/>
      <c r="Q36" s="165"/>
      <c r="R36" s="165"/>
      <c r="S36" s="280" t="str">
        <f>IF(T12&lt;&gt;"","There is evidence the following items are consistent with the main campus:","")</f>
        <v/>
      </c>
      <c r="T36" s="165"/>
      <c r="U36" s="165"/>
      <c r="V36" s="165"/>
      <c r="W36" s="165"/>
      <c r="X36" s="280" t="str">
        <f>IF(Y12&lt;&gt;"","There is evidence the following items are consistent with the main campus:","")</f>
        <v/>
      </c>
      <c r="Y36" s="165"/>
      <c r="Z36" s="165"/>
      <c r="AA36" s="165"/>
      <c r="AB36" s="165"/>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2" customHeight="1">
      <c r="B37" s="812" t="str">
        <f>IF(F12&lt;&gt;"","Curricula:","")</f>
        <v/>
      </c>
      <c r="C37" s="812"/>
      <c r="D37" s="812"/>
      <c r="E37" s="812"/>
      <c r="F37" s="815"/>
      <c r="G37" s="815"/>
      <c r="H37" s="815"/>
      <c r="I37" s="162"/>
      <c r="J37" s="815"/>
      <c r="K37" s="815"/>
      <c r="L37" s="815"/>
      <c r="M37" s="815"/>
      <c r="N37" s="279" t="str">
        <f>IF(O12&lt;&gt;"","Curricula:","")</f>
        <v/>
      </c>
      <c r="O37" s="162"/>
      <c r="P37" s="162"/>
      <c r="Q37" s="162"/>
      <c r="R37" s="162"/>
      <c r="S37" s="279" t="str">
        <f>IF(T12&lt;&gt;"","Curricula:","")</f>
        <v/>
      </c>
      <c r="T37" s="162"/>
      <c r="U37" s="162"/>
      <c r="V37" s="162"/>
      <c r="W37" s="162"/>
      <c r="X37" s="279" t="str">
        <f>IF(Y12&lt;&gt;"","Curricula:","")</f>
        <v/>
      </c>
      <c r="Y37" s="162"/>
      <c r="Z37" s="162"/>
      <c r="AA37" s="162"/>
      <c r="AB37" s="162"/>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45" customHeight="1">
      <c r="B38" s="812" t="str">
        <f>IF(OR(F$37="Not Met",I$37="Not Met",J$37="Not Met",L$37="Not Met",O$37="Not Met"),"Rationale for 'Not Met' OR 
Clarification Needed for Curricula:","")</f>
        <v/>
      </c>
      <c r="C38" s="812"/>
      <c r="D38" s="812"/>
      <c r="E38" s="812"/>
      <c r="F38" s="813"/>
      <c r="G38" s="813"/>
      <c r="H38" s="813"/>
      <c r="I38" s="164"/>
      <c r="J38" s="814"/>
      <c r="K38" s="814"/>
      <c r="L38" s="814"/>
      <c r="M38" s="814"/>
      <c r="N38" s="279" t="str">
        <f>IF(OR(O$37="Not Met",P$37="Not Met",Q$37="Not Met",R$37="Not Met"),"Rationale for 'Not Met' OR 
Clarification Needed for Curricula:","")</f>
        <v/>
      </c>
      <c r="O38" s="163"/>
      <c r="P38" s="163"/>
      <c r="Q38" s="163"/>
      <c r="R38" s="163"/>
      <c r="S38" s="279" t="str">
        <f>IF(OR(T$37="Not Met",U$37="Not Met",V$37="Not Met",W$37="Not Met"),"Rationale for 'Not Met' OR 
Clarification Needed for Curricula:","")</f>
        <v/>
      </c>
      <c r="T38" s="163"/>
      <c r="U38" s="163"/>
      <c r="V38" s="163"/>
      <c r="W38" s="163"/>
      <c r="X38" s="279" t="str">
        <f>IF(OR(Y$37="Not Met",Z$37="Not Met",AA$37="Not Met",AB$37="Not Met"),"Rationale for 'Not Met' OR 
Clarification Needed for Curricula:","")</f>
        <v/>
      </c>
      <c r="Y38" s="163"/>
      <c r="Z38" s="163"/>
      <c r="AA38" s="163"/>
      <c r="AB38" s="163"/>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2" customHeight="1">
      <c r="B39" s="812" t="str">
        <f>IF(F12&lt;&gt;"","Course Syllabi:","")</f>
        <v/>
      </c>
      <c r="C39" s="812"/>
      <c r="D39" s="812"/>
      <c r="E39" s="812"/>
      <c r="F39" s="815"/>
      <c r="G39" s="815"/>
      <c r="H39" s="815"/>
      <c r="I39" s="162"/>
      <c r="J39" s="815"/>
      <c r="K39" s="815"/>
      <c r="L39" s="815"/>
      <c r="M39" s="815"/>
      <c r="N39" s="279" t="str">
        <f>IF(O12&lt;&gt;"","Course Syllabi:","")</f>
        <v/>
      </c>
      <c r="O39" s="162"/>
      <c r="P39" s="162"/>
      <c r="Q39" s="162"/>
      <c r="R39" s="162"/>
      <c r="S39" s="279" t="str">
        <f>IF(T12&lt;&gt;"","Course Syllabi:","")</f>
        <v/>
      </c>
      <c r="T39" s="162"/>
      <c r="U39" s="162"/>
      <c r="V39" s="162"/>
      <c r="W39" s="162"/>
      <c r="X39" s="279" t="str">
        <f>IF(Y12&lt;&gt;"","Course Syllabi:","")</f>
        <v/>
      </c>
      <c r="Y39" s="162"/>
      <c r="Z39" s="162"/>
      <c r="AA39" s="162"/>
      <c r="AB39" s="162"/>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5.75" customHeight="1">
      <c r="B40" s="812" t="str">
        <f>IF(OR(F$39="Not Met",I$39="Not Met",J$39="Not Met",L$39="Not Met",O$39="Not Met"),"Rationale for 'Not Met' OR 
Clarification Needed for Course Syllabi:","")</f>
        <v/>
      </c>
      <c r="C40" s="812"/>
      <c r="D40" s="812"/>
      <c r="E40" s="812"/>
      <c r="F40" s="813"/>
      <c r="G40" s="813"/>
      <c r="H40" s="813"/>
      <c r="I40" s="164"/>
      <c r="J40" s="814"/>
      <c r="K40" s="814"/>
      <c r="L40" s="814"/>
      <c r="M40" s="814"/>
      <c r="N40" s="279" t="str">
        <f>IF(OR(O39="Not Met",P39="Not Met",Q39="Not Met",R39="Not Met"),"Rationale for 'Not Met' OR 
Clarification Needed for Course Syllabi:","")</f>
        <v/>
      </c>
      <c r="O40" s="163"/>
      <c r="P40" s="163"/>
      <c r="Q40" s="163"/>
      <c r="R40" s="163"/>
      <c r="S40" s="279" t="str">
        <f>IF(OR(T39="Not Met",U39="Not Met",V39="Not Met",W39="Not Met"),"Rationale for 'Not Met' OR 
Clarification Needed for Course Syllabi:","")</f>
        <v/>
      </c>
      <c r="T40" s="163"/>
      <c r="U40" s="163"/>
      <c r="V40" s="163"/>
      <c r="W40" s="163"/>
      <c r="X40" s="279" t="str">
        <f>IF(OR(Y39="Not Met",Z39="Not Met",AA39="Not Met",AB39="Not Met"),"Rationale for 'Not Met' OR 
Clarification Needed for Course Syllabi:","")</f>
        <v/>
      </c>
      <c r="Y40" s="163"/>
      <c r="Z40" s="163"/>
      <c r="AA40" s="163"/>
      <c r="AB40" s="163"/>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7" customHeight="1">
      <c r="B41" s="812" t="str">
        <f>IF(F12&lt;&gt;"","Faculty Monitoring &amp; Oversight of Sites:
(clinical, field exp. &amp; capstone field internship)","")</f>
        <v/>
      </c>
      <c r="C41" s="812"/>
      <c r="D41" s="812"/>
      <c r="E41" s="812"/>
      <c r="F41" s="815"/>
      <c r="G41" s="815"/>
      <c r="H41" s="815"/>
      <c r="I41" s="162"/>
      <c r="J41" s="815"/>
      <c r="K41" s="815"/>
      <c r="L41" s="815"/>
      <c r="M41" s="815"/>
      <c r="N41" s="279" t="str">
        <f>IF(O12&lt;&gt;"","Faculty Monitoring &amp; Oversight of Sites:
(clinical, field exp. &amp; capstone field internship)","")</f>
        <v/>
      </c>
      <c r="O41" s="162"/>
      <c r="P41" s="162"/>
      <c r="Q41" s="162"/>
      <c r="R41" s="162"/>
      <c r="S41" s="279" t="str">
        <f>IF(T12&lt;&gt;"","Faculty Monitoring &amp; Oversight of Sites:
(clinical, field exp. &amp; capstone field internship)","")</f>
        <v/>
      </c>
      <c r="T41" s="162"/>
      <c r="U41" s="162"/>
      <c r="V41" s="162"/>
      <c r="W41" s="162"/>
      <c r="X41" s="279" t="str">
        <f>IF(Y12&lt;&gt;"","Faculty Monitoring &amp; Oversight of Sites:
(clinical, field exp. &amp; capstone field internship)","")</f>
        <v/>
      </c>
      <c r="Y41" s="162"/>
      <c r="Z41" s="162"/>
      <c r="AA41" s="162"/>
      <c r="AB41" s="162"/>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9.5" customHeight="1">
      <c r="B42" s="812" t="str">
        <f>IF(OR(F$41="Not Met",I$41="Not Met",J$41="Not Met",L$41="Not Met",O$41="Not Met"),"Rationale for 'Not Met' OR Clarification 
Needed for Monitoring &amp; Oversight of Sites:","")</f>
        <v/>
      </c>
      <c r="C42" s="812"/>
      <c r="D42" s="812"/>
      <c r="E42" s="812"/>
      <c r="F42" s="813"/>
      <c r="G42" s="813"/>
      <c r="H42" s="813"/>
      <c r="I42" s="164"/>
      <c r="J42" s="814"/>
      <c r="K42" s="814"/>
      <c r="L42" s="814"/>
      <c r="M42" s="814"/>
      <c r="N42" s="279" t="str">
        <f>IF(OR(O41="Not Met",P41="Not Met",Q41="Not Met",R41="Not Met"),"Rationale for 'Not Met' OR Clarification 
Needed for Monitoring &amp; Oversight of Sites:","")</f>
        <v/>
      </c>
      <c r="O42" s="163"/>
      <c r="P42" s="163"/>
      <c r="Q42" s="163"/>
      <c r="R42" s="163"/>
      <c r="S42" s="279" t="str">
        <f>IF(OR(T41="Not Met",U41="Not Met",V41="Not Met",W41="Not Met"),"Rationale for 'Not Met' OR Clarification 
Needed for Monitoring &amp; Oversight of Sites:","")</f>
        <v/>
      </c>
      <c r="T42" s="163"/>
      <c r="U42" s="163"/>
      <c r="V42" s="163"/>
      <c r="W42" s="163"/>
      <c r="X42" s="279" t="str">
        <f>IF(OR(Y41="Not Met",Z41="Not Met",AA41="Not Met",AB41="Not Met"),"Rationale for 'Not Met' OR Clarification 
Needed for Monitoring &amp; Oversight of Sites:","")</f>
        <v/>
      </c>
      <c r="Y42" s="163"/>
      <c r="Z42" s="163"/>
      <c r="AA42" s="163"/>
      <c r="AB42" s="163"/>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42" customHeight="1">
      <c r="B43" s="812" t="str">
        <f>IF(F12&lt;&gt;"","Scheduled Course Hours &amp; Sequencing:","")</f>
        <v/>
      </c>
      <c r="C43" s="812"/>
      <c r="D43" s="812"/>
      <c r="E43" s="812"/>
      <c r="F43" s="815"/>
      <c r="G43" s="815"/>
      <c r="H43" s="815"/>
      <c r="I43" s="162"/>
      <c r="J43" s="815"/>
      <c r="K43" s="815"/>
      <c r="L43" s="815"/>
      <c r="M43" s="815"/>
      <c r="N43" s="279" t="str">
        <f>IF(O12&lt;&gt;"","Scheduled Course Hours &amp; Sequencing:","")</f>
        <v/>
      </c>
      <c r="O43" s="162"/>
      <c r="P43" s="162"/>
      <c r="Q43" s="162"/>
      <c r="R43" s="162"/>
      <c r="S43" s="279" t="str">
        <f>IF(T12&lt;&gt;"","Scheduled Course Hours &amp; Sequencing:","")</f>
        <v/>
      </c>
      <c r="T43" s="162"/>
      <c r="U43" s="162"/>
      <c r="V43" s="162"/>
      <c r="W43" s="162"/>
      <c r="X43" s="279" t="str">
        <f>IF(Y12&lt;&gt;"","Scheduled Course Hours &amp; Sequencing:","")</f>
        <v/>
      </c>
      <c r="Y43" s="162"/>
      <c r="Z43" s="162"/>
      <c r="AA43" s="162"/>
      <c r="AB43" s="162"/>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2.5" customHeight="1">
      <c r="B44" s="812" t="str">
        <f>IF(OR(F$43="Not Met",I$43="Not Met",J$43="Not Met",L$43="Not Met",O$43="Not Met"),"Rationale for 'Not Met' OR Clarification 
Needed for Course Hours &amp; Sequencing:","")</f>
        <v/>
      </c>
      <c r="C44" s="812"/>
      <c r="D44" s="812"/>
      <c r="E44" s="812"/>
      <c r="F44" s="813"/>
      <c r="G44" s="813"/>
      <c r="H44" s="813"/>
      <c r="I44" s="164"/>
      <c r="J44" s="814"/>
      <c r="K44" s="814"/>
      <c r="L44" s="814"/>
      <c r="M44" s="814"/>
      <c r="N44" s="279" t="str">
        <f>IF(OR(O43="Not Met",P43="Not Met",Q43="Not Met",R43="Not Met"),"Rationale for 'Not Met' OR Clarification 
Needed for Course Hours &amp; Sequencing:","")</f>
        <v/>
      </c>
      <c r="O44" s="163"/>
      <c r="P44" s="163"/>
      <c r="Q44" s="163"/>
      <c r="R44" s="163"/>
      <c r="S44" s="279" t="str">
        <f>IF(OR(T43="Not Met",U43="Not Met",V43="Not Met",W43="Not Met"),"Rationale for 'Not Met' OR Clarification 
Needed for Course Hours &amp; Sequencing:","")</f>
        <v/>
      </c>
      <c r="T44" s="163"/>
      <c r="U44" s="163"/>
      <c r="V44" s="163"/>
      <c r="W44" s="163"/>
      <c r="X44" s="279" t="str">
        <f>IF(OR(Y43="Not Met",Z43="Not Met",AA43="Not Met",AB43="Not Met"),"Rationale for 'Not Met' OR Clarification 
Needed for Course Hours &amp; Sequencing:","")</f>
        <v/>
      </c>
      <c r="Y44" s="163"/>
      <c r="Z44" s="163"/>
      <c r="AA44" s="163"/>
      <c r="AB44" s="163"/>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42" customHeight="1">
      <c r="B45" s="812" t="str">
        <f>IF(F12&lt;&gt;"","   Student Evaluation Tools: 
(cognitive, psychomotor, &amp; affective domains)","")</f>
        <v/>
      </c>
      <c r="C45" s="812"/>
      <c r="D45" s="812"/>
      <c r="E45" s="812"/>
      <c r="F45" s="815"/>
      <c r="G45" s="815"/>
      <c r="H45" s="815"/>
      <c r="I45" s="162"/>
      <c r="J45" s="815"/>
      <c r="K45" s="815"/>
      <c r="L45" s="815"/>
      <c r="M45" s="815"/>
      <c r="N45" s="279" t="str">
        <f>IF(O12&lt;&gt;"","   Student Evaluation Tools: 
(cognitive, psychomotor, &amp; affective domains)","")</f>
        <v/>
      </c>
      <c r="O45" s="162"/>
      <c r="P45" s="162"/>
      <c r="Q45" s="162"/>
      <c r="R45" s="162"/>
      <c r="S45" s="279" t="str">
        <f>IF(T12&lt;&gt;"","   Student Evaluation Tools: 
(cognitive, psychomotor, &amp; affective domains)","")</f>
        <v/>
      </c>
      <c r="T45" s="162"/>
      <c r="U45" s="162"/>
      <c r="V45" s="162"/>
      <c r="W45" s="162"/>
      <c r="X45" s="279" t="str">
        <f>IF(Y12&lt;&gt;"","   Student Evaluation Tools: 
(cognitive, psychomotor, &amp; affective domains)","")</f>
        <v/>
      </c>
      <c r="Y45" s="162"/>
      <c r="Z45" s="162"/>
      <c r="AA45" s="162"/>
      <c r="AB45" s="162"/>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51.75" customHeight="1">
      <c r="B46" s="812" t="str">
        <f>IF(OR(F$45="Not Met",I$45="Not Met",J$45="Not Met",L$45="Not Met",O$45="Not Met"),"Rationale for 'Not Met' OR Clarification 
Needed for Student Evaluation Tools:","")</f>
        <v/>
      </c>
      <c r="C46" s="812"/>
      <c r="D46" s="812"/>
      <c r="E46" s="812"/>
      <c r="F46" s="813"/>
      <c r="G46" s="813"/>
      <c r="H46" s="813"/>
      <c r="I46" s="164"/>
      <c r="J46" s="814"/>
      <c r="K46" s="814"/>
      <c r="L46" s="814"/>
      <c r="M46" s="814"/>
      <c r="N46" s="279" t="str">
        <f>IF(OR(O45="Not Met",P45="Not Met",Q45="Not Met",R45="Not Met"),"Rationale for 'Not Met' OR Clarification 
Needed for Student Evaluation Tools:","")</f>
        <v/>
      </c>
      <c r="O46" s="163"/>
      <c r="P46" s="163"/>
      <c r="Q46" s="163"/>
      <c r="R46" s="163"/>
      <c r="S46" s="279" t="str">
        <f>IF(OR(T45="Not Met",U45="Not Met",V45="Not Met",W45="Not Met"),"Rationale for 'Not Met' OR Clarification 
Needed for Student Evaluation Tools:","")</f>
        <v/>
      </c>
      <c r="T46" s="163"/>
      <c r="U46" s="163"/>
      <c r="V46" s="163"/>
      <c r="W46" s="163"/>
      <c r="X46" s="279" t="str">
        <f>IF(OR(Y45="Not Met",Z45="Not Met",AA45="Not Met",AB45="Not Met"),"Rationale for 'Not Met' OR Clarification 
Needed for Student Evaluation Tools:","")</f>
        <v/>
      </c>
      <c r="Y46" s="163"/>
      <c r="Z46" s="163"/>
      <c r="AA46" s="163"/>
      <c r="AB46" s="163"/>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55.5" customHeight="1">
      <c r="B47" s="812" t="str">
        <f>IF(F12&lt;&gt;"","      Competencies &amp; 
Required Minimum Numbers: 
     (Student Minimum Competency [SMC])","")</f>
        <v/>
      </c>
      <c r="C47" s="812"/>
      <c r="D47" s="812"/>
      <c r="E47" s="812"/>
      <c r="F47" s="815"/>
      <c r="G47" s="815"/>
      <c r="H47" s="815"/>
      <c r="I47" s="162"/>
      <c r="J47" s="815"/>
      <c r="K47" s="815"/>
      <c r="L47" s="815"/>
      <c r="M47" s="815"/>
      <c r="N47" s="279" t="str">
        <f>IF(O12&lt;&gt;"","      Competencies &amp; 
Required Minimum Numbers: 
     (Student Minimum Competency [SMC])","")</f>
        <v/>
      </c>
      <c r="O47" s="162"/>
      <c r="P47" s="162"/>
      <c r="Q47" s="162"/>
      <c r="R47" s="162"/>
      <c r="S47" s="279" t="str">
        <f>IF(T12&lt;&gt;"","      Competencies &amp; 
Required Minimum Numbers: 
     (Student Minimum Competency [SMC])","")</f>
        <v/>
      </c>
      <c r="T47" s="162"/>
      <c r="U47" s="162"/>
      <c r="V47" s="162"/>
      <c r="W47" s="162"/>
      <c r="X47" s="279" t="str">
        <f>IF(Y12&lt;&gt;"","      Competencies &amp; 
Required Minimum Numbers: 
     (Student Minimum Competency [SMC])","")</f>
        <v/>
      </c>
      <c r="Y47" s="162"/>
      <c r="Z47" s="162"/>
      <c r="AA47" s="162"/>
      <c r="AB47" s="162"/>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51.75" customHeight="1">
      <c r="B48" s="812" t="str">
        <f>IF(OR(F$47="Not Met",I$47="Not Met",J$47="Not Met",L$47="Not Met",O$47="Not Met"),"Rationale for 'Not Met' OR Clarification 
Needed for Required Minimum Numbers (SMC):","")</f>
        <v/>
      </c>
      <c r="C48" s="812"/>
      <c r="D48" s="812"/>
      <c r="E48" s="812"/>
      <c r="F48" s="813"/>
      <c r="G48" s="813"/>
      <c r="H48" s="813"/>
      <c r="I48" s="164"/>
      <c r="J48" s="814"/>
      <c r="K48" s="814"/>
      <c r="L48" s="814"/>
      <c r="M48" s="814"/>
      <c r="N48" s="279" t="str">
        <f>IF(OR(O47="Not Met",P47="Not Met",Q47="Not Met",R47="Not Met"),"Rationale for 'Not Met' OR Clarification 
Needed for Required Minimum Numbers (SMC):","")</f>
        <v/>
      </c>
      <c r="O48" s="163"/>
      <c r="P48" s="163"/>
      <c r="Q48" s="163"/>
      <c r="R48" s="163"/>
      <c r="S48" s="279" t="str">
        <f>IF(OR(T47="Not Met",U47="Not Met",V47="Not Met",W47="Not Met"),"Rationale for 'Not Met' OR Clarification 
Needed for Required Minimum Numbers (SMC):","")</f>
        <v/>
      </c>
      <c r="T48" s="163"/>
      <c r="U48" s="163"/>
      <c r="V48" s="163"/>
      <c r="W48" s="163"/>
      <c r="X48" s="279" t="str">
        <f>IF(OR(Y47="Not Met",Z47="Not Met",AA47="Not Met",AB47="Not Met"),"Rationale for 'Not Met' OR Clarification 
Needed for Required Minimum Numbers (SMC):","")</f>
        <v/>
      </c>
      <c r="Y48" s="163"/>
      <c r="Z48" s="163"/>
      <c r="AA48" s="163"/>
      <c r="AB48" s="163"/>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2" customHeight="1">
      <c r="B49" s="812" t="str">
        <f>IF(F12&lt;&gt;"","Clinical &amp; Capstone Field Internship Sites:
(similar in opportunity &amp; patient volume)","")</f>
        <v/>
      </c>
      <c r="C49" s="812"/>
      <c r="D49" s="812"/>
      <c r="E49" s="812"/>
      <c r="F49" s="815"/>
      <c r="G49" s="815"/>
      <c r="H49" s="815"/>
      <c r="I49" s="162"/>
      <c r="J49" s="815"/>
      <c r="K49" s="815"/>
      <c r="L49" s="815"/>
      <c r="M49" s="815"/>
      <c r="N49" s="279" t="str">
        <f>IF(O12&lt;&gt;"","Clinical &amp; Capstone Field Internship Sites:
(similar in opportunity &amp; patient volume)","")</f>
        <v/>
      </c>
      <c r="O49" s="162"/>
      <c r="P49" s="162"/>
      <c r="Q49" s="162"/>
      <c r="R49" s="162"/>
      <c r="S49" s="279" t="str">
        <f>IF(T12&lt;&gt;"","Clinical &amp; Capstone Field Internship Sites:
(similar in opportunity &amp; patient volume)","")</f>
        <v/>
      </c>
      <c r="T49" s="162"/>
      <c r="U49" s="162"/>
      <c r="V49" s="162"/>
      <c r="W49" s="162"/>
      <c r="X49" s="279" t="str">
        <f>IF(Y12&lt;&gt;"","Clinical &amp; Capstone Field Internship Sites:
(similar in opportunity &amp; patient volume)","")</f>
        <v/>
      </c>
      <c r="Y49" s="162"/>
      <c r="Z49" s="162"/>
      <c r="AA49" s="162"/>
      <c r="AB49" s="162"/>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ht="48.75" customHeight="1">
      <c r="B50" s="812" t="str">
        <f>IF(OR(F$49="Not Met",I$49="Not Met",J$49="Not Met",L$49="Not Met",O$49="Not Met"),"Rationale for 'Not Met' OR 
Clarification Needed for Affiliate Sites:","")</f>
        <v/>
      </c>
      <c r="C50" s="812"/>
      <c r="D50" s="812"/>
      <c r="E50" s="812"/>
      <c r="F50" s="813"/>
      <c r="G50" s="813"/>
      <c r="H50" s="813"/>
      <c r="I50" s="164"/>
      <c r="J50" s="814"/>
      <c r="K50" s="814"/>
      <c r="L50" s="814"/>
      <c r="M50" s="814"/>
      <c r="N50" s="279" t="str">
        <f>IF(OR(O49="Not Met",P49="Not Met",Q49="Not Met",R49="Not Met"),"Rationale for 'Not Met' OR 
Clarification Needed for Affiliate Sites:","")</f>
        <v/>
      </c>
      <c r="O50" s="163"/>
      <c r="P50" s="163"/>
      <c r="Q50" s="163"/>
      <c r="R50" s="163"/>
      <c r="S50" s="279" t="str">
        <f>IF(OR(T49="Not Met",U49="Not Met",V49="Not Met",W49="Not Met"),"Rationale for 'Not Met' OR 
Clarification Needed for Affiliate Sites:","")</f>
        <v/>
      </c>
      <c r="T50" s="163"/>
      <c r="U50" s="163"/>
      <c r="V50" s="163"/>
      <c r="W50" s="163"/>
      <c r="X50" s="279" t="str">
        <f>IF(OR(Y49="Not Met",Z49="Not Met",AA49="Not Met",AB49="Not Met"),"Rationale for 'Not Met' OR 
Clarification Needed for Affiliate Sites:","")</f>
        <v/>
      </c>
      <c r="Y50" s="163"/>
      <c r="Z50" s="163"/>
      <c r="AA50" s="163"/>
      <c r="AB50" s="163"/>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ht="42" customHeight="1">
      <c r="B51" s="812" t="str">
        <f>IF(F12&lt;&gt;"","On-Site Liaison Orientation/
Capstone Field Internship Training:","")</f>
        <v/>
      </c>
      <c r="C51" s="812"/>
      <c r="D51" s="812"/>
      <c r="E51" s="812"/>
      <c r="F51" s="815"/>
      <c r="G51" s="815"/>
      <c r="H51" s="815"/>
      <c r="I51" s="162"/>
      <c r="J51" s="815"/>
      <c r="K51" s="815"/>
      <c r="L51" s="815"/>
      <c r="M51" s="815"/>
      <c r="N51" s="279" t="str">
        <f>IF(O12&lt;&gt;"","On-Site Liaison Orientation/
Capstone Field Internship Training:","")</f>
        <v/>
      </c>
      <c r="O51" s="162"/>
      <c r="P51" s="162"/>
      <c r="Q51" s="162"/>
      <c r="R51" s="162"/>
      <c r="S51" s="279" t="str">
        <f>IF(T12&lt;&gt;"","On-Site Liaison Orientation/
Capstone Field Internship Training:","")</f>
        <v/>
      </c>
      <c r="T51" s="162"/>
      <c r="U51" s="162"/>
      <c r="V51" s="162"/>
      <c r="W51" s="162"/>
      <c r="X51" s="279" t="str">
        <f>IF(Y12&lt;&gt;"","On-Site Liaison Orientation/
Capstone Field Internship Training:","")</f>
        <v/>
      </c>
      <c r="Y51" s="162"/>
      <c r="Z51" s="162"/>
      <c r="AA51" s="162"/>
      <c r="AB51" s="162"/>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8" customHeight="1">
      <c r="B52" s="812" t="str">
        <f>IF(OR(F$51="Not Met",I$51="Not Met",J$51="Not Met",L$51="Not Met",O$51="Not Met"),"Rationale for 'Not Met' OR Clarification 
Needed for On-Site Liaison Orientation/
Capstone Field Internship Training:","")</f>
        <v/>
      </c>
      <c r="C52" s="812"/>
      <c r="D52" s="812"/>
      <c r="E52" s="812"/>
      <c r="F52" s="813"/>
      <c r="G52" s="813"/>
      <c r="H52" s="813"/>
      <c r="I52" s="164"/>
      <c r="J52" s="814"/>
      <c r="K52" s="814"/>
      <c r="L52" s="814"/>
      <c r="M52" s="814"/>
      <c r="N52" s="279" t="str">
        <f>IF(OR(O51="Not Met",P51="Not Met",Q51="Not Met",R51="Not Met"),"Rationale for 'Not Met' OR Clarification 
Needed for On-Site Liaison Orientation/
Capstone Field Internship Training:","")</f>
        <v/>
      </c>
      <c r="O52" s="163"/>
      <c r="P52" s="163"/>
      <c r="Q52" s="163"/>
      <c r="R52" s="163"/>
      <c r="S52" s="279" t="str">
        <f>IF(OR(T51="Not Met",U51="Not Met",V51="Not Met",W51="Not Met"),"Rationale for 'Not Met' OR Clarification 
Needed for On-Site Liaison Orientation/
Capstone Field Internship Training:","")</f>
        <v/>
      </c>
      <c r="T52" s="163"/>
      <c r="U52" s="163"/>
      <c r="V52" s="163"/>
      <c r="W52" s="163"/>
      <c r="X52" s="279" t="str">
        <f>IF(OR(Y51="Not Met",Z51="Not Met",AA51="Not Met",AB51="Not Met"),"Rationale for 'Not Met' OR Clarification 
Needed for On-Site Liaison Orientation/
Capstone Field Internship Training:","")</f>
        <v/>
      </c>
      <c r="Y52" s="163"/>
      <c r="Z52" s="163"/>
      <c r="AA52" s="163"/>
      <c r="AB52" s="163"/>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3" spans="2:96">
      <c r="M53" s="19"/>
      <c r="N53" s="19"/>
      <c r="O53" s="19"/>
      <c r="P53" s="19"/>
      <c r="Q53" s="19"/>
      <c r="R53" s="19"/>
      <c r="S53" s="19"/>
      <c r="T53" s="65"/>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row>
    <row r="54" spans="2:96">
      <c r="M54" s="19"/>
      <c r="N54" s="19"/>
      <c r="O54" s="19"/>
      <c r="P54" s="19"/>
      <c r="Q54" s="19"/>
      <c r="R54" s="19"/>
      <c r="S54" s="19"/>
      <c r="T54" s="65"/>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row>
    <row r="55" spans="2:96" ht="40.5" customHeight="1">
      <c r="E55" s="481" t="str">
        <f>IF(AND(H6&lt;&gt;"N/A",H7="N/A",H8=""), "This completes the Satellite Addendum","")</f>
        <v/>
      </c>
      <c r="F55" s="481"/>
      <c r="G55" s="481"/>
      <c r="H55" s="481"/>
      <c r="I55" s="481"/>
      <c r="O55" s="481" t="str">
        <f>IF(AND(H6&lt;&gt;"N/A",H6&gt;=5,H7="N/A",H8=""), "This completes the Satellite Addendum","")</f>
        <v/>
      </c>
      <c r="P55" s="481"/>
      <c r="Q55" s="481"/>
      <c r="R55" s="19"/>
      <c r="S55" s="19"/>
      <c r="T55" s="481" t="str">
        <f>IF(AND(H6&lt;&gt;"N/A",H6&gt;=9,H7="N/A",H8=""), "This completes the Satellite Addendum","")</f>
        <v/>
      </c>
      <c r="U55" s="481"/>
      <c r="V55" s="481"/>
      <c r="W55" s="19"/>
      <c r="X55" s="19"/>
      <c r="Y55" s="481" t="str">
        <f>IF(AND(H6&lt;&gt;"N/A",H6&gt;=13,H7="N/A",H8=""), "This completes the Satellite Addendum","")</f>
        <v/>
      </c>
      <c r="Z55" s="481"/>
      <c r="AA55" s="481"/>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row>
    <row r="58" spans="2:96" ht="25.5" customHeight="1">
      <c r="B58" s="146"/>
      <c r="C58" s="812"/>
      <c r="D58" s="812"/>
      <c r="E58" s="812"/>
      <c r="F58" s="822" t="str">
        <f>IF(H7&lt;&gt;"N/A","Out of State Satellite(s)","")</f>
        <v/>
      </c>
      <c r="G58" s="822"/>
      <c r="H58" s="822"/>
      <c r="I58" s="822"/>
      <c r="J58" s="822"/>
      <c r="K58" s="822"/>
      <c r="L58" s="822"/>
      <c r="M58" s="822"/>
    </row>
    <row r="59" spans="2:96" ht="36.75" customHeight="1">
      <c r="B59" s="146"/>
      <c r="C59" s="475"/>
      <c r="D59" s="475"/>
      <c r="E59" s="475"/>
      <c r="F59" s="822" t="str">
        <f>IF(AND($H7&lt;&gt;"N/A",$H7&gt;=1),"Satellite Location #1","")</f>
        <v/>
      </c>
      <c r="G59" s="822"/>
      <c r="H59" s="822"/>
      <c r="I59" s="159" t="str">
        <f>IF(AND($H7&lt;&gt;"N/A",$H7&gt;=2),"Satellite Location #2","")</f>
        <v/>
      </c>
      <c r="J59" s="822" t="str">
        <f>IF(AND($H7&lt;&gt;"N/A",$H7&gt;=3),"Satellite Location #3","")</f>
        <v/>
      </c>
      <c r="K59" s="822"/>
      <c r="L59" s="822" t="str">
        <f>IF(AND($H7&lt;&gt;"N/A",$H7&gt;=4),"Satellite Location #4","")</f>
        <v/>
      </c>
      <c r="M59" s="822"/>
    </row>
    <row r="60" spans="2:96" ht="39.75" customHeight="1">
      <c r="B60" s="812" t="str">
        <f>IF(F59&lt;&gt;"","Satellite Name, City, State:","")</f>
        <v/>
      </c>
      <c r="C60" s="812"/>
      <c r="D60" s="812"/>
      <c r="E60" s="812"/>
      <c r="F60" s="818"/>
      <c r="G60" s="815"/>
      <c r="H60" s="815"/>
      <c r="I60" s="160"/>
      <c r="J60" s="818"/>
      <c r="K60" s="818"/>
      <c r="L60" s="818"/>
      <c r="M60" s="818"/>
    </row>
    <row r="61" spans="2:96" ht="39.75" customHeight="1">
      <c r="B61" s="812" t="str">
        <f>IF(F59&lt;&gt;"","Distance from main campus:
(in miles)","")</f>
        <v/>
      </c>
      <c r="C61" s="812"/>
      <c r="D61" s="812"/>
      <c r="E61" s="812"/>
      <c r="F61" s="820"/>
      <c r="G61" s="820"/>
      <c r="H61" s="820"/>
      <c r="I61" s="161"/>
      <c r="J61" s="821"/>
      <c r="K61" s="821"/>
      <c r="L61" s="821"/>
      <c r="M61" s="821"/>
    </row>
    <row r="62" spans="2:96" ht="39.75" customHeight="1">
      <c r="B62" s="812" t="str">
        <f>IF(F59&lt;&gt;"","Maximum number of students:
(per cohort)","")</f>
        <v/>
      </c>
      <c r="C62" s="812"/>
      <c r="D62" s="812"/>
      <c r="E62" s="812"/>
      <c r="F62" s="820"/>
      <c r="G62" s="820"/>
      <c r="H62" s="820"/>
      <c r="I62" s="161"/>
      <c r="J62" s="821"/>
      <c r="K62" s="821"/>
      <c r="L62" s="821"/>
      <c r="M62" s="821"/>
    </row>
    <row r="63" spans="2:96" ht="39.75" customHeight="1">
      <c r="B63" s="812" t="str">
        <f>IF(F59&lt;&gt;"","Approved satellite Lead Instructor:","")</f>
        <v/>
      </c>
      <c r="C63" s="812"/>
      <c r="D63" s="812"/>
      <c r="E63" s="812"/>
      <c r="F63" s="815"/>
      <c r="G63" s="815"/>
      <c r="H63" s="815"/>
      <c r="I63" s="160"/>
      <c r="J63" s="818"/>
      <c r="K63" s="818"/>
      <c r="L63" s="818"/>
      <c r="M63" s="818"/>
    </row>
    <row r="64" spans="2:96" ht="39.75" customHeight="1">
      <c r="B64" s="812" t="str">
        <f>IF(F59&lt;&gt;"","Approved satellite Medical Director:","")</f>
        <v/>
      </c>
      <c r="C64" s="812"/>
      <c r="D64" s="812"/>
      <c r="E64" s="812"/>
      <c r="F64" s="815"/>
      <c r="G64" s="815"/>
      <c r="H64" s="815"/>
      <c r="I64" s="160"/>
      <c r="J64" s="818"/>
      <c r="K64" s="818"/>
      <c r="L64" s="818"/>
      <c r="M64" s="818"/>
    </row>
    <row r="65" spans="2:13" ht="64.5" customHeight="1">
      <c r="B65" s="812"/>
      <c r="C65" s="812"/>
      <c r="D65" s="812"/>
      <c r="E65" s="812"/>
      <c r="F65" s="819" t="str">
        <f>IF(F59&lt;&gt;"","Site Visitors please provide the information below specifically for this satellite location:","")</f>
        <v/>
      </c>
      <c r="G65" s="819"/>
      <c r="H65" s="819"/>
      <c r="I65" s="166" t="str">
        <f>IF(I59&lt;&gt;"","Site Visitors please provide the information below specifically for this satellite location:","")</f>
        <v/>
      </c>
      <c r="J65" s="819" t="str">
        <f>IF(J59&lt;&gt;"","Site Visitors please provide the information below specifically for this satellite location:","")</f>
        <v/>
      </c>
      <c r="K65" s="819"/>
      <c r="L65" s="819" t="str">
        <f>IF(L59&lt;&gt;"","Site Visitors please provide the information below specifically for this satellite location:","")</f>
        <v/>
      </c>
      <c r="M65" s="819"/>
    </row>
    <row r="66" spans="2:13" ht="36" customHeight="1">
      <c r="B66" s="812" t="str">
        <f>IF(F59&lt;&gt;"","Did the site visit team visit (phisically or virtually) the satellite location(s)?","")</f>
        <v/>
      </c>
      <c r="C66" s="812"/>
      <c r="D66" s="812"/>
      <c r="E66" s="812"/>
      <c r="F66" s="815"/>
      <c r="G66" s="815"/>
      <c r="H66" s="815"/>
      <c r="I66" s="162"/>
      <c r="J66" s="815"/>
      <c r="K66" s="815"/>
      <c r="L66" s="815"/>
      <c r="M66" s="815"/>
    </row>
    <row r="67" spans="2:13" ht="36" customHeight="1">
      <c r="B67" s="812" t="str">
        <f>IF(F59&lt;&gt;"","Does the program utilize specific clinical or field affiliations for this location?","")</f>
        <v/>
      </c>
      <c r="C67" s="812"/>
      <c r="D67" s="812"/>
      <c r="E67" s="812"/>
      <c r="F67" s="815"/>
      <c r="G67" s="815"/>
      <c r="H67" s="815"/>
      <c r="I67" s="162"/>
      <c r="J67" s="815"/>
      <c r="K67" s="815"/>
      <c r="L67" s="815"/>
      <c r="M67" s="815"/>
    </row>
    <row r="68" spans="2:13" ht="36" customHeight="1">
      <c r="B68" s="812" t="str">
        <f>IF(F59&lt;&gt;"","PD responsible for management:","")</f>
        <v/>
      </c>
      <c r="C68" s="812"/>
      <c r="D68" s="812"/>
      <c r="E68" s="812"/>
      <c r="F68" s="815"/>
      <c r="G68" s="815"/>
      <c r="H68" s="815"/>
      <c r="I68" s="162"/>
      <c r="J68" s="815"/>
      <c r="K68" s="815"/>
      <c r="L68" s="815"/>
      <c r="M68" s="815"/>
    </row>
    <row r="69" spans="2:13" ht="52.5" customHeight="1">
      <c r="B69" s="812" t="str">
        <f>IF(F59&lt;&gt;"","Satellite(s) Resources Assessment Matrix (RAM) completed 
(separate from main campus)?","")</f>
        <v/>
      </c>
      <c r="C69" s="812"/>
      <c r="D69" s="812"/>
      <c r="E69" s="812"/>
      <c r="F69" s="815"/>
      <c r="G69" s="815"/>
      <c r="H69" s="815"/>
      <c r="I69" s="162"/>
      <c r="J69" s="815"/>
      <c r="K69" s="815"/>
      <c r="L69" s="815"/>
      <c r="M69" s="815"/>
    </row>
    <row r="70" spans="2:13" ht="36" customHeight="1">
      <c r="B70" s="812" t="str">
        <f>IF(F59&lt;&gt;"","Were the equipment &amp; supplies sufficient?","")</f>
        <v/>
      </c>
      <c r="C70" s="812"/>
      <c r="D70" s="812"/>
      <c r="E70" s="812"/>
      <c r="F70" s="815"/>
      <c r="G70" s="815"/>
      <c r="H70" s="815"/>
      <c r="I70" s="162"/>
      <c r="J70" s="815"/>
      <c r="K70" s="815"/>
      <c r="L70" s="815"/>
      <c r="M70" s="815"/>
    </row>
    <row r="71" spans="2:13" ht="36" customHeight="1">
      <c r="B71" s="812" t="str">
        <f>IF(F59&lt;&gt;"","Were the facilities sufficient?","")</f>
        <v/>
      </c>
      <c r="C71" s="812"/>
      <c r="D71" s="812"/>
      <c r="E71" s="812"/>
      <c r="F71" s="815"/>
      <c r="G71" s="815"/>
      <c r="H71" s="815"/>
      <c r="I71" s="162"/>
      <c r="J71" s="815"/>
      <c r="K71" s="815"/>
      <c r="L71" s="815"/>
      <c r="M71" s="815"/>
    </row>
    <row r="72" spans="2:13" ht="62.25" customHeight="1">
      <c r="B72" s="812" t="str">
        <f>IF(OR(F$71="Not Met",I$71="Not Met",J$71="Not Met",L$71="Not Met",O$71="Not Met"),"Rationale for 'Not Met' OR 
Clarification Needed for Facilities:","")</f>
        <v/>
      </c>
      <c r="C72" s="812"/>
      <c r="D72" s="812"/>
      <c r="E72" s="812"/>
      <c r="F72" s="813"/>
      <c r="G72" s="813"/>
      <c r="H72" s="813"/>
      <c r="I72" s="163"/>
      <c r="J72" s="813"/>
      <c r="K72" s="813"/>
      <c r="L72" s="813"/>
      <c r="M72" s="813"/>
    </row>
    <row r="73" spans="2:13" ht="68.25" customHeight="1">
      <c r="B73" s="812" t="str">
        <f>IF(F59&lt;&gt;"","Program materials apply to the satellite course:
(program catalog, student handbook, policy manual, &amp; clinical/field internship materials)","")</f>
        <v/>
      </c>
      <c r="C73" s="812"/>
      <c r="D73" s="812"/>
      <c r="E73" s="812"/>
      <c r="F73" s="815"/>
      <c r="G73" s="815"/>
      <c r="H73" s="815"/>
      <c r="I73" s="162"/>
      <c r="J73" s="815"/>
      <c r="K73" s="815"/>
      <c r="L73" s="815"/>
      <c r="M73" s="815"/>
    </row>
    <row r="74" spans="2:13" ht="62.25" customHeight="1">
      <c r="B74" s="812" t="str">
        <f>IF(OR(F$73="Not Met",I$73="Not Met",J$73="Not Met",L$73="Not Met",O$73="Not Met"),"Rationale for 'Not Met' OR Clarification 
Needed for Satellite Program Materials:","")</f>
        <v/>
      </c>
      <c r="C74" s="812"/>
      <c r="D74" s="812"/>
      <c r="E74" s="812"/>
      <c r="F74" s="813"/>
      <c r="G74" s="813"/>
      <c r="H74" s="813"/>
      <c r="I74" s="164"/>
      <c r="J74" s="814"/>
      <c r="K74" s="814"/>
      <c r="L74" s="814"/>
      <c r="M74" s="814"/>
    </row>
    <row r="75" spans="2:13" ht="42" customHeight="1">
      <c r="B75" s="812" t="str">
        <f>IF(F59&lt;&gt;"","Were students interviewed?","")</f>
        <v/>
      </c>
      <c r="C75" s="812"/>
      <c r="D75" s="812"/>
      <c r="E75" s="812"/>
      <c r="F75" s="815"/>
      <c r="G75" s="815"/>
      <c r="H75" s="815"/>
      <c r="I75" s="162"/>
      <c r="J75" s="815"/>
      <c r="K75" s="815"/>
      <c r="L75" s="815"/>
      <c r="M75" s="815"/>
    </row>
    <row r="76" spans="2:13" ht="45" customHeight="1">
      <c r="B76" s="812" t="str">
        <f>IF(OR(F$75="Not Met",I$75="Not Met",J75="Not Met",L$28="Not Met",O75="Not Met"),"Rationale for 'Not Met' OR Clarification 
Needed for interviewing Students:","")</f>
        <v/>
      </c>
      <c r="C76" s="812"/>
      <c r="D76" s="812"/>
      <c r="E76" s="812"/>
      <c r="F76" s="813"/>
      <c r="G76" s="813"/>
      <c r="H76" s="813"/>
      <c r="I76" s="164"/>
      <c r="J76" s="814"/>
      <c r="K76" s="814"/>
      <c r="L76" s="814"/>
      <c r="M76" s="814"/>
    </row>
    <row r="77" spans="2:13" ht="42" customHeight="1">
      <c r="B77" s="812" t="str">
        <f>IF(F59&lt;&gt;"","Were graduates interviewed?","")</f>
        <v/>
      </c>
      <c r="C77" s="812"/>
      <c r="D77" s="812"/>
      <c r="E77" s="812"/>
      <c r="F77" s="815"/>
      <c r="G77" s="815"/>
      <c r="H77" s="815"/>
      <c r="I77" s="162"/>
      <c r="J77" s="815"/>
      <c r="K77" s="815"/>
      <c r="L77" s="815"/>
      <c r="M77" s="815"/>
    </row>
    <row r="78" spans="2:13" ht="45" customHeight="1">
      <c r="B78" s="812" t="str">
        <f>IF(OR(F77="Not Met",I77="Not Met",J77="Not Met",L$30="Not Met",O77="Not Met"),"Rationale for 'Not Met' OR Clarification 
Needed for interviewing Graduates:","")</f>
        <v/>
      </c>
      <c r="C78" s="812"/>
      <c r="D78" s="812"/>
      <c r="E78" s="812"/>
      <c r="F78" s="813"/>
      <c r="G78" s="813"/>
      <c r="H78" s="813"/>
      <c r="I78" s="164"/>
      <c r="J78" s="814"/>
      <c r="K78" s="814"/>
      <c r="L78" s="814"/>
      <c r="M78" s="814"/>
    </row>
    <row r="79" spans="2:13" ht="57" customHeight="1">
      <c r="B79" s="812" t="str">
        <f>IF(F59&lt;&gt;"","If distant technology is used to deliver content, describe the tools used and the schedule:","")</f>
        <v/>
      </c>
      <c r="C79" s="812"/>
      <c r="D79" s="812"/>
      <c r="E79" s="812"/>
      <c r="F79" s="815"/>
      <c r="G79" s="815"/>
      <c r="H79" s="815"/>
      <c r="I79" s="162"/>
      <c r="J79" s="815"/>
      <c r="K79" s="815"/>
      <c r="L79" s="815"/>
      <c r="M79" s="815"/>
    </row>
    <row r="80" spans="2:13" ht="45" customHeight="1">
      <c r="B80" s="812" t="str">
        <f>IF(OR(F79="Not Met",I79="Not Met",J79="Not Met",L79="Not Met",O79="Not Met"),"Rationale for 'Not Met' OR Clarification 
Needed for Distant Technology:","")</f>
        <v/>
      </c>
      <c r="C80" s="812"/>
      <c r="D80" s="812"/>
      <c r="E80" s="812"/>
      <c r="F80" s="813"/>
      <c r="G80" s="813"/>
      <c r="H80" s="813"/>
      <c r="I80" s="164"/>
      <c r="J80" s="814"/>
      <c r="K80" s="814"/>
      <c r="L80" s="814"/>
      <c r="M80" s="814"/>
    </row>
    <row r="81" spans="2:13" ht="42" customHeight="1">
      <c r="B81" s="812" t="str">
        <f>IF(F59&lt;&gt;"","Is there a permanent location where
student records are maintained?","")</f>
        <v/>
      </c>
      <c r="C81" s="812"/>
      <c r="D81" s="812"/>
      <c r="E81" s="812"/>
      <c r="F81" s="815"/>
      <c r="G81" s="815"/>
      <c r="H81" s="815"/>
      <c r="I81" s="162"/>
      <c r="J81" s="815"/>
      <c r="K81" s="815"/>
      <c r="L81" s="815"/>
      <c r="M81" s="815"/>
    </row>
    <row r="82" spans="2:13" ht="98.25" customHeight="1">
      <c r="B82" s="812" t="str">
        <f>IF(OR(F81&lt;&gt;"",I81&lt;&gt;"",J81&lt;&gt;"",L81&lt;&gt;"",O81&lt;&gt;""),"If 'Met', place location (address) where the permanent student records are maintained.   
If 'Not Met', place rationale OR clarification needed for permanent student records location.","")</f>
        <v/>
      </c>
      <c r="C82" s="812"/>
      <c r="D82" s="812"/>
      <c r="E82" s="812"/>
      <c r="F82" s="813"/>
      <c r="G82" s="813"/>
      <c r="H82" s="813"/>
      <c r="I82" s="164"/>
      <c r="J82" s="814"/>
      <c r="K82" s="814"/>
      <c r="L82" s="814"/>
      <c r="M82" s="814"/>
    </row>
    <row r="83" spans="2:13" ht="38.1" customHeight="1">
      <c r="B83" s="816" t="str">
        <f>IF(F59&lt;&gt;"","There is evidence the following items are consistent with the main campus:","")</f>
        <v/>
      </c>
      <c r="C83" s="816"/>
      <c r="D83" s="816"/>
      <c r="E83" s="816"/>
      <c r="F83" s="817"/>
      <c r="G83" s="817"/>
      <c r="H83" s="817"/>
      <c r="I83" s="165"/>
      <c r="J83" s="475"/>
      <c r="K83" s="475"/>
      <c r="L83" s="475"/>
      <c r="M83" s="475"/>
    </row>
    <row r="84" spans="2:13" ht="42" customHeight="1">
      <c r="B84" s="812" t="str">
        <f>IF(F59&lt;&gt;"","Curricula:","")</f>
        <v/>
      </c>
      <c r="C84" s="812"/>
      <c r="D84" s="812"/>
      <c r="E84" s="812"/>
      <c r="F84" s="815"/>
      <c r="G84" s="815"/>
      <c r="H84" s="815"/>
      <c r="I84" s="162"/>
      <c r="J84" s="815"/>
      <c r="K84" s="815"/>
      <c r="L84" s="815"/>
      <c r="M84" s="815"/>
    </row>
    <row r="85" spans="2:13" ht="45" customHeight="1">
      <c r="B85" s="812" t="str">
        <f>IF(OR(F84="Not Met",I84="Not Met",J84="Not Met",L84="Not Met",O84="Not Met"),"Rationale for 'Not Met' OR 
Clarification Needed for Curricula:","")</f>
        <v/>
      </c>
      <c r="C85" s="812"/>
      <c r="D85" s="812"/>
      <c r="E85" s="812"/>
      <c r="F85" s="813"/>
      <c r="G85" s="813"/>
      <c r="H85" s="813"/>
      <c r="I85" s="164"/>
      <c r="J85" s="814"/>
      <c r="K85" s="814"/>
      <c r="L85" s="814"/>
      <c r="M85" s="814"/>
    </row>
    <row r="86" spans="2:13" ht="42" customHeight="1">
      <c r="B86" s="812" t="str">
        <f>IF(F59&lt;&gt;"","Course Syllabi:","")</f>
        <v/>
      </c>
      <c r="C86" s="812"/>
      <c r="D86" s="812"/>
      <c r="E86" s="812"/>
      <c r="F86" s="815"/>
      <c r="G86" s="815"/>
      <c r="H86" s="815"/>
      <c r="I86" s="162"/>
      <c r="J86" s="815"/>
      <c r="K86" s="815"/>
      <c r="L86" s="815"/>
      <c r="M86" s="815"/>
    </row>
    <row r="87" spans="2:13" ht="45.75" customHeight="1">
      <c r="B87" s="812" t="str">
        <f>IF(OR(F86="Not Met",I86="Not Met",J86="Not Met",L86="Not Met",O86="Not Met"),"Rationale for 'Not Met' OR 
Clarification Needed for Course Syllabi:","")</f>
        <v/>
      </c>
      <c r="C87" s="812"/>
      <c r="D87" s="812"/>
      <c r="E87" s="812"/>
      <c r="F87" s="813"/>
      <c r="G87" s="813"/>
      <c r="H87" s="813"/>
      <c r="I87" s="164"/>
      <c r="J87" s="814"/>
      <c r="K87" s="814"/>
      <c r="L87" s="814"/>
      <c r="M87" s="814"/>
    </row>
    <row r="88" spans="2:13" ht="57" customHeight="1">
      <c r="B88" s="812" t="str">
        <f>IF(F59&lt;&gt;"","Faculty Monitoring &amp; Oversight of Sites:
(clinical, field exp. &amp; capstone field internship)","")</f>
        <v/>
      </c>
      <c r="C88" s="812"/>
      <c r="D88" s="812"/>
      <c r="E88" s="812"/>
      <c r="F88" s="815"/>
      <c r="G88" s="815"/>
      <c r="H88" s="815"/>
      <c r="I88" s="162"/>
      <c r="J88" s="815"/>
      <c r="K88" s="815"/>
      <c r="L88" s="815"/>
      <c r="M88" s="815"/>
    </row>
    <row r="89" spans="2:13" ht="49.5" customHeight="1">
      <c r="B89" s="812" t="str">
        <f>IF(OR(F88="Not Met",I88="Not Met",J88="Not Met",L88="Not Met",O88="Not Met"),"Rationale for 'Not Met' OR Clarification 
Needed for Monitoring &amp; Oversight of Sites:","")</f>
        <v/>
      </c>
      <c r="C89" s="812"/>
      <c r="D89" s="812"/>
      <c r="E89" s="812"/>
      <c r="F89" s="813"/>
      <c r="G89" s="813"/>
      <c r="H89" s="813"/>
      <c r="I89" s="164"/>
      <c r="J89" s="814"/>
      <c r="K89" s="814"/>
      <c r="L89" s="814"/>
      <c r="M89" s="814"/>
    </row>
    <row r="90" spans="2:13" ht="42" customHeight="1">
      <c r="B90" s="812" t="str">
        <f>IF(F59&lt;&gt;"","Scheduled Course Hours &amp; Sequencing:","")</f>
        <v/>
      </c>
      <c r="C90" s="812"/>
      <c r="D90" s="812"/>
      <c r="E90" s="812"/>
      <c r="F90" s="815"/>
      <c r="G90" s="815"/>
      <c r="H90" s="815"/>
      <c r="I90" s="162"/>
      <c r="J90" s="815"/>
      <c r="K90" s="815"/>
      <c r="L90" s="815"/>
      <c r="M90" s="815"/>
    </row>
    <row r="91" spans="2:13" ht="52.5" customHeight="1">
      <c r="B91" s="812" t="str">
        <f>IF(OR(F90="Not Met",I90="Not Met",J90="Not Met",L90="Not Met",O90="Not Met"),"Rationale for 'Not Met' OR Clarification 
Needed for Course Hours &amp; Sequencing:","")</f>
        <v/>
      </c>
      <c r="C91" s="812"/>
      <c r="D91" s="812"/>
      <c r="E91" s="812"/>
      <c r="F91" s="813"/>
      <c r="G91" s="813"/>
      <c r="H91" s="813"/>
      <c r="I91" s="164"/>
      <c r="J91" s="814"/>
      <c r="K91" s="814"/>
      <c r="L91" s="814"/>
      <c r="M91" s="814"/>
    </row>
    <row r="92" spans="2:13" ht="42" customHeight="1">
      <c r="B92" s="812" t="str">
        <f>IF(F59&lt;&gt;"","   Student Evaluation Tools: 
(cognitive, psychomotor, &amp; affective domains)","")</f>
        <v/>
      </c>
      <c r="C92" s="812"/>
      <c r="D92" s="812"/>
      <c r="E92" s="812"/>
      <c r="F92" s="815"/>
      <c r="G92" s="815"/>
      <c r="H92" s="815"/>
      <c r="I92" s="162"/>
      <c r="J92" s="815"/>
      <c r="K92" s="815"/>
      <c r="L92" s="815"/>
      <c r="M92" s="815"/>
    </row>
    <row r="93" spans="2:13" ht="51.75" customHeight="1">
      <c r="B93" s="812" t="str">
        <f>IF(OR(F92="Not Met",I92="Not Met",J92="Not Met",L92="Not Met",O92="Not Met"),"Rationale for 'Not Met' OR Clarification 
Needed for Student Evaluation Tools:","")</f>
        <v/>
      </c>
      <c r="C93" s="812"/>
      <c r="D93" s="812"/>
      <c r="E93" s="812"/>
      <c r="F93" s="813"/>
      <c r="G93" s="813"/>
      <c r="H93" s="813"/>
      <c r="I93" s="164"/>
      <c r="J93" s="814"/>
      <c r="K93" s="814"/>
      <c r="L93" s="814"/>
      <c r="M93" s="814"/>
    </row>
    <row r="94" spans="2:13" ht="55.5" customHeight="1">
      <c r="B94" s="812" t="str">
        <f>IF(F59&lt;&gt;"","      Competencies &amp; 
Required Minimum Numbers: 
     (Student Minimum Competency [SMC])","")</f>
        <v/>
      </c>
      <c r="C94" s="812"/>
      <c r="D94" s="812"/>
      <c r="E94" s="812"/>
      <c r="F94" s="815"/>
      <c r="G94" s="815"/>
      <c r="H94" s="815"/>
      <c r="I94" s="162"/>
      <c r="J94" s="815"/>
      <c r="K94" s="815"/>
      <c r="L94" s="815"/>
      <c r="M94" s="815"/>
    </row>
    <row r="95" spans="2:13" ht="51.75" customHeight="1">
      <c r="B95" s="812" t="str">
        <f>IF(OR(F94="Not Met",I94="Not Met",J94="Not Met",L94="Not Met",O94="Not Met"),"Rationale for 'Not Met' OR Clarification 
Needed for Required Minimum Numbers (SMC):","")</f>
        <v/>
      </c>
      <c r="C95" s="812"/>
      <c r="D95" s="812"/>
      <c r="E95" s="812"/>
      <c r="F95" s="813"/>
      <c r="G95" s="813"/>
      <c r="H95" s="813"/>
      <c r="I95" s="164"/>
      <c r="J95" s="814"/>
      <c r="K95" s="814"/>
      <c r="L95" s="814"/>
      <c r="M95" s="814"/>
    </row>
    <row r="96" spans="2:13" ht="42" customHeight="1">
      <c r="B96" s="812" t="str">
        <f>IF(F59&lt;&gt;"","Clinical &amp; Capstone Field Internship Sites:
(similar in opportunity &amp; patient volume)","")</f>
        <v/>
      </c>
      <c r="C96" s="812"/>
      <c r="D96" s="812"/>
      <c r="E96" s="812"/>
      <c r="F96" s="815"/>
      <c r="G96" s="815"/>
      <c r="H96" s="815"/>
      <c r="I96" s="162"/>
      <c r="J96" s="815"/>
      <c r="K96" s="815"/>
      <c r="L96" s="815"/>
      <c r="M96" s="815"/>
    </row>
    <row r="97" spans="2:96" ht="48.75" customHeight="1">
      <c r="B97" s="812" t="str">
        <f>IF(OR(F96="Not Met",I96="Not Met",J96="Not Met",L96="Not Met",O96="Not Met"),"Rationale for 'Not Met' OR 
Clarification Needed for Affiliate Sites:","")</f>
        <v/>
      </c>
      <c r="C97" s="812"/>
      <c r="D97" s="812"/>
      <c r="E97" s="812"/>
      <c r="F97" s="813"/>
      <c r="G97" s="813"/>
      <c r="H97" s="813"/>
      <c r="I97" s="164"/>
      <c r="J97" s="814"/>
      <c r="K97" s="814"/>
      <c r="L97" s="814"/>
      <c r="M97" s="814"/>
    </row>
    <row r="98" spans="2:96" ht="42" customHeight="1">
      <c r="B98" s="812" t="str">
        <f>IF(F59&lt;&gt;"","On-Site Liaison Orientation/
Capstone Field Internship Training:","")</f>
        <v/>
      </c>
      <c r="C98" s="812"/>
      <c r="D98" s="812"/>
      <c r="E98" s="812"/>
      <c r="F98" s="815"/>
      <c r="G98" s="815"/>
      <c r="H98" s="815"/>
      <c r="I98" s="162"/>
      <c r="J98" s="815"/>
      <c r="K98" s="815"/>
      <c r="L98" s="815"/>
      <c r="M98" s="815"/>
    </row>
    <row r="99" spans="2:96" ht="48" customHeight="1">
      <c r="B99" s="812" t="str">
        <f>IF(OR(F98="Not Met",I98="Not Met",J98="Not Met",L98="Not Met",O98="Not Met"),"Rationale for 'Not Met' OR Clarification 
Needed for On-Site Liaison Orientation/
Capstone Field Internship Training:","")</f>
        <v/>
      </c>
      <c r="C99" s="812"/>
      <c r="D99" s="812"/>
      <c r="E99" s="812"/>
      <c r="F99" s="813"/>
      <c r="G99" s="813"/>
      <c r="H99" s="813"/>
      <c r="I99" s="164"/>
      <c r="J99" s="814"/>
      <c r="K99" s="814"/>
      <c r="L99" s="814"/>
      <c r="M99" s="814"/>
    </row>
    <row r="102" spans="2:96" ht="40.5" customHeight="1">
      <c r="E102" s="481" t="str">
        <f>IF(AND(H7&gt;=1,H7&lt;&gt;"N/A",H8=""), "This completes the Satellite Addendum","")</f>
        <v/>
      </c>
      <c r="F102" s="481"/>
      <c r="G102" s="481"/>
      <c r="H102" s="481"/>
      <c r="I102" s="481"/>
      <c r="O102" s="809"/>
      <c r="P102" s="809"/>
      <c r="Q102" s="809"/>
      <c r="R102" s="19"/>
      <c r="S102" s="19"/>
      <c r="T102" s="810"/>
      <c r="U102" s="810"/>
      <c r="V102" s="810"/>
      <c r="W102" s="19"/>
      <c r="X102" s="19"/>
      <c r="Y102" s="811"/>
      <c r="Z102" s="811"/>
      <c r="AA102" s="811"/>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row>
    <row r="105" spans="2:96" ht="25.5" customHeight="1">
      <c r="B105" s="146"/>
      <c r="C105" s="812"/>
      <c r="D105" s="812"/>
      <c r="E105" s="812"/>
      <c r="F105" s="822" t="str">
        <f>IF(H8&lt;&gt;"","Not Approved Satellite(s)","")</f>
        <v/>
      </c>
      <c r="G105" s="822"/>
      <c r="H105" s="822"/>
      <c r="I105" s="822"/>
      <c r="J105" s="822"/>
      <c r="K105" s="822"/>
      <c r="L105" s="822"/>
      <c r="M105" s="822"/>
    </row>
    <row r="106" spans="2:96" ht="36.75" customHeight="1">
      <c r="B106" s="146"/>
      <c r="C106" s="475"/>
      <c r="D106" s="475"/>
      <c r="E106" s="475"/>
      <c r="F106" s="822" t="str">
        <f>IF(AND($H8&lt;&gt;"",$H8&gt;=1),"Satellite Location #1","")</f>
        <v/>
      </c>
      <c r="G106" s="822"/>
      <c r="H106" s="822"/>
      <c r="I106" s="159" t="str">
        <f>IF(AND($H8&lt;&gt;"",$H8&gt;=2),"Satellite Location #2","")</f>
        <v/>
      </c>
      <c r="J106" s="822" t="str">
        <f>IF(AND($H8&lt;&gt;"",$H8&gt;=3),"Satellite Location #3","")</f>
        <v/>
      </c>
      <c r="K106" s="822"/>
      <c r="L106" s="822" t="str">
        <f>IF(AND($H8&lt;&gt;"",$H8&gt;=4),"Satellite Location #4","")</f>
        <v/>
      </c>
      <c r="M106" s="822"/>
    </row>
    <row r="107" spans="2:96" ht="39.75" customHeight="1">
      <c r="B107" s="812" t="str">
        <f>IF(F106&lt;&gt;"","Satellite Name, City, State:","")</f>
        <v/>
      </c>
      <c r="C107" s="812"/>
      <c r="D107" s="812"/>
      <c r="E107" s="812"/>
      <c r="F107" s="818"/>
      <c r="G107" s="815"/>
      <c r="H107" s="815"/>
      <c r="I107" s="160"/>
      <c r="J107" s="818"/>
      <c r="K107" s="818"/>
      <c r="L107" s="818"/>
      <c r="M107" s="818"/>
    </row>
    <row r="108" spans="2:96" ht="39.75" customHeight="1">
      <c r="B108" s="812" t="str">
        <f>IF(F106&lt;&gt;"","Distance from main campus:
(in miles)","")</f>
        <v/>
      </c>
      <c r="C108" s="812"/>
      <c r="D108" s="812"/>
      <c r="E108" s="812"/>
      <c r="F108" s="820"/>
      <c r="G108" s="820"/>
      <c r="H108" s="820"/>
      <c r="I108" s="161"/>
      <c r="J108" s="821"/>
      <c r="K108" s="821"/>
      <c r="L108" s="821"/>
      <c r="M108" s="821"/>
    </row>
    <row r="109" spans="2:96" ht="39.75" customHeight="1">
      <c r="B109" s="812" t="str">
        <f>IF(F106&lt;&gt;"","Maximum number of students:
(per cohort)","")</f>
        <v/>
      </c>
      <c r="C109" s="812"/>
      <c r="D109" s="812"/>
      <c r="E109" s="812"/>
      <c r="F109" s="820"/>
      <c r="G109" s="820"/>
      <c r="H109" s="820"/>
      <c r="I109" s="161"/>
      <c r="J109" s="821"/>
      <c r="K109" s="821"/>
      <c r="L109" s="821"/>
      <c r="M109" s="821"/>
    </row>
    <row r="110" spans="2:96" ht="39.75" customHeight="1">
      <c r="B110" s="812" t="str">
        <f>IF(F106&lt;&gt;"","Approved satellite Lead Instructor:","")</f>
        <v/>
      </c>
      <c r="C110" s="812"/>
      <c r="D110" s="812"/>
      <c r="E110" s="812"/>
      <c r="F110" s="815"/>
      <c r="G110" s="815"/>
      <c r="H110" s="815"/>
      <c r="I110" s="160"/>
      <c r="J110" s="818"/>
      <c r="K110" s="818"/>
      <c r="L110" s="818"/>
      <c r="M110" s="818"/>
    </row>
    <row r="111" spans="2:96" ht="39.75" customHeight="1">
      <c r="B111" s="812" t="str">
        <f>IF(F106&lt;&gt;"","Approved satellite Medical Director:","")</f>
        <v/>
      </c>
      <c r="C111" s="812"/>
      <c r="D111" s="812"/>
      <c r="E111" s="812"/>
      <c r="F111" s="815"/>
      <c r="G111" s="815"/>
      <c r="H111" s="815"/>
      <c r="I111" s="160"/>
      <c r="J111" s="818"/>
      <c r="K111" s="818"/>
      <c r="L111" s="818"/>
      <c r="M111" s="818"/>
    </row>
    <row r="112" spans="2:96" ht="64.5" customHeight="1">
      <c r="B112" s="812"/>
      <c r="C112" s="812"/>
      <c r="D112" s="812"/>
      <c r="E112" s="812"/>
      <c r="F112" s="819" t="str">
        <f>IF(F106&lt;&gt;"","Site Visitors please provide the information below specifically for this satellite location:","")</f>
        <v/>
      </c>
      <c r="G112" s="819"/>
      <c r="H112" s="819"/>
      <c r="I112" s="166" t="str">
        <f>IF(I106&lt;&gt;"","Site Visitors please provide the information below specifically for this satellite location:","")</f>
        <v/>
      </c>
      <c r="J112" s="819" t="str">
        <f>IF(J106&lt;&gt;"","Site Visitors please provide the information below specifically for this satellite location:","")</f>
        <v/>
      </c>
      <c r="K112" s="819"/>
      <c r="L112" s="819" t="str">
        <f>IF(L106&lt;&gt;"","Site Visitors please provide the information below specifically for this satellite location:","")</f>
        <v/>
      </c>
      <c r="M112" s="819"/>
    </row>
    <row r="113" spans="2:13" ht="36" customHeight="1">
      <c r="B113" s="812" t="str">
        <f>IF(F106&lt;&gt;"","Did the site visit team visit (phisically or virtually) the satellite location(s)?","")</f>
        <v/>
      </c>
      <c r="C113" s="812"/>
      <c r="D113" s="812"/>
      <c r="E113" s="812"/>
      <c r="F113" s="815"/>
      <c r="G113" s="815"/>
      <c r="H113" s="815"/>
      <c r="I113" s="162"/>
      <c r="J113" s="815"/>
      <c r="K113" s="815"/>
      <c r="L113" s="815"/>
      <c r="M113" s="815"/>
    </row>
    <row r="114" spans="2:13" ht="36" customHeight="1">
      <c r="B114" s="812" t="str">
        <f>IF(F106&lt;&gt;"","Does the program utilize specific clinical or field affiliations for this location?","")</f>
        <v/>
      </c>
      <c r="C114" s="812"/>
      <c r="D114" s="812"/>
      <c r="E114" s="812"/>
      <c r="F114" s="815"/>
      <c r="G114" s="815"/>
      <c r="H114" s="815"/>
      <c r="I114" s="162"/>
      <c r="J114" s="815"/>
      <c r="K114" s="815"/>
      <c r="L114" s="815"/>
      <c r="M114" s="815"/>
    </row>
    <row r="115" spans="2:13" ht="36" customHeight="1">
      <c r="B115" s="812" t="str">
        <f>IF(F106&lt;&gt;"","PD responsible for management:","")</f>
        <v/>
      </c>
      <c r="C115" s="812"/>
      <c r="D115" s="812"/>
      <c r="E115" s="812"/>
      <c r="F115" s="815"/>
      <c r="G115" s="815"/>
      <c r="H115" s="815"/>
      <c r="I115" s="162"/>
      <c r="J115" s="815"/>
      <c r="K115" s="815"/>
      <c r="L115" s="815"/>
      <c r="M115" s="815"/>
    </row>
    <row r="116" spans="2:13" ht="52.5" customHeight="1">
      <c r="B116" s="812" t="str">
        <f>IF(F106&lt;&gt;"","Satellite(s) Resources Assessment Matrix (RAM) completed 
(separate from main campus)?","")</f>
        <v/>
      </c>
      <c r="C116" s="812"/>
      <c r="D116" s="812"/>
      <c r="E116" s="812"/>
      <c r="F116" s="815"/>
      <c r="G116" s="815"/>
      <c r="H116" s="815"/>
      <c r="I116" s="162"/>
      <c r="J116" s="815"/>
      <c r="K116" s="815"/>
      <c r="L116" s="815"/>
      <c r="M116" s="815"/>
    </row>
    <row r="117" spans="2:13" ht="36" customHeight="1">
      <c r="B117" s="812" t="str">
        <f>IF(F106&lt;&gt;"","Were the equipment &amp; supplies sufficient?","")</f>
        <v/>
      </c>
      <c r="C117" s="812"/>
      <c r="D117" s="812"/>
      <c r="E117" s="812"/>
      <c r="F117" s="815"/>
      <c r="G117" s="815"/>
      <c r="H117" s="815"/>
      <c r="I117" s="162"/>
      <c r="J117" s="815"/>
      <c r="K117" s="815"/>
      <c r="L117" s="815"/>
      <c r="M117" s="815"/>
    </row>
    <row r="118" spans="2:13" ht="36" customHeight="1">
      <c r="B118" s="812" t="str">
        <f>IF(F106&lt;&gt;"","Were the facilities sufficient?","")</f>
        <v/>
      </c>
      <c r="C118" s="812"/>
      <c r="D118" s="812"/>
      <c r="E118" s="812"/>
      <c r="F118" s="815"/>
      <c r="G118" s="815"/>
      <c r="H118" s="815"/>
      <c r="I118" s="162"/>
      <c r="J118" s="815"/>
      <c r="K118" s="815"/>
      <c r="L118" s="815"/>
      <c r="M118" s="815"/>
    </row>
    <row r="119" spans="2:13" ht="62.25" customHeight="1">
      <c r="B119" s="812" t="str">
        <f>IF(OR(F118="Not Met",I118="Not Met",J118="Not Met",L118="Not Met",O118="Not Met"),"Rationale for 'Not Met' OR 
Clarification Needed for Facilities:","")</f>
        <v/>
      </c>
      <c r="C119" s="812"/>
      <c r="D119" s="812"/>
      <c r="E119" s="812"/>
      <c r="F119" s="813"/>
      <c r="G119" s="813"/>
      <c r="H119" s="813"/>
      <c r="I119" s="163"/>
      <c r="J119" s="813"/>
      <c r="K119" s="813"/>
      <c r="L119" s="813"/>
      <c r="M119" s="813"/>
    </row>
    <row r="120" spans="2:13" ht="68.25" customHeight="1">
      <c r="B120" s="812" t="str">
        <f>IF(F106&lt;&gt;"","Program materials apply to the satellite course:
(program catalog, student handbook, policy manual, &amp; clinical/field internship materials)","")</f>
        <v/>
      </c>
      <c r="C120" s="812"/>
      <c r="D120" s="812"/>
      <c r="E120" s="812"/>
      <c r="F120" s="815"/>
      <c r="G120" s="815"/>
      <c r="H120" s="815"/>
      <c r="I120" s="162"/>
      <c r="J120" s="815"/>
      <c r="K120" s="815"/>
      <c r="L120" s="815"/>
      <c r="M120" s="815"/>
    </row>
    <row r="121" spans="2:13" ht="62.25" customHeight="1">
      <c r="B121" s="812" t="str">
        <f>IF(OR(F120="Not Met",I120="Not Met",J120="Not Met",L120="Not Met",O120="Not Met"),"Rationale for 'Not Met' OR Clarification 
Needed for Satellite Program Materials:","")</f>
        <v/>
      </c>
      <c r="C121" s="812"/>
      <c r="D121" s="812"/>
      <c r="E121" s="812"/>
      <c r="F121" s="813"/>
      <c r="G121" s="813"/>
      <c r="H121" s="813"/>
      <c r="I121" s="164"/>
      <c r="J121" s="814"/>
      <c r="K121" s="814"/>
      <c r="L121" s="814"/>
      <c r="M121" s="814"/>
    </row>
    <row r="122" spans="2:13" ht="42" customHeight="1">
      <c r="B122" s="812" t="str">
        <f>IF(F106&lt;&gt;"","Were students interviewed?","")</f>
        <v/>
      </c>
      <c r="C122" s="812"/>
      <c r="D122" s="812"/>
      <c r="E122" s="812"/>
      <c r="F122" s="815"/>
      <c r="G122" s="815"/>
      <c r="H122" s="815"/>
      <c r="I122" s="162"/>
      <c r="J122" s="815"/>
      <c r="K122" s="815"/>
      <c r="L122" s="815"/>
      <c r="M122" s="815"/>
    </row>
    <row r="123" spans="2:13" ht="45" customHeight="1">
      <c r="B123" s="812" t="str">
        <f>IF(OR(F122="Not Met",I122="Not Met",J122="Not Met",L122="Not Met",O122="Not Met"),"Rationale for 'Not Met' OR Clarification 
Needed for interviewing Students:","")</f>
        <v/>
      </c>
      <c r="C123" s="812"/>
      <c r="D123" s="812"/>
      <c r="E123" s="812"/>
      <c r="F123" s="813"/>
      <c r="G123" s="813"/>
      <c r="H123" s="813"/>
      <c r="I123" s="164"/>
      <c r="J123" s="814"/>
      <c r="K123" s="814"/>
      <c r="L123" s="814"/>
      <c r="M123" s="814"/>
    </row>
    <row r="124" spans="2:13" ht="42" customHeight="1">
      <c r="B124" s="812" t="str">
        <f>IF(F106&lt;&gt;"","Were graduates interviewed?","")</f>
        <v/>
      </c>
      <c r="C124" s="812"/>
      <c r="D124" s="812"/>
      <c r="E124" s="812"/>
      <c r="F124" s="815"/>
      <c r="G124" s="815"/>
      <c r="H124" s="815"/>
      <c r="I124" s="162"/>
      <c r="J124" s="815"/>
      <c r="K124" s="815"/>
      <c r="L124" s="815"/>
      <c r="M124" s="815"/>
    </row>
    <row r="125" spans="2:13" ht="45" customHeight="1">
      <c r="B125" s="812" t="str">
        <f>IF(OR(F124="Not Met",I124="Not Met",J124="Not Met",L124="Not Met",O124="Not Met"),"Rationale for 'Not Met' OR Clarification 
Needed for interviewing Graduates:","")</f>
        <v/>
      </c>
      <c r="C125" s="812"/>
      <c r="D125" s="812"/>
      <c r="E125" s="812"/>
      <c r="F125" s="813"/>
      <c r="G125" s="813"/>
      <c r="H125" s="813"/>
      <c r="I125" s="164"/>
      <c r="J125" s="814"/>
      <c r="K125" s="814"/>
      <c r="L125" s="814"/>
      <c r="M125" s="814"/>
    </row>
    <row r="126" spans="2:13" ht="57" customHeight="1">
      <c r="B126" s="812" t="str">
        <f>IF(F106&lt;&gt;"","If distant technology is used to deliver content, describe the tools used and the schedule:","")</f>
        <v/>
      </c>
      <c r="C126" s="812"/>
      <c r="D126" s="812"/>
      <c r="E126" s="812"/>
      <c r="F126" s="815"/>
      <c r="G126" s="815"/>
      <c r="H126" s="815"/>
      <c r="I126" s="162"/>
      <c r="J126" s="815"/>
      <c r="K126" s="815"/>
      <c r="L126" s="815"/>
      <c r="M126" s="815"/>
    </row>
    <row r="127" spans="2:13" ht="45" customHeight="1">
      <c r="B127" s="812" t="str">
        <f>IF(OR(F126="Not Met",I126="Not Met",J126="Not Met",L126="Not Met",O126="Not Met"),"Rationale for 'Not Met' OR Clarification 
Needed for Distant Technology:","")</f>
        <v/>
      </c>
      <c r="C127" s="812"/>
      <c r="D127" s="812"/>
      <c r="E127" s="812"/>
      <c r="F127" s="813"/>
      <c r="G127" s="813"/>
      <c r="H127" s="813"/>
      <c r="I127" s="164"/>
      <c r="J127" s="814"/>
      <c r="K127" s="814"/>
      <c r="L127" s="814"/>
      <c r="M127" s="814"/>
    </row>
    <row r="128" spans="2:13" ht="42" customHeight="1">
      <c r="B128" s="812" t="str">
        <f>IF(F106&lt;&gt;"","Is there a permanent location where
student records are maintained?","")</f>
        <v/>
      </c>
      <c r="C128" s="812"/>
      <c r="D128" s="812"/>
      <c r="E128" s="812"/>
      <c r="F128" s="815"/>
      <c r="G128" s="815"/>
      <c r="H128" s="815"/>
      <c r="I128" s="162"/>
      <c r="J128" s="815"/>
      <c r="K128" s="815"/>
      <c r="L128" s="815"/>
      <c r="M128" s="815"/>
    </row>
    <row r="129" spans="2:13" ht="98.25" customHeight="1">
      <c r="B129" s="812" t="str">
        <f>IF(OR(F128&lt;&gt;"",I128&lt;&gt;"",J128&lt;&gt;"",L128&lt;&gt;"",O128&lt;&gt;""),"If 'Met', place location (address) where the permanent student records are maintained.   
If 'Not Met', place rationale OR clarification needed for permanent student records location.","")</f>
        <v/>
      </c>
      <c r="C129" s="812"/>
      <c r="D129" s="812"/>
      <c r="E129" s="812"/>
      <c r="F129" s="813"/>
      <c r="G129" s="813"/>
      <c r="H129" s="813"/>
      <c r="I129" s="164"/>
      <c r="J129" s="814"/>
      <c r="K129" s="814"/>
      <c r="L129" s="814"/>
      <c r="M129" s="814"/>
    </row>
    <row r="130" spans="2:13" ht="38.1" customHeight="1">
      <c r="B130" s="816" t="str">
        <f>IF(F106&lt;&gt;"","There is evidence the following items are consistent with the main campus:","")</f>
        <v/>
      </c>
      <c r="C130" s="816"/>
      <c r="D130" s="816"/>
      <c r="E130" s="816"/>
      <c r="F130" s="817"/>
      <c r="G130" s="817"/>
      <c r="H130" s="817"/>
      <c r="I130" s="165"/>
      <c r="J130" s="475"/>
      <c r="K130" s="475"/>
      <c r="L130" s="475"/>
      <c r="M130" s="475"/>
    </row>
    <row r="131" spans="2:13" ht="42" customHeight="1">
      <c r="B131" s="812" t="str">
        <f>IF(F106&lt;&gt;"","Curricula:","")</f>
        <v/>
      </c>
      <c r="C131" s="812"/>
      <c r="D131" s="812"/>
      <c r="E131" s="812"/>
      <c r="F131" s="815"/>
      <c r="G131" s="815"/>
      <c r="H131" s="815"/>
      <c r="I131" s="162"/>
      <c r="J131" s="815"/>
      <c r="K131" s="815"/>
      <c r="L131" s="815"/>
      <c r="M131" s="815"/>
    </row>
    <row r="132" spans="2:13" ht="45" customHeight="1">
      <c r="B132" s="812" t="str">
        <f>IF(OR(F131="Not Met",I131="Not Met",J131="Not Met",L131="Not Met",O131="Not Met"),"Rationale for 'Not Met' OR 
Clarification Needed for Curricula:","")</f>
        <v/>
      </c>
      <c r="C132" s="812"/>
      <c r="D132" s="812"/>
      <c r="E132" s="812"/>
      <c r="F132" s="813"/>
      <c r="G132" s="813"/>
      <c r="H132" s="813"/>
      <c r="I132" s="164"/>
      <c r="J132" s="814"/>
      <c r="K132" s="814"/>
      <c r="L132" s="814"/>
      <c r="M132" s="814"/>
    </row>
    <row r="133" spans="2:13" ht="42" customHeight="1">
      <c r="B133" s="812" t="str">
        <f>IF(F106&lt;&gt;"","Course Syllabi:","")</f>
        <v/>
      </c>
      <c r="C133" s="812"/>
      <c r="D133" s="812"/>
      <c r="E133" s="812"/>
      <c r="F133" s="815"/>
      <c r="G133" s="815"/>
      <c r="H133" s="815"/>
      <c r="I133" s="162"/>
      <c r="J133" s="815"/>
      <c r="K133" s="815"/>
      <c r="L133" s="815"/>
      <c r="M133" s="815"/>
    </row>
    <row r="134" spans="2:13" ht="45.75" customHeight="1">
      <c r="B134" s="812" t="str">
        <f>IF(OR(F133="Not Met",I133="Not Met",J133="Not Met",L133="Not Met",O133="Not Met"),"Rationale for 'Not Met' OR 
Clarification Needed for Course Syllabi:","")</f>
        <v/>
      </c>
      <c r="C134" s="812"/>
      <c r="D134" s="812"/>
      <c r="E134" s="812"/>
      <c r="F134" s="813"/>
      <c r="G134" s="813"/>
      <c r="H134" s="813"/>
      <c r="I134" s="164"/>
      <c r="J134" s="814"/>
      <c r="K134" s="814"/>
      <c r="L134" s="814"/>
      <c r="M134" s="814"/>
    </row>
    <row r="135" spans="2:13" ht="57" customHeight="1">
      <c r="B135" s="812" t="str">
        <f>IF(F106&lt;&gt;"","Faculty Monitoring &amp; Oversight of Sites:
(clinical, field exp. &amp; capstone field internship)","")</f>
        <v/>
      </c>
      <c r="C135" s="812"/>
      <c r="D135" s="812"/>
      <c r="E135" s="812"/>
      <c r="F135" s="815"/>
      <c r="G135" s="815"/>
      <c r="H135" s="815"/>
      <c r="I135" s="162"/>
      <c r="J135" s="815"/>
      <c r="K135" s="815"/>
      <c r="L135" s="815"/>
      <c r="M135" s="815"/>
    </row>
    <row r="136" spans="2:13" ht="49.5" customHeight="1">
      <c r="B136" s="812" t="str">
        <f>IF(OR(F135="Not Met",I135="Not Met",J135="Not Met",L135="Not Met",O135="Not Met"),"Rationale for 'Not Met' OR Clarification 
Needed for Monitoring &amp; Oversight of Sites:","")</f>
        <v/>
      </c>
      <c r="C136" s="812"/>
      <c r="D136" s="812"/>
      <c r="E136" s="812"/>
      <c r="F136" s="813"/>
      <c r="G136" s="813"/>
      <c r="H136" s="813"/>
      <c r="I136" s="164"/>
      <c r="J136" s="814"/>
      <c r="K136" s="814"/>
      <c r="L136" s="814"/>
      <c r="M136" s="814"/>
    </row>
    <row r="137" spans="2:13" ht="42" customHeight="1">
      <c r="B137" s="812" t="str">
        <f>IF(F106&lt;&gt;"","Scheduled Course Hours &amp; Sequencing:","")</f>
        <v/>
      </c>
      <c r="C137" s="812"/>
      <c r="D137" s="812"/>
      <c r="E137" s="812"/>
      <c r="F137" s="815"/>
      <c r="G137" s="815"/>
      <c r="H137" s="815"/>
      <c r="I137" s="162"/>
      <c r="J137" s="815"/>
      <c r="K137" s="815"/>
      <c r="L137" s="815"/>
      <c r="M137" s="815"/>
    </row>
    <row r="138" spans="2:13" ht="52.5" customHeight="1">
      <c r="B138" s="812" t="str">
        <f>IF(OR(F137="Not Met",I137="Not Met",J137="Not Met",L137="Not Met",O137="Not Met"),"Rationale for 'Not Met' OR Clarification 
Needed for Course Hours &amp; Sequencing:","")</f>
        <v/>
      </c>
      <c r="C138" s="812"/>
      <c r="D138" s="812"/>
      <c r="E138" s="812"/>
      <c r="F138" s="813"/>
      <c r="G138" s="813"/>
      <c r="H138" s="813"/>
      <c r="I138" s="164"/>
      <c r="J138" s="814"/>
      <c r="K138" s="814"/>
      <c r="L138" s="814"/>
      <c r="M138" s="814"/>
    </row>
    <row r="139" spans="2:13" ht="42" customHeight="1">
      <c r="B139" s="812" t="str">
        <f>IF(F106&lt;&gt;"","   Student Evaluation Tools: 
(cognitive, psychomotor, &amp; affective domains)","")</f>
        <v/>
      </c>
      <c r="C139" s="812"/>
      <c r="D139" s="812"/>
      <c r="E139" s="812"/>
      <c r="F139" s="815"/>
      <c r="G139" s="815"/>
      <c r="H139" s="815"/>
      <c r="I139" s="162"/>
      <c r="J139" s="815"/>
      <c r="K139" s="815"/>
      <c r="L139" s="815"/>
      <c r="M139" s="815"/>
    </row>
    <row r="140" spans="2:13" ht="51.75" customHeight="1">
      <c r="B140" s="812" t="str">
        <f>IF(OR(F139="Not Met",I139="Not Met",J139="Not Met",L139="Not Met",O139="Not Met"),"Rationale for 'Not Met' OR Clarification 
Needed for Student Evaluation Tools:","")</f>
        <v/>
      </c>
      <c r="C140" s="812"/>
      <c r="D140" s="812"/>
      <c r="E140" s="812"/>
      <c r="F140" s="813"/>
      <c r="G140" s="813"/>
      <c r="H140" s="813"/>
      <c r="I140" s="164"/>
      <c r="J140" s="814"/>
      <c r="K140" s="814"/>
      <c r="L140" s="814"/>
      <c r="M140" s="814"/>
    </row>
    <row r="141" spans="2:13" ht="55.5" customHeight="1">
      <c r="B141" s="812" t="str">
        <f>IF(F106&lt;&gt;"","      Competencies &amp; 
Required Minimum Numbers: 
     (Student Minimum Competency [SMC])","")</f>
        <v/>
      </c>
      <c r="C141" s="812"/>
      <c r="D141" s="812"/>
      <c r="E141" s="812"/>
      <c r="F141" s="815"/>
      <c r="G141" s="815"/>
      <c r="H141" s="815"/>
      <c r="I141" s="162"/>
      <c r="J141" s="815"/>
      <c r="K141" s="815"/>
      <c r="L141" s="815"/>
      <c r="M141" s="815"/>
    </row>
    <row r="142" spans="2:13" ht="51.75" customHeight="1">
      <c r="B142" s="812" t="str">
        <f>IF(OR(F141="Not Met",I141="Not Met",J141="Not Met",L141="Not Met",O141="Not Met"),"Rationale for 'Not Met' OR Clarification 
Needed for Required Minimum Numbers (SMC):","")</f>
        <v/>
      </c>
      <c r="C142" s="812"/>
      <c r="D142" s="812"/>
      <c r="E142" s="812"/>
      <c r="F142" s="813"/>
      <c r="G142" s="813"/>
      <c r="H142" s="813"/>
      <c r="I142" s="164"/>
      <c r="J142" s="814"/>
      <c r="K142" s="814"/>
      <c r="L142" s="814"/>
      <c r="M142" s="814"/>
    </row>
    <row r="143" spans="2:13" ht="42" customHeight="1">
      <c r="B143" s="812" t="str">
        <f>IF(F106&lt;&gt;"","Clinical &amp; Capstone Field Internship Sites:
(similar in opportunity &amp; patient volume)","")</f>
        <v/>
      </c>
      <c r="C143" s="812"/>
      <c r="D143" s="812"/>
      <c r="E143" s="812"/>
      <c r="F143" s="815"/>
      <c r="G143" s="815"/>
      <c r="H143" s="815"/>
      <c r="I143" s="162"/>
      <c r="J143" s="815"/>
      <c r="K143" s="815"/>
      <c r="L143" s="815"/>
      <c r="M143" s="815"/>
    </row>
    <row r="144" spans="2:13" ht="48.75" customHeight="1">
      <c r="B144" s="812" t="str">
        <f>IF(OR(F143="Not Met",I143="Not Met",J143="Not Met",L143="Not Met",O143="Not Met"),"Rationale for 'Not Met' OR 
Clarification Needed for Affiliate Sites:","")</f>
        <v/>
      </c>
      <c r="C144" s="812"/>
      <c r="D144" s="812"/>
      <c r="E144" s="812"/>
      <c r="F144" s="813"/>
      <c r="G144" s="813"/>
      <c r="H144" s="813"/>
      <c r="I144" s="164"/>
      <c r="J144" s="814"/>
      <c r="K144" s="814"/>
      <c r="L144" s="814"/>
      <c r="M144" s="814"/>
    </row>
    <row r="145" spans="2:96" ht="42" customHeight="1">
      <c r="B145" s="812" t="str">
        <f>IF(F106&lt;&gt;"","On-Site Liaison Orientation/
Capstone Field Internship Training:","")</f>
        <v/>
      </c>
      <c r="C145" s="812"/>
      <c r="D145" s="812"/>
      <c r="E145" s="812"/>
      <c r="F145" s="815"/>
      <c r="G145" s="815"/>
      <c r="H145" s="815"/>
      <c r="I145" s="162"/>
      <c r="J145" s="815"/>
      <c r="K145" s="815"/>
      <c r="L145" s="815"/>
      <c r="M145" s="815"/>
    </row>
    <row r="146" spans="2:96" ht="48" customHeight="1">
      <c r="B146" s="812" t="str">
        <f>IF(OR(F145="Not Met",I145="Not Met",J145="Not Met",L145="Not Met",O145="Not Met"),"Rationale for 'Not Met' OR Clarification 
Needed for On-Site Liaison Orientation/
Capstone Field Internship Training:","")</f>
        <v/>
      </c>
      <c r="C146" s="812"/>
      <c r="D146" s="812"/>
      <c r="E146" s="812"/>
      <c r="F146" s="813"/>
      <c r="G146" s="813"/>
      <c r="H146" s="813"/>
      <c r="I146" s="164"/>
      <c r="J146" s="814"/>
      <c r="K146" s="814"/>
      <c r="L146" s="814"/>
      <c r="M146" s="814"/>
    </row>
    <row r="149" spans="2:96" ht="40.5" customHeight="1">
      <c r="E149" s="481" t="str">
        <f>IF(AND(H8&lt;&gt;"",H8&gt;=1), "This completes the Satellite Addendum","")</f>
        <v/>
      </c>
      <c r="F149" s="481"/>
      <c r="G149" s="481"/>
      <c r="H149" s="481"/>
      <c r="I149" s="481"/>
      <c r="O149" s="809"/>
      <c r="P149" s="809"/>
      <c r="Q149" s="809"/>
      <c r="R149" s="19"/>
      <c r="S149" s="19"/>
      <c r="T149" s="810"/>
      <c r="U149" s="810"/>
      <c r="V149" s="810"/>
      <c r="W149" s="19"/>
      <c r="X149" s="19"/>
      <c r="Y149" s="811"/>
      <c r="Z149" s="811"/>
      <c r="AA149" s="811"/>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row>
  </sheetData>
  <sheetProtection algorithmName="SHA-512" hashValue="LVGy9/xWVeL4Kq1HrfoNbRFqlSw0BRDcUYjTDodJCkGGon0sq2hWW1g7pRk8LjfJK57U0dgB3YTHjyj+LAgP1Q==" saltValue="vL4a6XrWXwBdXsc6L7+MHg==" spinCount="100000" sheet="1" objects="1" scenarios="1" formatRows="0" selectLockedCells="1"/>
  <mergeCells count="519">
    <mergeCell ref="L37:M37"/>
    <mergeCell ref="L39:M39"/>
    <mergeCell ref="L41:M41"/>
    <mergeCell ref="L42:M42"/>
    <mergeCell ref="L43:M43"/>
    <mergeCell ref="L44:M44"/>
    <mergeCell ref="J29:K29"/>
    <mergeCell ref="L38:M38"/>
    <mergeCell ref="J35:K35"/>
    <mergeCell ref="J37:K37"/>
    <mergeCell ref="J24:K24"/>
    <mergeCell ref="J25:K25"/>
    <mergeCell ref="J26:K26"/>
    <mergeCell ref="J36:K36"/>
    <mergeCell ref="J27:K27"/>
    <mergeCell ref="J14:K14"/>
    <mergeCell ref="J15:K15"/>
    <mergeCell ref="L31:M31"/>
    <mergeCell ref="L32:M32"/>
    <mergeCell ref="L33:M33"/>
    <mergeCell ref="L34:M34"/>
    <mergeCell ref="J19:K19"/>
    <mergeCell ref="J20:K20"/>
    <mergeCell ref="J32:K32"/>
    <mergeCell ref="J33:K33"/>
    <mergeCell ref="J34:K34"/>
    <mergeCell ref="L35:M35"/>
    <mergeCell ref="L36:M36"/>
    <mergeCell ref="E55:I55"/>
    <mergeCell ref="F42:H42"/>
    <mergeCell ref="B38:E38"/>
    <mergeCell ref="F38:H38"/>
    <mergeCell ref="B40:E40"/>
    <mergeCell ref="B31:E31"/>
    <mergeCell ref="F31:H31"/>
    <mergeCell ref="B33:E33"/>
    <mergeCell ref="F33:H33"/>
    <mergeCell ref="F37:H37"/>
    <mergeCell ref="B46:E46"/>
    <mergeCell ref="F46:H46"/>
    <mergeCell ref="B50:E50"/>
    <mergeCell ref="F50:H50"/>
    <mergeCell ref="B42:E42"/>
    <mergeCell ref="B51:E51"/>
    <mergeCell ref="B44:E44"/>
    <mergeCell ref="F39:H39"/>
    <mergeCell ref="F43:H43"/>
    <mergeCell ref="F40:H40"/>
    <mergeCell ref="B52:E52"/>
    <mergeCell ref="F52:H52"/>
    <mergeCell ref="B48:E48"/>
    <mergeCell ref="F48:H48"/>
    <mergeCell ref="B2:L2"/>
    <mergeCell ref="B4:L4"/>
    <mergeCell ref="B47:E47"/>
    <mergeCell ref="B45:E45"/>
    <mergeCell ref="B43:E43"/>
    <mergeCell ref="B39:E39"/>
    <mergeCell ref="B37:E37"/>
    <mergeCell ref="B36:E36"/>
    <mergeCell ref="B17:E17"/>
    <mergeCell ref="F12:H12"/>
    <mergeCell ref="F30:H30"/>
    <mergeCell ref="B26:E26"/>
    <mergeCell ref="F26:H26"/>
    <mergeCell ref="B8:G8"/>
    <mergeCell ref="B20:E20"/>
    <mergeCell ref="B25:E25"/>
    <mergeCell ref="F25:H25"/>
    <mergeCell ref="J41:K41"/>
    <mergeCell ref="J42:K42"/>
    <mergeCell ref="J43:K43"/>
    <mergeCell ref="F45:H45"/>
    <mergeCell ref="F47:H47"/>
    <mergeCell ref="L47:M47"/>
    <mergeCell ref="L46:M46"/>
    <mergeCell ref="B7:G7"/>
    <mergeCell ref="F36:H36"/>
    <mergeCell ref="B16:E16"/>
    <mergeCell ref="B14:E14"/>
    <mergeCell ref="B15:E15"/>
    <mergeCell ref="B21:E21"/>
    <mergeCell ref="C12:E12"/>
    <mergeCell ref="C11:E11"/>
    <mergeCell ref="F20:H20"/>
    <mergeCell ref="B32:E32"/>
    <mergeCell ref="F32:H32"/>
    <mergeCell ref="B28:E28"/>
    <mergeCell ref="F28:H28"/>
    <mergeCell ref="B35:E35"/>
    <mergeCell ref="F35:H35"/>
    <mergeCell ref="B23:E23"/>
    <mergeCell ref="F23:H23"/>
    <mergeCell ref="F34:H34"/>
    <mergeCell ref="B27:E27"/>
    <mergeCell ref="B24:E24"/>
    <mergeCell ref="F24:H24"/>
    <mergeCell ref="B30:E30"/>
    <mergeCell ref="B34:E34"/>
    <mergeCell ref="B29:E29"/>
    <mergeCell ref="F29:H29"/>
    <mergeCell ref="B3:L3"/>
    <mergeCell ref="B22:E22"/>
    <mergeCell ref="F22:H22"/>
    <mergeCell ref="J22:K22"/>
    <mergeCell ref="L22:M22"/>
    <mergeCell ref="B19:E19"/>
    <mergeCell ref="F19:H19"/>
    <mergeCell ref="B13:E13"/>
    <mergeCell ref="B18:E18"/>
    <mergeCell ref="J12:K12"/>
    <mergeCell ref="L12:M12"/>
    <mergeCell ref="L13:M13"/>
    <mergeCell ref="F27:H27"/>
    <mergeCell ref="L14:M14"/>
    <mergeCell ref="L15:M15"/>
    <mergeCell ref="L16:M16"/>
    <mergeCell ref="L17:M17"/>
    <mergeCell ref="L18:M18"/>
    <mergeCell ref="L23:M23"/>
    <mergeCell ref="L24:M24"/>
    <mergeCell ref="L25:M25"/>
    <mergeCell ref="B6:G6"/>
    <mergeCell ref="J13:K13"/>
    <mergeCell ref="T11:W11"/>
    <mergeCell ref="Y11:AB11"/>
    <mergeCell ref="O55:Q55"/>
    <mergeCell ref="T55:V55"/>
    <mergeCell ref="Y55:AA55"/>
    <mergeCell ref="J39:K39"/>
    <mergeCell ref="J52:K52"/>
    <mergeCell ref="J31:K31"/>
    <mergeCell ref="J30:K30"/>
    <mergeCell ref="L50:M50"/>
    <mergeCell ref="L51:M51"/>
    <mergeCell ref="L52:M52"/>
    <mergeCell ref="L48:M48"/>
    <mergeCell ref="L49:M49"/>
    <mergeCell ref="J38:K38"/>
    <mergeCell ref="J44:K44"/>
    <mergeCell ref="J28:K28"/>
    <mergeCell ref="L45:M45"/>
    <mergeCell ref="L40:M40"/>
    <mergeCell ref="O11:R11"/>
    <mergeCell ref="J40:K40"/>
    <mergeCell ref="L29:M29"/>
    <mergeCell ref="L30:M30"/>
    <mergeCell ref="L28:M28"/>
    <mergeCell ref="F41:H41"/>
    <mergeCell ref="B49:E49"/>
    <mergeCell ref="F49:H49"/>
    <mergeCell ref="F51:H51"/>
    <mergeCell ref="J50:K50"/>
    <mergeCell ref="J51:K51"/>
    <mergeCell ref="J46:K46"/>
    <mergeCell ref="F44:H44"/>
    <mergeCell ref="B41:E41"/>
    <mergeCell ref="J47:K47"/>
    <mergeCell ref="J48:K48"/>
    <mergeCell ref="J49:K49"/>
    <mergeCell ref="J45:K45"/>
    <mergeCell ref="C58:E58"/>
    <mergeCell ref="F58:M58"/>
    <mergeCell ref="C59:E59"/>
    <mergeCell ref="F59:H59"/>
    <mergeCell ref="J59:K59"/>
    <mergeCell ref="L59:M59"/>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B60:E60"/>
    <mergeCell ref="F60:H60"/>
    <mergeCell ref="J60:K60"/>
    <mergeCell ref="L60:M60"/>
    <mergeCell ref="B61:E61"/>
    <mergeCell ref="F61:H61"/>
    <mergeCell ref="J61:K61"/>
    <mergeCell ref="L61:M61"/>
    <mergeCell ref="B62:E62"/>
    <mergeCell ref="F62:H62"/>
    <mergeCell ref="J62:K62"/>
    <mergeCell ref="L62:M62"/>
    <mergeCell ref="B63:E63"/>
    <mergeCell ref="F63:H63"/>
    <mergeCell ref="J63:K63"/>
    <mergeCell ref="L63:M63"/>
    <mergeCell ref="B64:E64"/>
    <mergeCell ref="F64:H64"/>
    <mergeCell ref="J64:K64"/>
    <mergeCell ref="L64:M64"/>
    <mergeCell ref="B65:E65"/>
    <mergeCell ref="F65:H65"/>
    <mergeCell ref="J65:K65"/>
    <mergeCell ref="L65:M65"/>
    <mergeCell ref="B66:E66"/>
    <mergeCell ref="F66:H66"/>
    <mergeCell ref="J66:K66"/>
    <mergeCell ref="L66:M66"/>
    <mergeCell ref="B67:E67"/>
    <mergeCell ref="F67:H67"/>
    <mergeCell ref="J67:K67"/>
    <mergeCell ref="L67:M67"/>
    <mergeCell ref="B68:E68"/>
    <mergeCell ref="F68:H68"/>
    <mergeCell ref="J68:K68"/>
    <mergeCell ref="L68:M68"/>
    <mergeCell ref="B69:E69"/>
    <mergeCell ref="F69:H69"/>
    <mergeCell ref="J69:K69"/>
    <mergeCell ref="L69:M69"/>
    <mergeCell ref="B70:E70"/>
    <mergeCell ref="F70:H70"/>
    <mergeCell ref="J70:K70"/>
    <mergeCell ref="L70:M70"/>
    <mergeCell ref="B71:E71"/>
    <mergeCell ref="F71:H71"/>
    <mergeCell ref="J71:K71"/>
    <mergeCell ref="L71:M71"/>
    <mergeCell ref="B72:E72"/>
    <mergeCell ref="F72:H72"/>
    <mergeCell ref="J72:K72"/>
    <mergeCell ref="L72:M72"/>
    <mergeCell ref="B73:E73"/>
    <mergeCell ref="F73:H73"/>
    <mergeCell ref="J73:K73"/>
    <mergeCell ref="L73:M73"/>
    <mergeCell ref="B74:E74"/>
    <mergeCell ref="F74:H74"/>
    <mergeCell ref="J74:K74"/>
    <mergeCell ref="L74:M74"/>
    <mergeCell ref="B75:E75"/>
    <mergeCell ref="F75:H75"/>
    <mergeCell ref="J75:K75"/>
    <mergeCell ref="L75:M75"/>
    <mergeCell ref="B76:E76"/>
    <mergeCell ref="F76:H76"/>
    <mergeCell ref="J76:K76"/>
    <mergeCell ref="L76:M76"/>
    <mergeCell ref="B77:E77"/>
    <mergeCell ref="F77:H77"/>
    <mergeCell ref="J77:K77"/>
    <mergeCell ref="L77:M77"/>
    <mergeCell ref="B78:E78"/>
    <mergeCell ref="F78:H78"/>
    <mergeCell ref="J78:K78"/>
    <mergeCell ref="L78:M78"/>
    <mergeCell ref="B79:E79"/>
    <mergeCell ref="F79:H79"/>
    <mergeCell ref="J79:K79"/>
    <mergeCell ref="L79:M79"/>
    <mergeCell ref="B80:E80"/>
    <mergeCell ref="F80:H80"/>
    <mergeCell ref="J80:K80"/>
    <mergeCell ref="L80:M80"/>
    <mergeCell ref="B81:E81"/>
    <mergeCell ref="F81:H81"/>
    <mergeCell ref="J81:K81"/>
    <mergeCell ref="L81:M81"/>
    <mergeCell ref="B82:E82"/>
    <mergeCell ref="F82:H82"/>
    <mergeCell ref="J82:K82"/>
    <mergeCell ref="L82:M82"/>
    <mergeCell ref="B83:E83"/>
    <mergeCell ref="F83:H83"/>
    <mergeCell ref="J83:K83"/>
    <mergeCell ref="L83:M83"/>
    <mergeCell ref="B84:E84"/>
    <mergeCell ref="F84:H84"/>
    <mergeCell ref="J84:K84"/>
    <mergeCell ref="L84:M84"/>
    <mergeCell ref="B85:E85"/>
    <mergeCell ref="F85:H85"/>
    <mergeCell ref="J85:K85"/>
    <mergeCell ref="L85:M85"/>
    <mergeCell ref="B86:E86"/>
    <mergeCell ref="F86:H86"/>
    <mergeCell ref="J86:K86"/>
    <mergeCell ref="L86:M86"/>
    <mergeCell ref="B87:E87"/>
    <mergeCell ref="F87:H87"/>
    <mergeCell ref="J87:K87"/>
    <mergeCell ref="L87:M87"/>
    <mergeCell ref="B88:E88"/>
    <mergeCell ref="F88:H88"/>
    <mergeCell ref="J88:K88"/>
    <mergeCell ref="L88:M88"/>
    <mergeCell ref="B89:E89"/>
    <mergeCell ref="F89:H89"/>
    <mergeCell ref="J89:K89"/>
    <mergeCell ref="L89:M89"/>
    <mergeCell ref="B92:E92"/>
    <mergeCell ref="F92:H92"/>
    <mergeCell ref="J92:K92"/>
    <mergeCell ref="L92:M92"/>
    <mergeCell ref="B93:E93"/>
    <mergeCell ref="F93:H93"/>
    <mergeCell ref="J93:K93"/>
    <mergeCell ref="L93:M93"/>
    <mergeCell ref="B90:E90"/>
    <mergeCell ref="F90:H90"/>
    <mergeCell ref="J90:K90"/>
    <mergeCell ref="L90:M90"/>
    <mergeCell ref="B91:E91"/>
    <mergeCell ref="F91:H91"/>
    <mergeCell ref="J91:K91"/>
    <mergeCell ref="L91:M91"/>
    <mergeCell ref="B94:E94"/>
    <mergeCell ref="F94:H94"/>
    <mergeCell ref="J94:K94"/>
    <mergeCell ref="L94:M94"/>
    <mergeCell ref="B95:E95"/>
    <mergeCell ref="F95:H95"/>
    <mergeCell ref="J95:K95"/>
    <mergeCell ref="L95:M95"/>
    <mergeCell ref="B96:E96"/>
    <mergeCell ref="F96:H96"/>
    <mergeCell ref="J96:K96"/>
    <mergeCell ref="L96:M96"/>
    <mergeCell ref="B97:E97"/>
    <mergeCell ref="F97:H97"/>
    <mergeCell ref="J97:K97"/>
    <mergeCell ref="L97:M97"/>
    <mergeCell ref="B98:E98"/>
    <mergeCell ref="F98:H98"/>
    <mergeCell ref="J98:K98"/>
    <mergeCell ref="L98:M98"/>
    <mergeCell ref="B99:E99"/>
    <mergeCell ref="F99:H99"/>
    <mergeCell ref="J99:K99"/>
    <mergeCell ref="L99:M99"/>
    <mergeCell ref="E102:I102"/>
    <mergeCell ref="O102:Q102"/>
    <mergeCell ref="T102:V102"/>
    <mergeCell ref="Y102:AA102"/>
    <mergeCell ref="C105:E105"/>
    <mergeCell ref="F105:M105"/>
    <mergeCell ref="C106:E106"/>
    <mergeCell ref="F106:H106"/>
    <mergeCell ref="J106:K106"/>
    <mergeCell ref="L106:M106"/>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6:E116"/>
    <mergeCell ref="F116:H116"/>
    <mergeCell ref="J116:K116"/>
    <mergeCell ref="L116:M116"/>
    <mergeCell ref="B117:E117"/>
    <mergeCell ref="F117:H117"/>
    <mergeCell ref="J117:K117"/>
    <mergeCell ref="L117:M117"/>
    <mergeCell ref="B118:E118"/>
    <mergeCell ref="F118:H118"/>
    <mergeCell ref="J118:K118"/>
    <mergeCell ref="L118:M118"/>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28:E128"/>
    <mergeCell ref="F128:H128"/>
    <mergeCell ref="J128:K128"/>
    <mergeCell ref="L128:M128"/>
    <mergeCell ref="B129:E129"/>
    <mergeCell ref="F129:H129"/>
    <mergeCell ref="J129:K129"/>
    <mergeCell ref="L129:M129"/>
    <mergeCell ref="B130:E130"/>
    <mergeCell ref="F130:H130"/>
    <mergeCell ref="J130:K130"/>
    <mergeCell ref="L130:M130"/>
    <mergeCell ref="B131:E131"/>
    <mergeCell ref="F131:H131"/>
    <mergeCell ref="J131:K131"/>
    <mergeCell ref="L131:M131"/>
    <mergeCell ref="B132:E132"/>
    <mergeCell ref="F132:H132"/>
    <mergeCell ref="J132:K132"/>
    <mergeCell ref="L132:M132"/>
    <mergeCell ref="B133:E133"/>
    <mergeCell ref="F133:H133"/>
    <mergeCell ref="J133:K133"/>
    <mergeCell ref="L133:M133"/>
    <mergeCell ref="B134:E134"/>
    <mergeCell ref="F134:H134"/>
    <mergeCell ref="J134:K134"/>
    <mergeCell ref="L134:M134"/>
    <mergeCell ref="B135:E135"/>
    <mergeCell ref="F135:H135"/>
    <mergeCell ref="J135:K135"/>
    <mergeCell ref="L135:M135"/>
    <mergeCell ref="B136:E136"/>
    <mergeCell ref="F136:H136"/>
    <mergeCell ref="J136:K136"/>
    <mergeCell ref="L136:M136"/>
    <mergeCell ref="B139:E139"/>
    <mergeCell ref="F139:H139"/>
    <mergeCell ref="J139:K139"/>
    <mergeCell ref="L139:M139"/>
    <mergeCell ref="B140:E140"/>
    <mergeCell ref="F140:H140"/>
    <mergeCell ref="J140:K140"/>
    <mergeCell ref="L140:M140"/>
    <mergeCell ref="B137:E137"/>
    <mergeCell ref="F137:H137"/>
    <mergeCell ref="J137:K137"/>
    <mergeCell ref="L137:M137"/>
    <mergeCell ref="B138:E138"/>
    <mergeCell ref="F138:H138"/>
    <mergeCell ref="J138:K138"/>
    <mergeCell ref="L138:M138"/>
    <mergeCell ref="B141:E141"/>
    <mergeCell ref="F141:H141"/>
    <mergeCell ref="J141:K141"/>
    <mergeCell ref="L141:M141"/>
    <mergeCell ref="B142:E142"/>
    <mergeCell ref="F142:H142"/>
    <mergeCell ref="J142:K142"/>
    <mergeCell ref="L142:M142"/>
    <mergeCell ref="B143:E143"/>
    <mergeCell ref="F143:H143"/>
    <mergeCell ref="J143:K143"/>
    <mergeCell ref="L143:M143"/>
    <mergeCell ref="E149:I149"/>
    <mergeCell ref="O149:Q149"/>
    <mergeCell ref="T149:V149"/>
    <mergeCell ref="Y149:AA149"/>
    <mergeCell ref="B144:E144"/>
    <mergeCell ref="F144:H144"/>
    <mergeCell ref="J144:K144"/>
    <mergeCell ref="L144:M144"/>
    <mergeCell ref="B145:E145"/>
    <mergeCell ref="F145:H145"/>
    <mergeCell ref="J145:K145"/>
    <mergeCell ref="L145:M145"/>
    <mergeCell ref="B146:E146"/>
    <mergeCell ref="F146:H146"/>
    <mergeCell ref="J146:K146"/>
    <mergeCell ref="L146:M146"/>
  </mergeCells>
  <conditionalFormatting sqref="B3">
    <cfRule type="expression" dxfId="743" priority="1088">
      <formula>$B3="Paramedic"</formula>
    </cfRule>
    <cfRule type="expression" dxfId="742" priority="1089">
      <formula>$B3="AEMT"</formula>
    </cfRule>
  </conditionalFormatting>
  <conditionalFormatting sqref="B4">
    <cfRule type="expression" dxfId="741" priority="1374">
      <formula>$B$438&lt;&gt;""</formula>
    </cfRule>
  </conditionalFormatting>
  <conditionalFormatting sqref="B13:E17">
    <cfRule type="expression" dxfId="740" priority="1083">
      <formula>$F$11&lt;&gt;""</formula>
    </cfRule>
  </conditionalFormatting>
  <conditionalFormatting sqref="B19:E24">
    <cfRule type="expression" dxfId="739" priority="1082">
      <formula>$F$11&lt;&gt;""</formula>
    </cfRule>
  </conditionalFormatting>
  <conditionalFormatting sqref="B25:E25">
    <cfRule type="expression" dxfId="738" priority="1062">
      <formula>$B$25&lt;&gt;""</formula>
    </cfRule>
  </conditionalFormatting>
  <conditionalFormatting sqref="B26:E26">
    <cfRule type="expression" dxfId="737" priority="1081">
      <formula>$F$11&lt;&gt;""</formula>
    </cfRule>
  </conditionalFormatting>
  <conditionalFormatting sqref="B27:E27">
    <cfRule type="expression" dxfId="736" priority="1061">
      <formula>$B$27&lt;&gt;""</formula>
    </cfRule>
  </conditionalFormatting>
  <conditionalFormatting sqref="B28:E28">
    <cfRule type="expression" dxfId="735" priority="1080">
      <formula>$F$11&lt;&gt;""</formula>
    </cfRule>
  </conditionalFormatting>
  <conditionalFormatting sqref="B29:E29">
    <cfRule type="expression" dxfId="734" priority="1060">
      <formula>$B$29&lt;&gt;""</formula>
    </cfRule>
  </conditionalFormatting>
  <conditionalFormatting sqref="B30:E30">
    <cfRule type="expression" dxfId="733" priority="1079">
      <formula>$F$11&lt;&gt;""</formula>
    </cfRule>
  </conditionalFormatting>
  <conditionalFormatting sqref="B31:E31">
    <cfRule type="expression" dxfId="732" priority="1059">
      <formula>$B$31&lt;&gt;""</formula>
    </cfRule>
  </conditionalFormatting>
  <conditionalFormatting sqref="B32:E32">
    <cfRule type="expression" dxfId="731" priority="1078">
      <formula>$F$11&lt;&gt;""</formula>
    </cfRule>
  </conditionalFormatting>
  <conditionalFormatting sqref="B33:E33">
    <cfRule type="expression" dxfId="730" priority="1058">
      <formula>$B$33&lt;&gt;""</formula>
    </cfRule>
  </conditionalFormatting>
  <conditionalFormatting sqref="B34:E34">
    <cfRule type="expression" dxfId="729" priority="1077">
      <formula>$F$11&lt;&gt;""</formula>
    </cfRule>
  </conditionalFormatting>
  <conditionalFormatting sqref="B35:E35">
    <cfRule type="expression" dxfId="728" priority="1056">
      <formula>$B$35&lt;&gt;""</formula>
    </cfRule>
  </conditionalFormatting>
  <conditionalFormatting sqref="B37:E37">
    <cfRule type="expression" dxfId="727" priority="1076">
      <formula>$F$11&lt;&gt;""</formula>
    </cfRule>
  </conditionalFormatting>
  <conditionalFormatting sqref="B38:E38">
    <cfRule type="expression" dxfId="726" priority="1328">
      <formula>$B$38&lt;&gt;""</formula>
    </cfRule>
  </conditionalFormatting>
  <conditionalFormatting sqref="B39:E39">
    <cfRule type="expression" dxfId="725" priority="3819">
      <formula>$F$11&lt;&gt;""</formula>
    </cfRule>
    <cfRule type="expression" dxfId="724" priority="3820">
      <formula>$B$474&lt;&gt;""</formula>
    </cfRule>
  </conditionalFormatting>
  <conditionalFormatting sqref="B40:E40">
    <cfRule type="expression" dxfId="723" priority="1053">
      <formula>$B$40&lt;&gt;""</formula>
    </cfRule>
  </conditionalFormatting>
  <conditionalFormatting sqref="B41:E41">
    <cfRule type="expression" dxfId="722" priority="3814">
      <formula>$F$11&lt;&gt;""</formula>
    </cfRule>
    <cfRule type="expression" dxfId="721" priority="3815">
      <formula>$B$476&lt;&gt;""</formula>
    </cfRule>
  </conditionalFormatting>
  <conditionalFormatting sqref="B42:E42">
    <cfRule type="expression" dxfId="720" priority="1050">
      <formula>$B$42&lt;&gt;""</formula>
    </cfRule>
  </conditionalFormatting>
  <conditionalFormatting sqref="B43:E43">
    <cfRule type="expression" dxfId="719" priority="1073">
      <formula>$F$11&lt;&gt;""</formula>
    </cfRule>
  </conditionalFormatting>
  <conditionalFormatting sqref="B44:E44">
    <cfRule type="expression" dxfId="718" priority="1029">
      <formula>B44&lt;&gt;""</formula>
    </cfRule>
  </conditionalFormatting>
  <conditionalFormatting sqref="B45:E45">
    <cfRule type="expression" dxfId="717" priority="1071">
      <formula>$F$11&lt;&gt;""</formula>
    </cfRule>
  </conditionalFormatting>
  <conditionalFormatting sqref="B46:E46">
    <cfRule type="expression" dxfId="716" priority="1024">
      <formula>B46&lt;&gt;""</formula>
    </cfRule>
  </conditionalFormatting>
  <conditionalFormatting sqref="B47:E47">
    <cfRule type="expression" dxfId="715" priority="1070">
      <formula>$F$11&lt;&gt;""</formula>
    </cfRule>
  </conditionalFormatting>
  <conditionalFormatting sqref="B48:E48">
    <cfRule type="expression" dxfId="714" priority="1022">
      <formula>B48&lt;&gt;""</formula>
    </cfRule>
  </conditionalFormatting>
  <conditionalFormatting sqref="B49:E49">
    <cfRule type="expression" dxfId="713" priority="1069">
      <formula>$F$11&lt;&gt;""</formula>
    </cfRule>
  </conditionalFormatting>
  <conditionalFormatting sqref="B50:E50">
    <cfRule type="expression" dxfId="712" priority="1020">
      <formula>B50&lt;&gt;""</formula>
    </cfRule>
  </conditionalFormatting>
  <conditionalFormatting sqref="B51:E51">
    <cfRule type="expression" dxfId="711" priority="1068">
      <formula>$F$11&lt;&gt;""</formula>
    </cfRule>
  </conditionalFormatting>
  <conditionalFormatting sqref="B52:E52">
    <cfRule type="expression" dxfId="710" priority="1018">
      <formula>B52&lt;&gt;""</formula>
    </cfRule>
  </conditionalFormatting>
  <conditionalFormatting sqref="B60:E64">
    <cfRule type="expression" dxfId="709" priority="224">
      <formula>B60&lt;&gt;""</formula>
    </cfRule>
  </conditionalFormatting>
  <conditionalFormatting sqref="B66:E71">
    <cfRule type="expression" dxfId="708" priority="304">
      <formula>B60&lt;&gt;""</formula>
    </cfRule>
  </conditionalFormatting>
  <conditionalFormatting sqref="B71:E71">
    <cfRule type="expression" dxfId="707" priority="222">
      <formula>B60&lt;&gt;""</formula>
    </cfRule>
  </conditionalFormatting>
  <conditionalFormatting sqref="B72:E72">
    <cfRule type="expression" dxfId="706" priority="288">
      <formula>B72&lt;&gt;""</formula>
    </cfRule>
  </conditionalFormatting>
  <conditionalFormatting sqref="B73:E73">
    <cfRule type="expression" dxfId="705" priority="303">
      <formula>B60&lt;&gt;""</formula>
    </cfRule>
  </conditionalFormatting>
  <conditionalFormatting sqref="B74:E74">
    <cfRule type="expression" dxfId="704" priority="287">
      <formula>B74&lt;&gt;""</formula>
    </cfRule>
  </conditionalFormatting>
  <conditionalFormatting sqref="B75:E75">
    <cfRule type="expression" dxfId="703" priority="302">
      <formula>B60&lt;&gt;""</formula>
    </cfRule>
  </conditionalFormatting>
  <conditionalFormatting sqref="B76:E76">
    <cfRule type="expression" dxfId="702" priority="286">
      <formula>B76&lt;&gt;""</formula>
    </cfRule>
  </conditionalFormatting>
  <conditionalFormatting sqref="B77:E77">
    <cfRule type="expression" dxfId="701" priority="301">
      <formula>B60&lt;&gt;""</formula>
    </cfRule>
  </conditionalFormatting>
  <conditionalFormatting sqref="B78:E78">
    <cfRule type="expression" dxfId="700" priority="285">
      <formula>B78&lt;&gt;""</formula>
    </cfRule>
  </conditionalFormatting>
  <conditionalFormatting sqref="B79:E79">
    <cfRule type="expression" dxfId="699" priority="300">
      <formula>B60&lt;&gt;""</formula>
    </cfRule>
  </conditionalFormatting>
  <conditionalFormatting sqref="B80:E80">
    <cfRule type="expression" dxfId="698" priority="284">
      <formula>B80&lt;&gt;""</formula>
    </cfRule>
  </conditionalFormatting>
  <conditionalFormatting sqref="B81:E81">
    <cfRule type="expression" dxfId="697" priority="299">
      <formula>B60&lt;&gt;""</formula>
    </cfRule>
  </conditionalFormatting>
  <conditionalFormatting sqref="B82:E82">
    <cfRule type="expression" dxfId="696" priority="283">
      <formula>B82&lt;&gt;""</formula>
    </cfRule>
  </conditionalFormatting>
  <conditionalFormatting sqref="B84:E84">
    <cfRule type="expression" dxfId="695" priority="9">
      <formula>$B$84&lt;&gt;""</formula>
    </cfRule>
  </conditionalFormatting>
  <conditionalFormatting sqref="B85:E89">
    <cfRule type="expression" dxfId="694" priority="281">
      <formula>$B85&lt;&gt;""</formula>
    </cfRule>
  </conditionalFormatting>
  <conditionalFormatting sqref="B90:E91">
    <cfRule type="expression" dxfId="693" priority="278">
      <formula>B90&lt;&gt;""</formula>
    </cfRule>
  </conditionalFormatting>
  <conditionalFormatting sqref="B92:E92">
    <cfRule type="expression" dxfId="692" priority="295">
      <formula>$B92&lt;&gt;""</formula>
    </cfRule>
  </conditionalFormatting>
  <conditionalFormatting sqref="B93:E99">
    <cfRule type="expression" dxfId="691" priority="270">
      <formula>B93&lt;&gt;""</formula>
    </cfRule>
  </conditionalFormatting>
  <conditionalFormatting sqref="B107:E111">
    <cfRule type="expression" dxfId="690" priority="14">
      <formula>B107&lt;&gt;""</formula>
    </cfRule>
  </conditionalFormatting>
  <conditionalFormatting sqref="B113:E118">
    <cfRule type="expression" dxfId="689" priority="92">
      <formula>B107&lt;&gt;""</formula>
    </cfRule>
  </conditionalFormatting>
  <conditionalFormatting sqref="B118:E118">
    <cfRule type="expression" dxfId="688" priority="12">
      <formula>B107&lt;&gt;""</formula>
    </cfRule>
  </conditionalFormatting>
  <conditionalFormatting sqref="B119:E119">
    <cfRule type="expression" dxfId="687" priority="76">
      <formula>B119&lt;&gt;""</formula>
    </cfRule>
  </conditionalFormatting>
  <conditionalFormatting sqref="B120:E120">
    <cfRule type="expression" dxfId="686" priority="91">
      <formula>B107&lt;&gt;""</formula>
    </cfRule>
  </conditionalFormatting>
  <conditionalFormatting sqref="B121:E121">
    <cfRule type="expression" dxfId="685" priority="75">
      <formula>B121&lt;&gt;""</formula>
    </cfRule>
  </conditionalFormatting>
  <conditionalFormatting sqref="B122:E122">
    <cfRule type="expression" dxfId="684" priority="90">
      <formula>B107&lt;&gt;""</formula>
    </cfRule>
  </conditionalFormatting>
  <conditionalFormatting sqref="B123:E123">
    <cfRule type="expression" dxfId="683" priority="74">
      <formula>B123&lt;&gt;""</formula>
    </cfRule>
  </conditionalFormatting>
  <conditionalFormatting sqref="B124:E124">
    <cfRule type="expression" dxfId="682" priority="89">
      <formula>B107&lt;&gt;""</formula>
    </cfRule>
  </conditionalFormatting>
  <conditionalFormatting sqref="B125:E125">
    <cfRule type="expression" dxfId="681" priority="73">
      <formula>B125&lt;&gt;""</formula>
    </cfRule>
  </conditionalFormatting>
  <conditionalFormatting sqref="B126:E126">
    <cfRule type="expression" dxfId="680" priority="88">
      <formula>B107&lt;&gt;""</formula>
    </cfRule>
  </conditionalFormatting>
  <conditionalFormatting sqref="B127:E127">
    <cfRule type="expression" dxfId="679" priority="72">
      <formula>B127&lt;&gt;""</formula>
    </cfRule>
  </conditionalFormatting>
  <conditionalFormatting sqref="B128:E128">
    <cfRule type="expression" dxfId="678" priority="87">
      <formula>B107&lt;&gt;""</formula>
    </cfRule>
  </conditionalFormatting>
  <conditionalFormatting sqref="B129:E129">
    <cfRule type="expression" dxfId="677" priority="71">
      <formula>B129&lt;&gt;""</formula>
    </cfRule>
  </conditionalFormatting>
  <conditionalFormatting sqref="B130:E130">
    <cfRule type="expression" dxfId="676" priority="214">
      <formula>B130&lt;&gt;""</formula>
    </cfRule>
  </conditionalFormatting>
  <conditionalFormatting sqref="B131:E136">
    <cfRule type="expression" dxfId="675" priority="69">
      <formula>$B131&lt;&gt;""</formula>
    </cfRule>
  </conditionalFormatting>
  <conditionalFormatting sqref="B137:E138">
    <cfRule type="expression" dxfId="674" priority="67">
      <formula>B137&lt;&gt;""</formula>
    </cfRule>
  </conditionalFormatting>
  <conditionalFormatting sqref="B139:E139">
    <cfRule type="expression" dxfId="673" priority="83">
      <formula>$B139&lt;&gt;""</formula>
    </cfRule>
  </conditionalFormatting>
  <conditionalFormatting sqref="B140:E140">
    <cfRule type="expression" dxfId="672" priority="64">
      <formula>B140&lt;&gt;""</formula>
    </cfRule>
  </conditionalFormatting>
  <conditionalFormatting sqref="B141:E141">
    <cfRule type="expression" dxfId="671" priority="82">
      <formula>$B141&lt;&gt;""</formula>
    </cfRule>
  </conditionalFormatting>
  <conditionalFormatting sqref="B142:E142">
    <cfRule type="expression" dxfId="670" priority="62">
      <formula>B142&lt;&gt;""</formula>
    </cfRule>
  </conditionalFormatting>
  <conditionalFormatting sqref="B143:E143">
    <cfRule type="expression" dxfId="669" priority="81">
      <formula>$B143&lt;&gt;""</formula>
    </cfRule>
  </conditionalFormatting>
  <conditionalFormatting sqref="B144:E144">
    <cfRule type="expression" dxfId="668" priority="60">
      <formula>B144&lt;&gt;""</formula>
    </cfRule>
  </conditionalFormatting>
  <conditionalFormatting sqref="B145:E145">
    <cfRule type="expression" dxfId="667" priority="80">
      <formula>$B145&lt;&gt;""</formula>
    </cfRule>
  </conditionalFormatting>
  <conditionalFormatting sqref="B146:E146">
    <cfRule type="expression" dxfId="666" priority="58">
      <formula>B146&lt;&gt;""</formula>
    </cfRule>
  </conditionalFormatting>
  <conditionalFormatting sqref="B8:G8">
    <cfRule type="expression" dxfId="665" priority="1091">
      <formula>$B$8&lt;&gt;""</formula>
    </cfRule>
  </conditionalFormatting>
  <conditionalFormatting sqref="B2:L2">
    <cfRule type="expression" dxfId="664" priority="1375">
      <formula>$B$438&lt;&gt;""</formula>
    </cfRule>
  </conditionalFormatting>
  <conditionalFormatting sqref="C11:E11">
    <cfRule type="expression" dxfId="663" priority="1101">
      <formula>G10&lt;&gt;""</formula>
    </cfRule>
  </conditionalFormatting>
  <conditionalFormatting sqref="C58:E58">
    <cfRule type="expression" dxfId="662" priority="308">
      <formula>G57&lt;&gt;""</formula>
    </cfRule>
  </conditionalFormatting>
  <conditionalFormatting sqref="C105:E105">
    <cfRule type="expression" dxfId="661" priority="94">
      <formula>G104&lt;&gt;""</formula>
    </cfRule>
  </conditionalFormatting>
  <conditionalFormatting sqref="E55:I55">
    <cfRule type="expression" dxfId="660" priority="1373">
      <formula>$E$55&lt;&gt;""</formula>
    </cfRule>
  </conditionalFormatting>
  <conditionalFormatting sqref="E102:I102">
    <cfRule type="expression" dxfId="659" priority="221">
      <formula>$E$102&lt;&gt;""</formula>
    </cfRule>
  </conditionalFormatting>
  <conditionalFormatting sqref="E149:I149">
    <cfRule type="expression" dxfId="658" priority="11">
      <formula>$E$149&lt;&gt;""</formula>
    </cfRule>
  </conditionalFormatting>
  <conditionalFormatting sqref="F12:H12">
    <cfRule type="expression" dxfId="657" priority="987">
      <formula>F12&lt;&gt;""</formula>
    </cfRule>
  </conditionalFormatting>
  <conditionalFormatting sqref="F15:H15">
    <cfRule type="expression" dxfId="656" priority="6">
      <formula>$F$12&lt;&gt;""</formula>
    </cfRule>
  </conditionalFormatting>
  <conditionalFormatting sqref="F18:H18">
    <cfRule type="expression" dxfId="655" priority="1086">
      <formula>$F$18&lt;&gt;""</formula>
    </cfRule>
  </conditionalFormatting>
  <conditionalFormatting sqref="F26:H26">
    <cfRule type="expression" dxfId="654" priority="1281">
      <formula>F26="Met"</formula>
    </cfRule>
    <cfRule type="expression" dxfId="653" priority="1282">
      <formula>F26="Not Met"</formula>
    </cfRule>
  </conditionalFormatting>
  <conditionalFormatting sqref="F27:H27">
    <cfRule type="expression" dxfId="652" priority="1290">
      <formula>F26="Not Met"</formula>
    </cfRule>
  </conditionalFormatting>
  <conditionalFormatting sqref="F28:H28">
    <cfRule type="expression" dxfId="651" priority="1279">
      <formula>F28="Met"</formula>
    </cfRule>
    <cfRule type="expression" dxfId="650" priority="1280">
      <formula>F28="Not Met"</formula>
    </cfRule>
  </conditionalFormatting>
  <conditionalFormatting sqref="F30:H30">
    <cfRule type="expression" dxfId="649" priority="1278">
      <formula>F30="Not Met"</formula>
    </cfRule>
    <cfRule type="expression" dxfId="648" priority="1277">
      <formula>F30="Met"</formula>
    </cfRule>
  </conditionalFormatting>
  <conditionalFormatting sqref="F31:H31">
    <cfRule type="expression" dxfId="647" priority="1305">
      <formula>$F$31&lt;&gt;""</formula>
    </cfRule>
    <cfRule type="expression" dxfId="646" priority="1306">
      <formula>$F$30="Not Met"</formula>
    </cfRule>
  </conditionalFormatting>
  <conditionalFormatting sqref="F32:H32">
    <cfRule type="expression" dxfId="645" priority="1276">
      <formula>F32="Not Met"</formula>
    </cfRule>
    <cfRule type="expression" dxfId="644" priority="1275">
      <formula>F32="Met"</formula>
    </cfRule>
  </conditionalFormatting>
  <conditionalFormatting sqref="F34:H34">
    <cfRule type="expression" dxfId="643" priority="1274">
      <formula>F34="Not Met"</formula>
    </cfRule>
    <cfRule type="expression" dxfId="642" priority="1273">
      <formula>F34="Met"</formula>
    </cfRule>
  </conditionalFormatting>
  <conditionalFormatting sqref="F37:H37">
    <cfRule type="expression" dxfId="641" priority="1272">
      <formula>F37="Not Met"</formula>
    </cfRule>
    <cfRule type="expression" dxfId="640" priority="1271">
      <formula>F37="Met"</formula>
    </cfRule>
  </conditionalFormatting>
  <conditionalFormatting sqref="F38:H38">
    <cfRule type="expression" dxfId="639" priority="1326">
      <formula>$F$37="Not Met"</formula>
    </cfRule>
    <cfRule type="expression" dxfId="638" priority="1311">
      <formula>$F$38&lt;&gt;""</formula>
    </cfRule>
  </conditionalFormatting>
  <conditionalFormatting sqref="F39:H39">
    <cfRule type="expression" dxfId="637" priority="1269">
      <formula>F39="Met"</formula>
    </cfRule>
    <cfRule type="expression" dxfId="636" priority="1270">
      <formula>F39="Not Met"</formula>
    </cfRule>
  </conditionalFormatting>
  <conditionalFormatting sqref="F39:H42">
    <cfRule type="expression" dxfId="635" priority="1049">
      <formula>F12&lt;&gt;""</formula>
    </cfRule>
  </conditionalFormatting>
  <conditionalFormatting sqref="F40:H40">
    <cfRule type="expression" dxfId="634" priority="1325">
      <formula>$F$39="Not Met"</formula>
    </cfRule>
    <cfRule type="expression" dxfId="633" priority="1312">
      <formula>$F$40&lt;&gt;""</formula>
    </cfRule>
  </conditionalFormatting>
  <conditionalFormatting sqref="F41:H41">
    <cfRule type="expression" dxfId="632" priority="1268">
      <formula>F41="Not Met"</formula>
    </cfRule>
    <cfRule type="expression" dxfId="631" priority="1267">
      <formula>F41="Met"</formula>
    </cfRule>
  </conditionalFormatting>
  <conditionalFormatting sqref="F42:H42">
    <cfRule type="expression" dxfId="630" priority="1329">
      <formula>$F$41="Not Met"</formula>
    </cfRule>
    <cfRule type="expression" dxfId="629" priority="1313">
      <formula>$F$42&lt;&gt;""</formula>
    </cfRule>
  </conditionalFormatting>
  <conditionalFormatting sqref="F43:H43">
    <cfRule type="expression" dxfId="628" priority="1265">
      <formula>F43="Met"</formula>
    </cfRule>
    <cfRule type="expression" dxfId="627" priority="1266">
      <formula>F43="Not Met"</formula>
    </cfRule>
  </conditionalFormatting>
  <conditionalFormatting sqref="F44:H44">
    <cfRule type="expression" dxfId="626" priority="1323">
      <formula>F43="Not Met"</formula>
    </cfRule>
  </conditionalFormatting>
  <conditionalFormatting sqref="F45:H45">
    <cfRule type="expression" dxfId="625" priority="1261">
      <formula>F45="Met"</formula>
    </cfRule>
    <cfRule type="expression" dxfId="624" priority="1262">
      <formula>F45="Not Met"</formula>
    </cfRule>
    <cfRule type="expression" dxfId="623" priority="1025">
      <formula>F11&lt;&gt;""</formula>
    </cfRule>
  </conditionalFormatting>
  <conditionalFormatting sqref="F46:H46">
    <cfRule type="expression" dxfId="622" priority="1320">
      <formula>F45="Not Met"</formula>
    </cfRule>
  </conditionalFormatting>
  <conditionalFormatting sqref="F47:H47">
    <cfRule type="expression" dxfId="621" priority="1023">
      <formula>F11&lt;&gt;""</formula>
    </cfRule>
    <cfRule type="expression" dxfId="620" priority="1259">
      <formula>F47="Met"</formula>
    </cfRule>
    <cfRule type="expression" dxfId="619" priority="1260">
      <formula>F47="Not Met"</formula>
    </cfRule>
  </conditionalFormatting>
  <conditionalFormatting sqref="F48:H48">
    <cfRule type="expression" dxfId="618" priority="1321">
      <formula>F47="Not Met"</formula>
    </cfRule>
  </conditionalFormatting>
  <conditionalFormatting sqref="F49:H49">
    <cfRule type="expression" dxfId="617" priority="1257">
      <formula>F49="Met"</formula>
    </cfRule>
    <cfRule type="expression" dxfId="616" priority="1021">
      <formula>F11&lt;&gt;""</formula>
    </cfRule>
    <cfRule type="expression" dxfId="615" priority="1258">
      <formula>F49="Not Met"</formula>
    </cfRule>
  </conditionalFormatting>
  <conditionalFormatting sqref="F50:H50">
    <cfRule type="expression" dxfId="614" priority="1333">
      <formula>F49="Not Met"</formula>
    </cfRule>
  </conditionalFormatting>
  <conditionalFormatting sqref="F51:H51">
    <cfRule type="expression" dxfId="613" priority="1019">
      <formula>F11&lt;&gt;""</formula>
    </cfRule>
    <cfRule type="expression" dxfId="612" priority="1256">
      <formula>F51="Not Met"</formula>
    </cfRule>
    <cfRule type="expression" dxfId="611" priority="1255">
      <formula>F51="Met"</formula>
    </cfRule>
  </conditionalFormatting>
  <conditionalFormatting sqref="F52:H52">
    <cfRule type="expression" dxfId="610" priority="1331">
      <formula>F51="Not Met"</formula>
    </cfRule>
  </conditionalFormatting>
  <conditionalFormatting sqref="F58:H58">
    <cfRule type="expression" dxfId="609" priority="435">
      <formula>$F58&lt;&gt;""</formula>
    </cfRule>
  </conditionalFormatting>
  <conditionalFormatting sqref="F59:H59">
    <cfRule type="expression" dxfId="608" priority="268">
      <formula>F59&lt;&gt;""</formula>
    </cfRule>
  </conditionalFormatting>
  <conditionalFormatting sqref="F65:H65">
    <cfRule type="expression" dxfId="607" priority="306">
      <formula>F65&lt;&gt;""</formula>
    </cfRule>
  </conditionalFormatting>
  <conditionalFormatting sqref="F68:H71">
    <cfRule type="expression" dxfId="606" priority="313">
      <formula>F68="Not Met"</formula>
    </cfRule>
  </conditionalFormatting>
  <conditionalFormatting sqref="F73:H73">
    <cfRule type="expression" dxfId="605" priority="395">
      <formula>F73="Met"</formula>
    </cfRule>
    <cfRule type="expression" dxfId="604" priority="396">
      <formula>F73="Not Met"</formula>
    </cfRule>
  </conditionalFormatting>
  <conditionalFormatting sqref="F74:H74">
    <cfRule type="expression" dxfId="603" priority="403">
      <formula>F73="Not Met"</formula>
    </cfRule>
  </conditionalFormatting>
  <conditionalFormatting sqref="F75:H75">
    <cfRule type="expression" dxfId="602" priority="393">
      <formula>F75="Met"</formula>
    </cfRule>
    <cfRule type="expression" dxfId="601" priority="394">
      <formula>F75="Not Met"</formula>
    </cfRule>
  </conditionalFormatting>
  <conditionalFormatting sqref="F77:H77">
    <cfRule type="expression" dxfId="600" priority="391">
      <formula>F77="Met"</formula>
    </cfRule>
    <cfRule type="expression" dxfId="599" priority="392">
      <formula>F77="Not Met"</formula>
    </cfRule>
  </conditionalFormatting>
  <conditionalFormatting sqref="F78:H78">
    <cfRule type="expression" dxfId="598" priority="411">
      <formula>$F78&lt;&gt;""</formula>
    </cfRule>
    <cfRule type="expression" dxfId="597" priority="412">
      <formula>$F$77="Not Met"</formula>
    </cfRule>
  </conditionalFormatting>
  <conditionalFormatting sqref="F79:H79">
    <cfRule type="expression" dxfId="596" priority="389">
      <formula>F79="Met"</formula>
    </cfRule>
    <cfRule type="expression" dxfId="595" priority="390">
      <formula>F79="Not Met"</formula>
    </cfRule>
  </conditionalFormatting>
  <conditionalFormatting sqref="F81:H81">
    <cfRule type="expression" dxfId="594" priority="388">
      <formula>F81="Not Met"</formula>
    </cfRule>
    <cfRule type="expression" dxfId="593" priority="387">
      <formula>F81="Met"</formula>
    </cfRule>
  </conditionalFormatting>
  <conditionalFormatting sqref="F84:H84">
    <cfRule type="expression" dxfId="592" priority="386">
      <formula>F84="Not Met"</formula>
    </cfRule>
    <cfRule type="expression" dxfId="591" priority="385">
      <formula>F84="Met"</formula>
    </cfRule>
  </conditionalFormatting>
  <conditionalFormatting sqref="F85:H85">
    <cfRule type="expression" dxfId="590" priority="413">
      <formula>$F85&lt;&gt;""</formula>
    </cfRule>
    <cfRule type="expression" dxfId="589" priority="422">
      <formula>$F$84="Not Met"</formula>
    </cfRule>
  </conditionalFormatting>
  <conditionalFormatting sqref="F86:H86">
    <cfRule type="expression" dxfId="588" priority="7">
      <formula>$B$86&lt;&gt;""</formula>
    </cfRule>
    <cfRule type="expression" dxfId="587" priority="383">
      <formula>F86="Met"</formula>
    </cfRule>
    <cfRule type="expression" dxfId="586" priority="384">
      <formula>F86="Not Met"</formula>
    </cfRule>
  </conditionalFormatting>
  <conditionalFormatting sqref="F87:H87">
    <cfRule type="expression" dxfId="585" priority="414">
      <formula>$F87&lt;&gt;""</formula>
    </cfRule>
    <cfRule type="expression" dxfId="584" priority="421">
      <formula>$F86="Not Met"</formula>
    </cfRule>
  </conditionalFormatting>
  <conditionalFormatting sqref="F88:H88">
    <cfRule type="expression" dxfId="583" priority="8">
      <formula>$B$88&lt;&gt;""</formula>
    </cfRule>
    <cfRule type="expression" dxfId="582" priority="381">
      <formula>F88="Met"</formula>
    </cfRule>
    <cfRule type="expression" dxfId="581" priority="382">
      <formula>F88="Not Met"</formula>
    </cfRule>
  </conditionalFormatting>
  <conditionalFormatting sqref="F89:H89">
    <cfRule type="expression" dxfId="580" priority="424">
      <formula>$F88="Not Met"</formula>
    </cfRule>
    <cfRule type="expression" dxfId="579" priority="415">
      <formula>$F89&lt;&gt;""</formula>
    </cfRule>
  </conditionalFormatting>
  <conditionalFormatting sqref="F90:H90">
    <cfRule type="expression" dxfId="578" priority="379">
      <formula>F90="Met"</formula>
    </cfRule>
    <cfRule type="expression" dxfId="577" priority="380">
      <formula>F90="Not Met"</formula>
    </cfRule>
  </conditionalFormatting>
  <conditionalFormatting sqref="F91:H91">
    <cfRule type="expression" dxfId="576" priority="419">
      <formula>F90="Not Met"</formula>
    </cfRule>
  </conditionalFormatting>
  <conditionalFormatting sqref="F92:H92">
    <cfRule type="expression" dxfId="575" priority="277">
      <formula>F58&lt;&gt;""</formula>
    </cfRule>
    <cfRule type="expression" dxfId="574" priority="375">
      <formula>F92="Met"</formula>
    </cfRule>
    <cfRule type="expression" dxfId="573" priority="376">
      <formula>F92="Not Met"</formula>
    </cfRule>
  </conditionalFormatting>
  <conditionalFormatting sqref="F93:H93">
    <cfRule type="expression" dxfId="572" priority="416">
      <formula>F92="Not Met"</formula>
    </cfRule>
  </conditionalFormatting>
  <conditionalFormatting sqref="F94:H94">
    <cfRule type="expression" dxfId="571" priority="275">
      <formula>F58&lt;&gt;""</formula>
    </cfRule>
    <cfRule type="expression" dxfId="570" priority="373">
      <formula>F94="Met"</formula>
    </cfRule>
    <cfRule type="expression" dxfId="569" priority="374">
      <formula>F94="Not Met"</formula>
    </cfRule>
  </conditionalFormatting>
  <conditionalFormatting sqref="F95:H95">
    <cfRule type="expression" dxfId="568" priority="417">
      <formula>F94="Not Met"</formula>
    </cfRule>
  </conditionalFormatting>
  <conditionalFormatting sqref="F96:H96">
    <cfRule type="expression" dxfId="567" priority="273">
      <formula>F58&lt;&gt;""</formula>
    </cfRule>
    <cfRule type="expression" dxfId="566" priority="372">
      <formula>F96="Not Met"</formula>
    </cfRule>
    <cfRule type="expression" dxfId="565" priority="371">
      <formula>F96="Met"</formula>
    </cfRule>
  </conditionalFormatting>
  <conditionalFormatting sqref="F97:H97">
    <cfRule type="expression" dxfId="564" priority="426">
      <formula>F96="Not Met"</formula>
    </cfRule>
  </conditionalFormatting>
  <conditionalFormatting sqref="F98:H98">
    <cfRule type="expression" dxfId="563" priority="369">
      <formula>F98="Met"</formula>
    </cfRule>
    <cfRule type="expression" dxfId="562" priority="271">
      <formula>F58&lt;&gt;""</formula>
    </cfRule>
    <cfRule type="expression" dxfId="561" priority="370">
      <formula>F98="Not Met"</formula>
    </cfRule>
  </conditionalFormatting>
  <conditionalFormatting sqref="F99:H99">
    <cfRule type="expression" dxfId="560" priority="425">
      <formula>F98="Not Met"</formula>
    </cfRule>
  </conditionalFormatting>
  <conditionalFormatting sqref="F105:H105">
    <cfRule type="expression" dxfId="559" priority="219">
      <formula>$F105&lt;&gt;""</formula>
    </cfRule>
  </conditionalFormatting>
  <conditionalFormatting sqref="F106:H106">
    <cfRule type="expression" dxfId="558" priority="56">
      <formula>F106&lt;&gt;""</formula>
    </cfRule>
  </conditionalFormatting>
  <conditionalFormatting sqref="F112:H112">
    <cfRule type="expression" dxfId="557" priority="93">
      <formula>F112&lt;&gt;""</formula>
    </cfRule>
  </conditionalFormatting>
  <conditionalFormatting sqref="F115:H118">
    <cfRule type="expression" dxfId="556" priority="99">
      <formula>F115="Not Met"</formula>
    </cfRule>
  </conditionalFormatting>
  <conditionalFormatting sqref="F120:H120">
    <cfRule type="expression" dxfId="555" priority="182">
      <formula>F120="Not Met"</formula>
    </cfRule>
    <cfRule type="expression" dxfId="554" priority="181">
      <formula>F120="Met"</formula>
    </cfRule>
  </conditionalFormatting>
  <conditionalFormatting sqref="F121:H121">
    <cfRule type="expression" dxfId="553" priority="189">
      <formula>F120="Not Met"</formula>
    </cfRule>
  </conditionalFormatting>
  <conditionalFormatting sqref="F122:H122">
    <cfRule type="expression" dxfId="552" priority="179">
      <formula>F122="Met"</formula>
    </cfRule>
    <cfRule type="expression" dxfId="551" priority="180">
      <formula>F122="Not Met"</formula>
    </cfRule>
  </conditionalFormatting>
  <conditionalFormatting sqref="F124:H124">
    <cfRule type="expression" dxfId="550" priority="178">
      <formula>F124="Not Met"</formula>
    </cfRule>
    <cfRule type="expression" dxfId="549" priority="177">
      <formula>F124="Met"</formula>
    </cfRule>
  </conditionalFormatting>
  <conditionalFormatting sqref="F125:H125">
    <cfRule type="expression" dxfId="548" priority="198">
      <formula>$F$124="Not Met"</formula>
    </cfRule>
    <cfRule type="expression" dxfId="547" priority="197">
      <formula>$F$125&lt;&gt;""</formula>
    </cfRule>
  </conditionalFormatting>
  <conditionalFormatting sqref="F126:H126">
    <cfRule type="expression" dxfId="546" priority="175">
      <formula>F126="Met"</formula>
    </cfRule>
    <cfRule type="expression" dxfId="545" priority="176">
      <formula>F126="Not Met"</formula>
    </cfRule>
  </conditionalFormatting>
  <conditionalFormatting sqref="F128:H128">
    <cfRule type="expression" dxfId="544" priority="174">
      <formula>F128="Not Met"</formula>
    </cfRule>
    <cfRule type="expression" dxfId="543" priority="173">
      <formula>F128="Met"</formula>
    </cfRule>
  </conditionalFormatting>
  <conditionalFormatting sqref="F131:H131">
    <cfRule type="expression" dxfId="542" priority="171">
      <formula>F131="Met"</formula>
    </cfRule>
    <cfRule type="expression" dxfId="541" priority="172">
      <formula>F131="Not Met"</formula>
    </cfRule>
  </conditionalFormatting>
  <conditionalFormatting sqref="F132:H132">
    <cfRule type="expression" dxfId="540" priority="199">
      <formula>$F132&lt;&gt;""</formula>
    </cfRule>
    <cfRule type="expression" dxfId="539" priority="208">
      <formula>$F131="Not Met"</formula>
    </cfRule>
  </conditionalFormatting>
  <conditionalFormatting sqref="F133:H133">
    <cfRule type="expression" dxfId="538" priority="169">
      <formula>F133="Met"</formula>
    </cfRule>
    <cfRule type="expression" dxfId="537" priority="170">
      <formula>F133="Not Met"</formula>
    </cfRule>
  </conditionalFormatting>
  <conditionalFormatting sqref="F134:H134">
    <cfRule type="expression" dxfId="536" priority="207">
      <formula>$F133="Not Met"</formula>
    </cfRule>
    <cfRule type="expression" dxfId="535" priority="200">
      <formula>$F$134&lt;&gt;""</formula>
    </cfRule>
  </conditionalFormatting>
  <conditionalFormatting sqref="F135:H135">
    <cfRule type="expression" dxfId="534" priority="168">
      <formula>F135="Not Met"</formula>
    </cfRule>
    <cfRule type="expression" dxfId="533" priority="167">
      <formula>F135="Met"</formula>
    </cfRule>
  </conditionalFormatting>
  <conditionalFormatting sqref="F136:H136">
    <cfRule type="expression" dxfId="532" priority="210">
      <formula>$F$135="Not Met"</formula>
    </cfRule>
    <cfRule type="expression" dxfId="531" priority="201">
      <formula>$F$136&lt;&gt;""</formula>
    </cfRule>
  </conditionalFormatting>
  <conditionalFormatting sqref="F137:H137">
    <cfRule type="expression" dxfId="530" priority="166">
      <formula>F137="Not Met"</formula>
    </cfRule>
    <cfRule type="expression" dxfId="529" priority="165">
      <formula>F137="Met"</formula>
    </cfRule>
  </conditionalFormatting>
  <conditionalFormatting sqref="F138:H138">
    <cfRule type="expression" dxfId="528" priority="205">
      <formula>F137="Not Met"</formula>
    </cfRule>
  </conditionalFormatting>
  <conditionalFormatting sqref="F139:H139">
    <cfRule type="expression" dxfId="527" priority="161">
      <formula>F139="Met"</formula>
    </cfRule>
    <cfRule type="expression" dxfId="526" priority="162">
      <formula>F139="Not Met"</formula>
    </cfRule>
    <cfRule type="expression" dxfId="525" priority="65">
      <formula>F105&lt;&gt;""</formula>
    </cfRule>
  </conditionalFormatting>
  <conditionalFormatting sqref="F140:H140">
    <cfRule type="expression" dxfId="524" priority="202">
      <formula>F139="Not Met"</formula>
    </cfRule>
  </conditionalFormatting>
  <conditionalFormatting sqref="F141:H141">
    <cfRule type="expression" dxfId="523" priority="159">
      <formula>F141="Met"</formula>
    </cfRule>
    <cfRule type="expression" dxfId="522" priority="160">
      <formula>F141="Not Met"</formula>
    </cfRule>
    <cfRule type="expression" dxfId="521" priority="63">
      <formula>F105&lt;&gt;""</formula>
    </cfRule>
  </conditionalFormatting>
  <conditionalFormatting sqref="F142:H142">
    <cfRule type="expression" dxfId="520" priority="203">
      <formula>F141="Not Met"</formula>
    </cfRule>
  </conditionalFormatting>
  <conditionalFormatting sqref="F143:H143">
    <cfRule type="expression" dxfId="519" priority="61">
      <formula>F105&lt;&gt;""</formula>
    </cfRule>
    <cfRule type="expression" dxfId="518" priority="158">
      <formula>F143="Not Met"</formula>
    </cfRule>
    <cfRule type="expression" dxfId="517" priority="157">
      <formula>F143="Met"</formula>
    </cfRule>
  </conditionalFormatting>
  <conditionalFormatting sqref="F144:H144">
    <cfRule type="expression" dxfId="516" priority="212">
      <formula>F143="Not Met"</formula>
    </cfRule>
  </conditionalFormatting>
  <conditionalFormatting sqref="F145:H145">
    <cfRule type="expression" dxfId="515" priority="155">
      <formula>F145="Met"</formula>
    </cfRule>
    <cfRule type="expression" dxfId="514" priority="59">
      <formula>F105&lt;&gt;""</formula>
    </cfRule>
    <cfRule type="expression" dxfId="513" priority="156">
      <formula>F145="Not Met"</formula>
    </cfRule>
  </conditionalFormatting>
  <conditionalFormatting sqref="F146:H146">
    <cfRule type="expression" dxfId="512" priority="211">
      <formula>F145="Not Met"</formula>
    </cfRule>
  </conditionalFormatting>
  <conditionalFormatting sqref="F11:M11">
    <cfRule type="expression" dxfId="511" priority="1087">
      <formula>$F11&lt;&gt;""</formula>
    </cfRule>
  </conditionalFormatting>
  <conditionalFormatting sqref="F13:M13">
    <cfRule type="expression" dxfId="510" priority="941">
      <formula>F12&lt;&gt;""</formula>
    </cfRule>
  </conditionalFormatting>
  <conditionalFormatting sqref="F14:M14">
    <cfRule type="expression" dxfId="509" priority="940">
      <formula>F12&lt;&gt;""</formula>
    </cfRule>
  </conditionalFormatting>
  <conditionalFormatting sqref="F16:M16">
    <cfRule type="expression" dxfId="508" priority="938">
      <formula>F12&lt;&gt;""</formula>
    </cfRule>
  </conditionalFormatting>
  <conditionalFormatting sqref="F17:M17">
    <cfRule type="expression" dxfId="507" priority="937">
      <formula>F12&lt;&gt;""</formula>
    </cfRule>
  </conditionalFormatting>
  <conditionalFormatting sqref="F19:M19">
    <cfRule type="expression" dxfId="506" priority="935">
      <formula>F12&lt;&gt;""</formula>
    </cfRule>
  </conditionalFormatting>
  <conditionalFormatting sqref="F20:M20">
    <cfRule type="expression" dxfId="505" priority="934">
      <formula>F12&lt;&gt;""</formula>
    </cfRule>
  </conditionalFormatting>
  <conditionalFormatting sqref="F21:M21">
    <cfRule type="expression" dxfId="504" priority="933">
      <formula>F12&lt;&gt;""</formula>
    </cfRule>
  </conditionalFormatting>
  <conditionalFormatting sqref="F22:M22">
    <cfRule type="expression" dxfId="503" priority="932">
      <formula>F12&lt;&gt;""</formula>
    </cfRule>
  </conditionalFormatting>
  <conditionalFormatting sqref="F23:M23">
    <cfRule type="expression" dxfId="502" priority="931">
      <formula>F12&lt;&gt;""</formula>
    </cfRule>
  </conditionalFormatting>
  <conditionalFormatting sqref="F24:M24">
    <cfRule type="expression" dxfId="501" priority="930">
      <formula>F12&lt;&gt;""</formula>
    </cfRule>
  </conditionalFormatting>
  <conditionalFormatting sqref="F25:M25 O25:R25 T25:W25 O31:R31 T31:W31 O33:R33 T33:W33 O35:R35 T35:W35">
    <cfRule type="expression" dxfId="500" priority="1293">
      <formula>F25&lt;&gt;""</formula>
    </cfRule>
    <cfRule type="expression" dxfId="499" priority="1294">
      <formula>F24="Not Met"</formula>
    </cfRule>
  </conditionalFormatting>
  <conditionalFormatting sqref="F26:M26">
    <cfRule type="expression" dxfId="498" priority="928">
      <formula>F12&lt;&gt;""</formula>
    </cfRule>
  </conditionalFormatting>
  <conditionalFormatting sqref="F27:M27 O27:R27 T27:W27">
    <cfRule type="expression" dxfId="497" priority="1181">
      <formula>F27&lt;&gt;""</formula>
    </cfRule>
  </conditionalFormatting>
  <conditionalFormatting sqref="F28:M28">
    <cfRule type="expression" dxfId="496" priority="926">
      <formula>F12&lt;&gt;""</formula>
    </cfRule>
  </conditionalFormatting>
  <conditionalFormatting sqref="F29:M29 O29:R29 T29:W29 I38:M38 O38:R38 T38:W38 I40:M40 O40:R40 T40:W40 I42:M42 O42:R42 T42:W42 F44:M44 O44:R44 T44:W44 F46:M46 O46:R46 T46:W46 F48:M48 O48:R48 T48:W48 F50:M50 O50:R50 T50:W50 F52:M52 O52:R52 T52:W52">
    <cfRule type="expression" dxfId="495" priority="1303">
      <formula>F29&lt;&gt;""</formula>
    </cfRule>
  </conditionalFormatting>
  <conditionalFormatting sqref="F29:M29 O29:R29 T29:W29 I38:M38 O38:R38 T38:W38 I40:M40 O40:R40 T40:W40 I42:M42 O42:R42 T42:W42 I44:M44 O44:R44 T44:W44 I46:M46 O46:R46 T46:W46 I48:M48 O48:R48 T48:W48 I50:M50 O50:R50 T50:W50 I52:M52 O52:R52 T52:W52 O27:R27 T27:W27">
    <cfRule type="expression" dxfId="494" priority="1335">
      <formula>F26="Not Met"</formula>
    </cfRule>
  </conditionalFormatting>
  <conditionalFormatting sqref="F30:M30">
    <cfRule type="expression" dxfId="493" priority="924">
      <formula>F12&lt;&gt;""</formula>
    </cfRule>
  </conditionalFormatting>
  <conditionalFormatting sqref="F32:M32">
    <cfRule type="expression" dxfId="492" priority="922">
      <formula>F12&lt;&gt;""</formula>
    </cfRule>
  </conditionalFormatting>
  <conditionalFormatting sqref="F34:M34">
    <cfRule type="expression" dxfId="491" priority="920">
      <formula>F12&lt;&gt;""</formula>
    </cfRule>
  </conditionalFormatting>
  <conditionalFormatting sqref="F35:M35">
    <cfRule type="expression" dxfId="490" priority="1161">
      <formula>F35&lt;&gt;""</formula>
    </cfRule>
    <cfRule type="expression" dxfId="489" priority="1162">
      <formula>F34="Not Met"</formula>
    </cfRule>
  </conditionalFormatting>
  <conditionalFormatting sqref="F37:M37">
    <cfRule type="expression" dxfId="488" priority="918">
      <formula>F12&lt;&gt;""</formula>
    </cfRule>
  </conditionalFormatting>
  <conditionalFormatting sqref="F41:M41">
    <cfRule type="expression" dxfId="487" priority="10">
      <formula>F12&lt;&gt;""</formula>
    </cfRule>
  </conditionalFormatting>
  <conditionalFormatting sqref="F43:M43">
    <cfRule type="expression" dxfId="486" priority="912">
      <formula>F12&lt;&gt;""</formula>
    </cfRule>
  </conditionalFormatting>
  <conditionalFormatting sqref="F60:M60">
    <cfRule type="expression" dxfId="485" priority="266">
      <formula>F59&lt;&gt;""</formula>
    </cfRule>
  </conditionalFormatting>
  <conditionalFormatting sqref="F61:M61">
    <cfRule type="expression" dxfId="484" priority="265">
      <formula>F59&lt;&gt;""</formula>
    </cfRule>
  </conditionalFormatting>
  <conditionalFormatting sqref="F62:M62">
    <cfRule type="expression" dxfId="483" priority="223">
      <formula>F59&lt;&gt;""</formula>
    </cfRule>
  </conditionalFormatting>
  <conditionalFormatting sqref="F63:M63">
    <cfRule type="expression" dxfId="482" priority="263">
      <formula>F59&lt;&gt;""</formula>
    </cfRule>
  </conditionalFormatting>
  <conditionalFormatting sqref="F64:M64">
    <cfRule type="expression" dxfId="481" priority="262">
      <formula>F59&lt;&gt;""</formula>
    </cfRule>
  </conditionalFormatting>
  <conditionalFormatting sqref="F66:M66">
    <cfRule type="expression" dxfId="480" priority="260">
      <formula>F59&lt;&gt;""</formula>
    </cfRule>
  </conditionalFormatting>
  <conditionalFormatting sqref="F67:M67">
    <cfRule type="expression" dxfId="479" priority="259">
      <formula>F59&lt;&gt;""</formula>
    </cfRule>
  </conditionalFormatting>
  <conditionalFormatting sqref="F68:M68">
    <cfRule type="expression" dxfId="478" priority="258">
      <formula>F59&lt;&gt;""</formula>
    </cfRule>
  </conditionalFormatting>
  <conditionalFormatting sqref="F69:M69">
    <cfRule type="expression" dxfId="477" priority="257">
      <formula>F59&lt;&gt;""</formula>
    </cfRule>
  </conditionalFormatting>
  <conditionalFormatting sqref="F70:M70">
    <cfRule type="expression" dxfId="476" priority="256">
      <formula>F59&lt;&gt;""</formula>
    </cfRule>
  </conditionalFormatting>
  <conditionalFormatting sqref="F71:M71">
    <cfRule type="expression" dxfId="475" priority="255">
      <formula>F59&lt;&gt;""</formula>
    </cfRule>
  </conditionalFormatting>
  <conditionalFormatting sqref="F72:M72">
    <cfRule type="expression" dxfId="474" priority="407">
      <formula>F71="Not Met"</formula>
    </cfRule>
    <cfRule type="expression" dxfId="473" priority="406">
      <formula>F72&lt;&gt;""</formula>
    </cfRule>
  </conditionalFormatting>
  <conditionalFormatting sqref="F73:M73">
    <cfRule type="expression" dxfId="472" priority="253">
      <formula>F59&lt;&gt;""</formula>
    </cfRule>
  </conditionalFormatting>
  <conditionalFormatting sqref="F74:M74">
    <cfRule type="expression" dxfId="471" priority="318">
      <formula>F74&lt;&gt;""</formula>
    </cfRule>
  </conditionalFormatting>
  <conditionalFormatting sqref="F75:M75">
    <cfRule type="expression" dxfId="470" priority="251">
      <formula>F59&lt;&gt;""</formula>
    </cfRule>
  </conditionalFormatting>
  <conditionalFormatting sqref="F76:M76 I85:M85 I87:M87 I89:M89 F91:M91 F93:M93 F95:M95 F97:M97 F99:M99">
    <cfRule type="expression" dxfId="469" priority="410">
      <formula>F76&lt;&gt;""</formula>
    </cfRule>
  </conditionalFormatting>
  <conditionalFormatting sqref="F76:M76 I85:M85 I87:M87 I89:M89 I91:M91 I93:M93 I95:M95 I97:M97 I99:M99">
    <cfRule type="expression" dxfId="468" priority="427">
      <formula>F75="Not Met"</formula>
    </cfRule>
  </conditionalFormatting>
  <conditionalFormatting sqref="F77:M77">
    <cfRule type="expression" dxfId="467" priority="249">
      <formula>F59&lt;&gt;""</formula>
    </cfRule>
  </conditionalFormatting>
  <conditionalFormatting sqref="F79:M79">
    <cfRule type="expression" dxfId="466" priority="247">
      <formula>F59&lt;&gt;""</formula>
    </cfRule>
  </conditionalFormatting>
  <conditionalFormatting sqref="F81:M81">
    <cfRule type="expression" dxfId="465" priority="245">
      <formula>F59&lt;&gt;""</formula>
    </cfRule>
  </conditionalFormatting>
  <conditionalFormatting sqref="F82:M82">
    <cfRule type="expression" dxfId="464" priority="315">
      <formula>F81="Not Met"</formula>
    </cfRule>
    <cfRule type="expression" dxfId="463" priority="314">
      <formula>F82&lt;&gt;""</formula>
    </cfRule>
  </conditionalFormatting>
  <conditionalFormatting sqref="F84:M84">
    <cfRule type="expression" dxfId="462" priority="243">
      <formula>F59&lt;&gt;""</formula>
    </cfRule>
  </conditionalFormatting>
  <conditionalFormatting sqref="F90:M90">
    <cfRule type="expression" dxfId="461" priority="237">
      <formula>F59&lt;&gt;""</formula>
    </cfRule>
  </conditionalFormatting>
  <conditionalFormatting sqref="F107:M107">
    <cfRule type="expression" dxfId="460" priority="54">
      <formula>F106&lt;&gt;""</formula>
    </cfRule>
  </conditionalFormatting>
  <conditionalFormatting sqref="F108:M108">
    <cfRule type="expression" dxfId="459" priority="53">
      <formula>F106&lt;&gt;""</formula>
    </cfRule>
  </conditionalFormatting>
  <conditionalFormatting sqref="F109:M109">
    <cfRule type="expression" dxfId="458" priority="13">
      <formula>F106&lt;&gt;""</formula>
    </cfRule>
  </conditionalFormatting>
  <conditionalFormatting sqref="F110:M110">
    <cfRule type="expression" dxfId="457" priority="52">
      <formula>F106&lt;&gt;""</formula>
    </cfRule>
  </conditionalFormatting>
  <conditionalFormatting sqref="F111:M111">
    <cfRule type="expression" dxfId="456" priority="51">
      <formula>F106&lt;&gt;""</formula>
    </cfRule>
  </conditionalFormatting>
  <conditionalFormatting sqref="F113:M113">
    <cfRule type="expression" dxfId="455" priority="49">
      <formula>F106&lt;&gt;""</formula>
    </cfRule>
  </conditionalFormatting>
  <conditionalFormatting sqref="F114:M114">
    <cfRule type="expression" dxfId="454" priority="48">
      <formula>F106&lt;&gt;""</formula>
    </cfRule>
  </conditionalFormatting>
  <conditionalFormatting sqref="F115:M115">
    <cfRule type="expression" dxfId="453" priority="47">
      <formula>F106&lt;&gt;""</formula>
    </cfRule>
  </conditionalFormatting>
  <conditionalFormatting sqref="F116:M116">
    <cfRule type="expression" dxfId="452" priority="46">
      <formula>F106&lt;&gt;""</formula>
    </cfRule>
  </conditionalFormatting>
  <conditionalFormatting sqref="F117:M117">
    <cfRule type="expression" dxfId="451" priority="45">
      <formula>F106&lt;&gt;""</formula>
    </cfRule>
  </conditionalFormatting>
  <conditionalFormatting sqref="F118:M118">
    <cfRule type="expression" dxfId="450" priority="44">
      <formula>F106&lt;&gt;""</formula>
    </cfRule>
  </conditionalFormatting>
  <conditionalFormatting sqref="F119:M119">
    <cfRule type="expression" dxfId="449" priority="193">
      <formula>F118="Not Met"</formula>
    </cfRule>
    <cfRule type="expression" dxfId="448" priority="192">
      <formula>F119&lt;&gt;""</formula>
    </cfRule>
  </conditionalFormatting>
  <conditionalFormatting sqref="F120:M120">
    <cfRule type="expression" dxfId="447" priority="42">
      <formula>F106&lt;&gt;""</formula>
    </cfRule>
  </conditionalFormatting>
  <conditionalFormatting sqref="F121:M121">
    <cfRule type="expression" dxfId="446" priority="104">
      <formula>F121&lt;&gt;""</formula>
    </cfRule>
  </conditionalFormatting>
  <conditionalFormatting sqref="F122:M122">
    <cfRule type="expression" dxfId="445" priority="40">
      <formula>F106&lt;&gt;""</formula>
    </cfRule>
  </conditionalFormatting>
  <conditionalFormatting sqref="F123:M123 I132:M132 I134:M134 I136:M136 F138:M138 F140:M140 F142:M142 F144:M144 F146:M146">
    <cfRule type="expression" dxfId="444" priority="196">
      <formula>F123&lt;&gt;""</formula>
    </cfRule>
  </conditionalFormatting>
  <conditionalFormatting sqref="F123:M123 I132:M132 I134:M134 I136:M136 I138:M138 I140:M140 I142:M142 I144:M144 I146:M146">
    <cfRule type="expression" dxfId="443" priority="213">
      <formula>F122="Not Met"</formula>
    </cfRule>
  </conditionalFormatting>
  <conditionalFormatting sqref="F124:M124">
    <cfRule type="expression" dxfId="442" priority="38">
      <formula>F106&lt;&gt;""</formula>
    </cfRule>
  </conditionalFormatting>
  <conditionalFormatting sqref="F126:M126">
    <cfRule type="expression" dxfId="441" priority="36">
      <formula>F106&lt;&gt;""</formula>
    </cfRule>
  </conditionalFormatting>
  <conditionalFormatting sqref="F128:M128">
    <cfRule type="expression" dxfId="440" priority="34">
      <formula>F106&lt;&gt;""</formula>
    </cfRule>
  </conditionalFormatting>
  <conditionalFormatting sqref="F129:M129">
    <cfRule type="expression" dxfId="439" priority="101">
      <formula>F128="Not Met"</formula>
    </cfRule>
    <cfRule type="expression" dxfId="438" priority="100">
      <formula>F129&lt;&gt;""</formula>
    </cfRule>
  </conditionalFormatting>
  <conditionalFormatting sqref="F131:M131">
    <cfRule type="expression" dxfId="437" priority="32">
      <formula>F106&lt;&gt;""</formula>
    </cfRule>
  </conditionalFormatting>
  <conditionalFormatting sqref="F133:M133">
    <cfRule type="expression" dxfId="436" priority="5">
      <formula>F106&lt;&gt;""</formula>
    </cfRule>
  </conditionalFormatting>
  <conditionalFormatting sqref="F135:M135">
    <cfRule type="expression" dxfId="435" priority="4">
      <formula>F106&lt;&gt;""</formula>
    </cfRule>
  </conditionalFormatting>
  <conditionalFormatting sqref="F137:M137">
    <cfRule type="expression" dxfId="434" priority="26">
      <formula>F106&lt;&gt;""</formula>
    </cfRule>
  </conditionalFormatting>
  <conditionalFormatting sqref="H8">
    <cfRule type="expression" dxfId="433" priority="1090">
      <formula>$B$8&lt;&gt;""</formula>
    </cfRule>
  </conditionalFormatting>
  <conditionalFormatting sqref="I12:I17">
    <cfRule type="expression" dxfId="432" priority="1017">
      <formula>I12&lt;&gt;""</formula>
    </cfRule>
  </conditionalFormatting>
  <conditionalFormatting sqref="I18">
    <cfRule type="expression" dxfId="431" priority="1066">
      <formula>$I$18&lt;&gt;""</formula>
    </cfRule>
  </conditionalFormatting>
  <conditionalFormatting sqref="I21">
    <cfRule type="expression" dxfId="430" priority="1295">
      <formula>I21="Not Met"</formula>
    </cfRule>
  </conditionalFormatting>
  <conditionalFormatting sqref="I21:I24">
    <cfRule type="expression" dxfId="429" priority="1110">
      <formula>I21="Met"</formula>
    </cfRule>
  </conditionalFormatting>
  <conditionalFormatting sqref="I22 O26:P26">
    <cfRule type="expression" dxfId="428" priority="1111">
      <formula>I22="Not Met"</formula>
    </cfRule>
  </conditionalFormatting>
  <conditionalFormatting sqref="I26">
    <cfRule type="expression" dxfId="427" priority="1291">
      <formula>I26="Met"</formula>
    </cfRule>
    <cfRule type="expression" dxfId="426" priority="1292">
      <formula>I26="Not Met"</formula>
    </cfRule>
  </conditionalFormatting>
  <conditionalFormatting sqref="I28">
    <cfRule type="expression" dxfId="425" priority="1289">
      <formula>I28="Not Met"</formula>
    </cfRule>
    <cfRule type="expression" dxfId="424" priority="1288">
      <formula>I28="Met"</formula>
    </cfRule>
  </conditionalFormatting>
  <conditionalFormatting sqref="I30">
    <cfRule type="expression" dxfId="423" priority="1287">
      <formula>I30="Not Met"</formula>
    </cfRule>
    <cfRule type="expression" dxfId="422" priority="1286">
      <formula>I30="Met"</formula>
    </cfRule>
  </conditionalFormatting>
  <conditionalFormatting sqref="I32">
    <cfRule type="expression" dxfId="421" priority="1285">
      <formula>I32="Not Met"</formula>
    </cfRule>
    <cfRule type="expression" dxfId="420" priority="1284">
      <formula>I32="Met"</formula>
    </cfRule>
  </conditionalFormatting>
  <conditionalFormatting sqref="I34">
    <cfRule type="expression" dxfId="419" priority="1253">
      <formula>I34="Met"</formula>
    </cfRule>
    <cfRule type="expression" dxfId="418" priority="1254">
      <formula>I34="Not Met"</formula>
    </cfRule>
  </conditionalFormatting>
  <conditionalFormatting sqref="I36">
    <cfRule type="expression" dxfId="417" priority="1298">
      <formula>I$446&lt;&gt;""</formula>
    </cfRule>
  </conditionalFormatting>
  <conditionalFormatting sqref="I37">
    <cfRule type="expression" dxfId="416" priority="1251">
      <formula>I37="Met"</formula>
    </cfRule>
    <cfRule type="expression" dxfId="415" priority="1252">
      <formula>I37="Not Met"</formula>
    </cfRule>
  </conditionalFormatting>
  <conditionalFormatting sqref="I39">
    <cfRule type="expression" dxfId="414" priority="1249">
      <formula>I39="Met"</formula>
    </cfRule>
    <cfRule type="expression" dxfId="413" priority="1250">
      <formula>I39="Not Met"</formula>
    </cfRule>
  </conditionalFormatting>
  <conditionalFormatting sqref="I41">
    <cfRule type="expression" dxfId="412" priority="1247">
      <formula>I41="Met"</formula>
    </cfRule>
    <cfRule type="expression" dxfId="411" priority="1248">
      <formula>I41="Not Met"</formula>
    </cfRule>
  </conditionalFormatting>
  <conditionalFormatting sqref="I43">
    <cfRule type="expression" dxfId="410" priority="1245">
      <formula>I43="Met"</formula>
    </cfRule>
    <cfRule type="expression" dxfId="409" priority="1246">
      <formula>I43="Not Met"</formula>
    </cfRule>
  </conditionalFormatting>
  <conditionalFormatting sqref="I45">
    <cfRule type="expression" dxfId="408" priority="1241">
      <formula>I45="Met"</formula>
    </cfRule>
    <cfRule type="expression" dxfId="407" priority="1242">
      <formula>I45="Not Met"</formula>
    </cfRule>
  </conditionalFormatting>
  <conditionalFormatting sqref="I47">
    <cfRule type="expression" dxfId="406" priority="1239">
      <formula>I47="Met"</formula>
    </cfRule>
    <cfRule type="expression" dxfId="405" priority="1240">
      <formula>I47="Not Met"</formula>
    </cfRule>
  </conditionalFormatting>
  <conditionalFormatting sqref="I49">
    <cfRule type="expression" dxfId="404" priority="1238">
      <formula>I49="Not Met"</formula>
    </cfRule>
    <cfRule type="expression" dxfId="403" priority="1237">
      <formula>I49="Met"</formula>
    </cfRule>
  </conditionalFormatting>
  <conditionalFormatting sqref="I51">
    <cfRule type="expression" dxfId="402" priority="1236">
      <formula>I51="Not Met"</formula>
    </cfRule>
    <cfRule type="expression" dxfId="401" priority="1235">
      <formula>I51="Met"</formula>
    </cfRule>
  </conditionalFormatting>
  <conditionalFormatting sqref="I59:I64">
    <cfRule type="expression" dxfId="400" priority="269">
      <formula>I59&lt;&gt;""</formula>
    </cfRule>
  </conditionalFormatting>
  <conditionalFormatting sqref="I65">
    <cfRule type="expression" dxfId="399" priority="291">
      <formula>$I$59&lt;&gt;""</formula>
    </cfRule>
  </conditionalFormatting>
  <conditionalFormatting sqref="I68">
    <cfRule type="expression" dxfId="398" priority="408">
      <formula>I68="Not Met"</formula>
    </cfRule>
  </conditionalFormatting>
  <conditionalFormatting sqref="I68:I71">
    <cfRule type="expression" dxfId="397" priority="310">
      <formula>I68="Met"</formula>
    </cfRule>
  </conditionalFormatting>
  <conditionalFormatting sqref="I69">
    <cfRule type="expression" dxfId="396" priority="311">
      <formula>I69="Not Met"</formula>
    </cfRule>
  </conditionalFormatting>
  <conditionalFormatting sqref="I73">
    <cfRule type="expression" dxfId="395" priority="405">
      <formula>I73="Not Met"</formula>
    </cfRule>
    <cfRule type="expression" dxfId="394" priority="404">
      <formula>I73="Met"</formula>
    </cfRule>
  </conditionalFormatting>
  <conditionalFormatting sqref="I75">
    <cfRule type="expression" dxfId="393" priority="402">
      <formula>I75="Not Met"</formula>
    </cfRule>
    <cfRule type="expression" dxfId="392" priority="401">
      <formula>I75="Met"</formula>
    </cfRule>
  </conditionalFormatting>
  <conditionalFormatting sqref="I77">
    <cfRule type="expression" dxfId="391" priority="400">
      <formula>I77="Not Met"</formula>
    </cfRule>
    <cfRule type="expression" dxfId="390" priority="399">
      <formula>I77="Met"</formula>
    </cfRule>
  </conditionalFormatting>
  <conditionalFormatting sqref="I79">
    <cfRule type="expression" dxfId="389" priority="398">
      <formula>I79="Not Met"</formula>
    </cfRule>
    <cfRule type="expression" dxfId="388" priority="397">
      <formula>I79="Met"</formula>
    </cfRule>
  </conditionalFormatting>
  <conditionalFormatting sqref="I81">
    <cfRule type="expression" dxfId="387" priority="368">
      <formula>I81="Not Met"</formula>
    </cfRule>
    <cfRule type="expression" dxfId="386" priority="367">
      <formula>I81="Met"</formula>
    </cfRule>
  </conditionalFormatting>
  <conditionalFormatting sqref="I83">
    <cfRule type="expression" dxfId="385" priority="409">
      <formula>I$446&lt;&gt;""</formula>
    </cfRule>
  </conditionalFormatting>
  <conditionalFormatting sqref="I84">
    <cfRule type="expression" dxfId="384" priority="365">
      <formula>I84="Met"</formula>
    </cfRule>
    <cfRule type="expression" dxfId="383" priority="366">
      <formula>I84="Not Met"</formula>
    </cfRule>
  </conditionalFormatting>
  <conditionalFormatting sqref="I86">
    <cfRule type="expression" dxfId="382" priority="363">
      <formula>I86="Met"</formula>
    </cfRule>
    <cfRule type="expression" dxfId="381" priority="364">
      <formula>I86="Not Met"</formula>
    </cfRule>
  </conditionalFormatting>
  <conditionalFormatting sqref="I88">
    <cfRule type="expression" dxfId="380" priority="361">
      <formula>I88="Met"</formula>
    </cfRule>
    <cfRule type="expression" dxfId="379" priority="362">
      <formula>I88="Not Met"</formula>
    </cfRule>
  </conditionalFormatting>
  <conditionalFormatting sqref="I90">
    <cfRule type="expression" dxfId="378" priority="359">
      <formula>I90="Met"</formula>
    </cfRule>
    <cfRule type="expression" dxfId="377" priority="360">
      <formula>I90="Not Met"</formula>
    </cfRule>
  </conditionalFormatting>
  <conditionalFormatting sqref="I92">
    <cfRule type="expression" dxfId="376" priority="355">
      <formula>I92="Met"</formula>
    </cfRule>
    <cfRule type="expression" dxfId="375" priority="356">
      <formula>I92="Not Met"</formula>
    </cfRule>
  </conditionalFormatting>
  <conditionalFormatting sqref="I94">
    <cfRule type="expression" dxfId="374" priority="354">
      <formula>I94="Not Met"</formula>
    </cfRule>
    <cfRule type="expression" dxfId="373" priority="353">
      <formula>I94="Met"</formula>
    </cfRule>
  </conditionalFormatting>
  <conditionalFormatting sqref="I96">
    <cfRule type="expression" dxfId="372" priority="352">
      <formula>I96="Not Met"</formula>
    </cfRule>
    <cfRule type="expression" dxfId="371" priority="351">
      <formula>I96="Met"</formula>
    </cfRule>
  </conditionalFormatting>
  <conditionalFormatting sqref="I98">
    <cfRule type="expression" dxfId="370" priority="350">
      <formula>I98="Not Met"</formula>
    </cfRule>
    <cfRule type="expression" dxfId="369" priority="349">
      <formula>I98="Met"</formula>
    </cfRule>
  </conditionalFormatting>
  <conditionalFormatting sqref="I106:I111">
    <cfRule type="expression" dxfId="368" priority="57">
      <formula>I106&lt;&gt;""</formula>
    </cfRule>
  </conditionalFormatting>
  <conditionalFormatting sqref="I112">
    <cfRule type="expression" dxfId="367" priority="79">
      <formula>$I$112&lt;&gt;""</formula>
    </cfRule>
  </conditionalFormatting>
  <conditionalFormatting sqref="I115">
    <cfRule type="expression" dxfId="366" priority="194">
      <formula>I115="Not Met"</formula>
    </cfRule>
  </conditionalFormatting>
  <conditionalFormatting sqref="I115:I118">
    <cfRule type="expression" dxfId="365" priority="96">
      <formula>I115="Met"</formula>
    </cfRule>
  </conditionalFormatting>
  <conditionalFormatting sqref="I116">
    <cfRule type="expression" dxfId="364" priority="97">
      <formula>I116="Not Met"</formula>
    </cfRule>
  </conditionalFormatting>
  <conditionalFormatting sqref="I120">
    <cfRule type="expression" dxfId="363" priority="191">
      <formula>I120="Not Met"</formula>
    </cfRule>
    <cfRule type="expression" dxfId="362" priority="190">
      <formula>I120="Met"</formula>
    </cfRule>
  </conditionalFormatting>
  <conditionalFormatting sqref="I122">
    <cfRule type="expression" dxfId="361" priority="188">
      <formula>I122="Not Met"</formula>
    </cfRule>
    <cfRule type="expression" dxfId="360" priority="187">
      <formula>I122="Met"</formula>
    </cfRule>
  </conditionalFormatting>
  <conditionalFormatting sqref="I124">
    <cfRule type="expression" dxfId="359" priority="185">
      <formula>I124="Met"</formula>
    </cfRule>
    <cfRule type="expression" dxfId="358" priority="186">
      <formula>I124="Not Met"</formula>
    </cfRule>
  </conditionalFormatting>
  <conditionalFormatting sqref="I126">
    <cfRule type="expression" dxfId="357" priority="184">
      <formula>I126="Not Met"</formula>
    </cfRule>
    <cfRule type="expression" dxfId="356" priority="183">
      <formula>I126="Met"</formula>
    </cfRule>
  </conditionalFormatting>
  <conditionalFormatting sqref="I128">
    <cfRule type="expression" dxfId="355" priority="154">
      <formula>I128="Not Met"</formula>
    </cfRule>
    <cfRule type="expression" dxfId="354" priority="153">
      <formula>I128="Met"</formula>
    </cfRule>
  </conditionalFormatting>
  <conditionalFormatting sqref="I130">
    <cfRule type="expression" dxfId="353" priority="195">
      <formula>I$446&lt;&gt;""</formula>
    </cfRule>
  </conditionalFormatting>
  <conditionalFormatting sqref="I131">
    <cfRule type="expression" dxfId="352" priority="152">
      <formula>I131="Not Met"</formula>
    </cfRule>
    <cfRule type="expression" dxfId="351" priority="151">
      <formula>I131="Met"</formula>
    </cfRule>
  </conditionalFormatting>
  <conditionalFormatting sqref="I133">
    <cfRule type="expression" dxfId="350" priority="150">
      <formula>I133="Not Met"</formula>
    </cfRule>
    <cfRule type="expression" dxfId="349" priority="149">
      <formula>I133="Met"</formula>
    </cfRule>
  </conditionalFormatting>
  <conditionalFormatting sqref="I135">
    <cfRule type="expression" dxfId="348" priority="148">
      <formula>I135="Not Met"</formula>
    </cfRule>
    <cfRule type="expression" dxfId="347" priority="147">
      <formula>I135="Met"</formula>
    </cfRule>
  </conditionalFormatting>
  <conditionalFormatting sqref="I137">
    <cfRule type="expression" dxfId="346" priority="146">
      <formula>I137="Not Met"</formula>
    </cfRule>
    <cfRule type="expression" dxfId="345" priority="145">
      <formula>I137="Met"</formula>
    </cfRule>
  </conditionalFormatting>
  <conditionalFormatting sqref="I139">
    <cfRule type="expression" dxfId="344" priority="141">
      <formula>I139="Met"</formula>
    </cfRule>
    <cfRule type="expression" dxfId="343" priority="142">
      <formula>I139="Not Met"</formula>
    </cfRule>
  </conditionalFormatting>
  <conditionalFormatting sqref="I141">
    <cfRule type="expression" dxfId="342" priority="139">
      <formula>I141="Met"</formula>
    </cfRule>
    <cfRule type="expression" dxfId="341" priority="140">
      <formula>I141="Not Met"</formula>
    </cfRule>
  </conditionalFormatting>
  <conditionalFormatting sqref="I143">
    <cfRule type="expression" dxfId="340" priority="137">
      <formula>I143="Met"</formula>
    </cfRule>
    <cfRule type="expression" dxfId="339" priority="138">
      <formula>I143="Not Met"</formula>
    </cfRule>
  </conditionalFormatting>
  <conditionalFormatting sqref="I145">
    <cfRule type="expression" dxfId="338" priority="135">
      <formula>I145="Met"</formula>
    </cfRule>
    <cfRule type="expression" dxfId="337" priority="136">
      <formula>I145="Not Met"</formula>
    </cfRule>
  </conditionalFormatting>
  <conditionalFormatting sqref="I15:M15">
    <cfRule type="expression" dxfId="336" priority="939">
      <formula>I12&lt;&gt;""</formula>
    </cfRule>
  </conditionalFormatting>
  <conditionalFormatting sqref="I23:M24">
    <cfRule type="expression" dxfId="335" priority="1200">
      <formula>I23="Not Met"</formula>
    </cfRule>
  </conditionalFormatting>
  <conditionalFormatting sqref="I27:M27">
    <cfRule type="expression" dxfId="334" priority="1182">
      <formula>I26="Not Met"</formula>
    </cfRule>
  </conditionalFormatting>
  <conditionalFormatting sqref="I31:M31 F33:M33">
    <cfRule type="expression" dxfId="333" priority="1171">
      <formula>F31&lt;&gt;""</formula>
    </cfRule>
    <cfRule type="expression" dxfId="332" priority="1172">
      <formula>F30="Not Met"</formula>
    </cfRule>
  </conditionalFormatting>
  <conditionalFormatting sqref="I39:M39">
    <cfRule type="expression" dxfId="331" priority="916">
      <formula>I12&lt;&gt;""</formula>
    </cfRule>
  </conditionalFormatting>
  <conditionalFormatting sqref="I45:M45">
    <cfRule type="expression" dxfId="330" priority="908">
      <formula>I12&lt;&gt;""</formula>
    </cfRule>
  </conditionalFormatting>
  <conditionalFormatting sqref="I47:M47">
    <cfRule type="expression" dxfId="329" priority="906">
      <formula>I12&lt;&gt;""</formula>
    </cfRule>
  </conditionalFormatting>
  <conditionalFormatting sqref="I49:M49">
    <cfRule type="expression" dxfId="328" priority="904">
      <formula>I12&lt;&gt;""</formula>
    </cfRule>
  </conditionalFormatting>
  <conditionalFormatting sqref="I51:M51">
    <cfRule type="expression" dxfId="327" priority="902">
      <formula>I12&lt;&gt;""</formula>
    </cfRule>
  </conditionalFormatting>
  <conditionalFormatting sqref="I70:M71">
    <cfRule type="expression" dxfId="326" priority="321">
      <formula>I70="Not Met"</formula>
    </cfRule>
  </conditionalFormatting>
  <conditionalFormatting sqref="I74:M74">
    <cfRule type="expression" dxfId="325" priority="319">
      <formula>I73="Not Met"</formula>
    </cfRule>
  </conditionalFormatting>
  <conditionalFormatting sqref="I78:M78 F80:M80">
    <cfRule type="expression" dxfId="324" priority="317">
      <formula>F77="Not Met"</formula>
    </cfRule>
    <cfRule type="expression" dxfId="323" priority="316">
      <formula>F78&lt;&gt;""</formula>
    </cfRule>
  </conditionalFormatting>
  <conditionalFormatting sqref="I86:M86">
    <cfRule type="expression" dxfId="322" priority="241">
      <formula>I59&lt;&gt;""</formula>
    </cfRule>
  </conditionalFormatting>
  <conditionalFormatting sqref="I88:M88">
    <cfRule type="expression" dxfId="321" priority="239">
      <formula>I59&lt;&gt;""</formula>
    </cfRule>
  </conditionalFormatting>
  <conditionalFormatting sqref="I92:M92">
    <cfRule type="expression" dxfId="320" priority="233">
      <formula>I59&lt;&gt;""</formula>
    </cfRule>
  </conditionalFormatting>
  <conditionalFormatting sqref="I94:M94">
    <cfRule type="expression" dxfId="319" priority="231">
      <formula>I59&lt;&gt;""</formula>
    </cfRule>
  </conditionalFormatting>
  <conditionalFormatting sqref="I96:M96">
    <cfRule type="expression" dxfId="318" priority="229">
      <formula>I59&lt;&gt;""</formula>
    </cfRule>
  </conditionalFormatting>
  <conditionalFormatting sqref="I98:M98">
    <cfRule type="expression" dxfId="317" priority="227">
      <formula>I59&lt;&gt;""</formula>
    </cfRule>
  </conditionalFormatting>
  <conditionalFormatting sqref="I117:M118">
    <cfRule type="expression" dxfId="316" priority="107">
      <formula>I117="Not Met"</formula>
    </cfRule>
  </conditionalFormatting>
  <conditionalFormatting sqref="I121:M121">
    <cfRule type="expression" dxfId="315" priority="105">
      <formula>I120="Not Met"</formula>
    </cfRule>
  </conditionalFormatting>
  <conditionalFormatting sqref="I125:M125 F127:M127">
    <cfRule type="expression" dxfId="314" priority="102">
      <formula>F125&lt;&gt;""</formula>
    </cfRule>
    <cfRule type="expression" dxfId="313" priority="103">
      <formula>F124="Not Met"</formula>
    </cfRule>
  </conditionalFormatting>
  <conditionalFormatting sqref="I139:M139">
    <cfRule type="expression" dxfId="312" priority="22">
      <formula>I106&lt;&gt;""</formula>
    </cfRule>
  </conditionalFormatting>
  <conditionalFormatting sqref="I141:M141">
    <cfRule type="expression" dxfId="311" priority="20">
      <formula>I106&lt;&gt;""</formula>
    </cfRule>
  </conditionalFormatting>
  <conditionalFormatting sqref="I143:M143">
    <cfRule type="expression" dxfId="310" priority="18">
      <formula>I106&lt;&gt;""</formula>
    </cfRule>
  </conditionalFormatting>
  <conditionalFormatting sqref="I145:M145">
    <cfRule type="expression" dxfId="309" priority="16">
      <formula>I106&lt;&gt;""</formula>
    </cfRule>
  </conditionalFormatting>
  <conditionalFormatting sqref="J18:K18">
    <cfRule type="expression" dxfId="308" priority="1065">
      <formula>$J$18&lt;&gt;""</formula>
    </cfRule>
  </conditionalFormatting>
  <conditionalFormatting sqref="J65:K65">
    <cfRule type="expression" dxfId="307" priority="290">
      <formula>$J59&lt;&gt;""</formula>
    </cfRule>
  </conditionalFormatting>
  <conditionalFormatting sqref="J112:K112">
    <cfRule type="expression" dxfId="306" priority="78">
      <formula>$J$112&lt;&gt;""</formula>
    </cfRule>
  </conditionalFormatting>
  <conditionalFormatting sqref="J12:M12">
    <cfRule type="expression" dxfId="305" priority="943">
      <formula>J12&lt;&gt;""</formula>
    </cfRule>
  </conditionalFormatting>
  <conditionalFormatting sqref="J18:M18">
    <cfRule type="expression" dxfId="304" priority="936">
      <formula>J12&lt;&gt;""</formula>
    </cfRule>
  </conditionalFormatting>
  <conditionalFormatting sqref="J21:M22 O21:P22">
    <cfRule type="expression" dxfId="303" priority="1107">
      <formula>J21="Not Met"</formula>
    </cfRule>
  </conditionalFormatting>
  <conditionalFormatting sqref="J23:M24 J26:M26">
    <cfRule type="expression" dxfId="302" priority="1201">
      <formula>J23="Met"</formula>
    </cfRule>
  </conditionalFormatting>
  <conditionalFormatting sqref="J26:M26">
    <cfRule type="expression" dxfId="301" priority="1198">
      <formula>J26="Not Met"</formula>
    </cfRule>
  </conditionalFormatting>
  <conditionalFormatting sqref="J28:M28">
    <cfRule type="expression" dxfId="300" priority="1227">
      <formula>J28="Not Met"</formula>
    </cfRule>
    <cfRule type="expression" dxfId="299" priority="1228">
      <formula>J28="Met"</formula>
    </cfRule>
  </conditionalFormatting>
  <conditionalFormatting sqref="J30:M30">
    <cfRule type="expression" dxfId="298" priority="1226">
      <formula>J30="Met"</formula>
    </cfRule>
    <cfRule type="expression" dxfId="297" priority="1225">
      <formula>J30="Not Met"</formula>
    </cfRule>
  </conditionalFormatting>
  <conditionalFormatting sqref="J32:M32">
    <cfRule type="expression" dxfId="296" priority="1224">
      <formula>J32="Met"</formula>
    </cfRule>
    <cfRule type="expression" dxfId="295" priority="1223">
      <formula>J32="Not Met"</formula>
    </cfRule>
  </conditionalFormatting>
  <conditionalFormatting sqref="J34:M34">
    <cfRule type="expression" dxfId="294" priority="1222">
      <formula>J34="Met"</formula>
    </cfRule>
    <cfRule type="expression" dxfId="293" priority="1221">
      <formula>J34="Not Met"</formula>
    </cfRule>
  </conditionalFormatting>
  <conditionalFormatting sqref="J36:M36">
    <cfRule type="expression" dxfId="292" priority="3738">
      <formula>J$446&lt;&gt;""</formula>
    </cfRule>
  </conditionalFormatting>
  <conditionalFormatting sqref="J37:M37">
    <cfRule type="expression" dxfId="291" priority="1219">
      <formula>J37="Not Met"</formula>
    </cfRule>
    <cfRule type="expression" dxfId="290" priority="1220">
      <formula>J37="Met"</formula>
    </cfRule>
  </conditionalFormatting>
  <conditionalFormatting sqref="J39:M39">
    <cfRule type="expression" dxfId="289" priority="1218">
      <formula>J39="Met"</formula>
    </cfRule>
    <cfRule type="expression" dxfId="288" priority="1217">
      <formula>J39="Not Met"</formula>
    </cfRule>
  </conditionalFormatting>
  <conditionalFormatting sqref="J41:M41">
    <cfRule type="expression" dxfId="287" priority="1216">
      <formula>J41="Met"</formula>
    </cfRule>
    <cfRule type="expression" dxfId="286" priority="1215">
      <formula>J41="Not Met"</formula>
    </cfRule>
  </conditionalFormatting>
  <conditionalFormatting sqref="J43:M43">
    <cfRule type="expression" dxfId="285" priority="1213">
      <formula>J43="Not Met"</formula>
    </cfRule>
    <cfRule type="expression" dxfId="284" priority="1214">
      <formula>J43="Met"</formula>
    </cfRule>
  </conditionalFormatting>
  <conditionalFormatting sqref="J45:M45">
    <cfRule type="expression" dxfId="283" priority="1210">
      <formula>J45="Met"</formula>
    </cfRule>
    <cfRule type="expression" dxfId="282" priority="1209">
      <formula>J45="Not Met"</formula>
    </cfRule>
  </conditionalFormatting>
  <conditionalFormatting sqref="J47:M47">
    <cfRule type="expression" dxfId="281" priority="1208">
      <formula>J47="Met"</formula>
    </cfRule>
    <cfRule type="expression" dxfId="280" priority="1207">
      <formula>J47="Not Met"</formula>
    </cfRule>
  </conditionalFormatting>
  <conditionalFormatting sqref="J49:M49">
    <cfRule type="expression" dxfId="279" priority="1206">
      <formula>J49="Met"</formula>
    </cfRule>
    <cfRule type="expression" dxfId="278" priority="1205">
      <formula>J49="Not Met"</formula>
    </cfRule>
  </conditionalFormatting>
  <conditionalFormatting sqref="J51:M51">
    <cfRule type="expression" dxfId="277" priority="1203">
      <formula>J51="Not Met"</formula>
    </cfRule>
    <cfRule type="expression" dxfId="276" priority="1204">
      <formula>J51="Met"</formula>
    </cfRule>
  </conditionalFormatting>
  <conditionalFormatting sqref="J59:M59">
    <cfRule type="expression" dxfId="275" priority="267">
      <formula>J59&lt;&gt;""</formula>
    </cfRule>
  </conditionalFormatting>
  <conditionalFormatting sqref="J68:M69 F68:H71">
    <cfRule type="expression" dxfId="274" priority="312">
      <formula>F68="Met"</formula>
    </cfRule>
  </conditionalFormatting>
  <conditionalFormatting sqref="J68:M69">
    <cfRule type="expression" dxfId="273" priority="309">
      <formula>J68="Not Met"</formula>
    </cfRule>
  </conditionalFormatting>
  <conditionalFormatting sqref="J70:M71 J73:M73">
    <cfRule type="expression" dxfId="272" priority="322">
      <formula>J70="Met"</formula>
    </cfRule>
  </conditionalFormatting>
  <conditionalFormatting sqref="J73:M73">
    <cfRule type="expression" dxfId="271" priority="320">
      <formula>J73="Not Met"</formula>
    </cfRule>
  </conditionalFormatting>
  <conditionalFormatting sqref="J75:M75">
    <cfRule type="expression" dxfId="270" priority="348">
      <formula>J75="Met"</formula>
    </cfRule>
    <cfRule type="expression" dxfId="269" priority="347">
      <formula>J75="Not Met"</formula>
    </cfRule>
  </conditionalFormatting>
  <conditionalFormatting sqref="J77:M77">
    <cfRule type="expression" dxfId="268" priority="346">
      <formula>J77="Met"</formula>
    </cfRule>
    <cfRule type="expression" dxfId="267" priority="345">
      <formula>J77="Not Met"</formula>
    </cfRule>
  </conditionalFormatting>
  <conditionalFormatting sqref="J79:M79">
    <cfRule type="expression" dxfId="266" priority="343">
      <formula>J79="Not Met"</formula>
    </cfRule>
    <cfRule type="expression" dxfId="265" priority="344">
      <formula>J79="Met"</formula>
    </cfRule>
  </conditionalFormatting>
  <conditionalFormatting sqref="J81:M81">
    <cfRule type="expression" dxfId="264" priority="341">
      <formula>J81="Not Met"</formula>
    </cfRule>
    <cfRule type="expression" dxfId="263" priority="342">
      <formula>J81="Met"</formula>
    </cfRule>
  </conditionalFormatting>
  <conditionalFormatting sqref="J83:M83">
    <cfRule type="expression" dxfId="262" priority="436">
      <formula>J$446&lt;&gt;""</formula>
    </cfRule>
  </conditionalFormatting>
  <conditionalFormatting sqref="J84:M84">
    <cfRule type="expression" dxfId="261" priority="339">
      <formula>J84="Not Met"</formula>
    </cfRule>
    <cfRule type="expression" dxfId="260" priority="340">
      <formula>J84="Met"</formula>
    </cfRule>
  </conditionalFormatting>
  <conditionalFormatting sqref="J86:M86">
    <cfRule type="expression" dxfId="259" priority="337">
      <formula>J86="Not Met"</formula>
    </cfRule>
    <cfRule type="expression" dxfId="258" priority="338">
      <formula>J86="Met"</formula>
    </cfRule>
  </conditionalFormatting>
  <conditionalFormatting sqref="J88:M88">
    <cfRule type="expression" dxfId="257" priority="335">
      <formula>J88="Not Met"</formula>
    </cfRule>
    <cfRule type="expression" dxfId="256" priority="336">
      <formula>J88="Met"</formula>
    </cfRule>
  </conditionalFormatting>
  <conditionalFormatting sqref="J90:M90">
    <cfRule type="expression" dxfId="255" priority="333">
      <formula>J90="Not Met"</formula>
    </cfRule>
    <cfRule type="expression" dxfId="254" priority="334">
      <formula>J90="Met"</formula>
    </cfRule>
  </conditionalFormatting>
  <conditionalFormatting sqref="J92:M92">
    <cfRule type="expression" dxfId="253" priority="330">
      <formula>J92="Met"</formula>
    </cfRule>
    <cfRule type="expression" dxfId="252" priority="329">
      <formula>J92="Not Met"</formula>
    </cfRule>
  </conditionalFormatting>
  <conditionalFormatting sqref="J94:M94">
    <cfRule type="expression" dxfId="251" priority="327">
      <formula>J94="Not Met"</formula>
    </cfRule>
    <cfRule type="expression" dxfId="250" priority="328">
      <formula>J94="Met"</formula>
    </cfRule>
  </conditionalFormatting>
  <conditionalFormatting sqref="J96:M96">
    <cfRule type="expression" dxfId="249" priority="325">
      <formula>J96="Not Met"</formula>
    </cfRule>
    <cfRule type="expression" dxfId="248" priority="326">
      <formula>J96="Met"</formula>
    </cfRule>
  </conditionalFormatting>
  <conditionalFormatting sqref="J98:M98">
    <cfRule type="expression" dxfId="247" priority="323">
      <formula>J98="Not Met"</formula>
    </cfRule>
    <cfRule type="expression" dxfId="246" priority="324">
      <formula>J98="Met"</formula>
    </cfRule>
  </conditionalFormatting>
  <conditionalFormatting sqref="J106:M106">
    <cfRule type="expression" dxfId="245" priority="55">
      <formula>J106&lt;&gt;""</formula>
    </cfRule>
  </conditionalFormatting>
  <conditionalFormatting sqref="J115:M116 F115:H118">
    <cfRule type="expression" dxfId="244" priority="98">
      <formula>F115="Met"</formula>
    </cfRule>
  </conditionalFormatting>
  <conditionalFormatting sqref="J115:M116">
    <cfRule type="expression" dxfId="243" priority="95">
      <formula>J115="Not Met"</formula>
    </cfRule>
  </conditionalFormatting>
  <conditionalFormatting sqref="J117:M118 J120:M120">
    <cfRule type="expression" dxfId="242" priority="108">
      <formula>J117="Met"</formula>
    </cfRule>
  </conditionalFormatting>
  <conditionalFormatting sqref="J120:M120">
    <cfRule type="expression" dxfId="241" priority="106">
      <formula>J120="Not Met"</formula>
    </cfRule>
  </conditionalFormatting>
  <conditionalFormatting sqref="J122:M122">
    <cfRule type="expression" dxfId="240" priority="133">
      <formula>J122="Not Met"</formula>
    </cfRule>
    <cfRule type="expression" dxfId="239" priority="134">
      <formula>J122="Met"</formula>
    </cfRule>
  </conditionalFormatting>
  <conditionalFormatting sqref="J124:M124">
    <cfRule type="expression" dxfId="238" priority="131">
      <formula>J124="Not Met"</formula>
    </cfRule>
    <cfRule type="expression" dxfId="237" priority="132">
      <formula>J124="Met"</formula>
    </cfRule>
  </conditionalFormatting>
  <conditionalFormatting sqref="J126:M126">
    <cfRule type="expression" dxfId="236" priority="129">
      <formula>J126="Not Met"</formula>
    </cfRule>
    <cfRule type="expression" dxfId="235" priority="130">
      <formula>J126="Met"</formula>
    </cfRule>
  </conditionalFormatting>
  <conditionalFormatting sqref="J128:M128">
    <cfRule type="expression" dxfId="234" priority="127">
      <formula>J128="Not Met"</formula>
    </cfRule>
    <cfRule type="expression" dxfId="233" priority="128">
      <formula>J128="Met"</formula>
    </cfRule>
  </conditionalFormatting>
  <conditionalFormatting sqref="J130:M130">
    <cfRule type="expression" dxfId="232" priority="220">
      <formula>J$446&lt;&gt;""</formula>
    </cfRule>
  </conditionalFormatting>
  <conditionalFormatting sqref="J131:M131">
    <cfRule type="expression" dxfId="231" priority="125">
      <formula>J131="Not Met"</formula>
    </cfRule>
    <cfRule type="expression" dxfId="230" priority="126">
      <formula>J131="Met"</formula>
    </cfRule>
  </conditionalFormatting>
  <conditionalFormatting sqref="J133:M133">
    <cfRule type="expression" dxfId="229" priority="123">
      <formula>J133="Not Met"</formula>
    </cfRule>
    <cfRule type="expression" dxfId="228" priority="124">
      <formula>J133="Met"</formula>
    </cfRule>
  </conditionalFormatting>
  <conditionalFormatting sqref="J135:M135">
    <cfRule type="expression" dxfId="227" priority="122">
      <formula>J135="Met"</formula>
    </cfRule>
    <cfRule type="expression" dxfId="226" priority="121">
      <formula>J135="Not Met"</formula>
    </cfRule>
  </conditionalFormatting>
  <conditionalFormatting sqref="J137:M137">
    <cfRule type="expression" dxfId="225" priority="119">
      <formula>J137="Not Met"</formula>
    </cfRule>
    <cfRule type="expression" dxfId="224" priority="120">
      <formula>J137="Met"</formula>
    </cfRule>
  </conditionalFormatting>
  <conditionalFormatting sqref="J139:M139">
    <cfRule type="expression" dxfId="223" priority="116">
      <formula>J139="Met"</formula>
    </cfRule>
    <cfRule type="expression" dxfId="222" priority="115">
      <formula>J139="Not Met"</formula>
    </cfRule>
  </conditionalFormatting>
  <conditionalFormatting sqref="J141:M141">
    <cfRule type="expression" dxfId="221" priority="113">
      <formula>J141="Not Met"</formula>
    </cfRule>
    <cfRule type="expression" dxfId="220" priority="114">
      <formula>J141="Met"</formula>
    </cfRule>
  </conditionalFormatting>
  <conditionalFormatting sqref="J142:M142">
    <cfRule type="expression" dxfId="219" priority="19">
      <formula>$L$142="Not Met"</formula>
    </cfRule>
  </conditionalFormatting>
  <conditionalFormatting sqref="J143:M143">
    <cfRule type="expression" dxfId="218" priority="112">
      <formula>J143="Met"</formula>
    </cfRule>
    <cfRule type="expression" dxfId="217" priority="111">
      <formula>J143="Not Met"</formula>
    </cfRule>
  </conditionalFormatting>
  <conditionalFormatting sqref="J144:M144">
    <cfRule type="expression" dxfId="216" priority="17">
      <formula>$L$143="Not Met"</formula>
    </cfRule>
  </conditionalFormatting>
  <conditionalFormatting sqref="J145:M145">
    <cfRule type="expression" dxfId="215" priority="110">
      <formula>J145="Met"</formula>
    </cfRule>
    <cfRule type="expression" dxfId="214" priority="109">
      <formula>J145="Not Met"</formula>
    </cfRule>
  </conditionalFormatting>
  <conditionalFormatting sqref="J146:M146">
    <cfRule type="expression" dxfId="213" priority="15">
      <formula>$L$145="Not Met"</formula>
    </cfRule>
  </conditionalFormatting>
  <conditionalFormatting sqref="L18:M18">
    <cfRule type="expression" dxfId="212" priority="1064">
      <formula>$L$18&lt;&gt;""</formula>
    </cfRule>
  </conditionalFormatting>
  <conditionalFormatting sqref="L65:M65">
    <cfRule type="expression" dxfId="211" priority="289">
      <formula>$L$59&lt;&gt;""</formula>
    </cfRule>
  </conditionalFormatting>
  <conditionalFormatting sqref="L112:M112">
    <cfRule type="expression" dxfId="210" priority="77">
      <formula>$L$112&lt;&gt;""</formula>
    </cfRule>
  </conditionalFormatting>
  <conditionalFormatting sqref="N13:N17">
    <cfRule type="expression" dxfId="209" priority="899">
      <formula>$N$13&lt;&gt;""</formula>
    </cfRule>
  </conditionalFormatting>
  <conditionalFormatting sqref="N14:N17">
    <cfRule type="expression" dxfId="208" priority="900">
      <formula>O13&lt;&gt;""</formula>
    </cfRule>
  </conditionalFormatting>
  <conditionalFormatting sqref="N19">
    <cfRule type="expression" dxfId="207" priority="897">
      <formula>O12&lt;&gt;""</formula>
    </cfRule>
  </conditionalFormatting>
  <conditionalFormatting sqref="N20">
    <cfRule type="expression" dxfId="206" priority="896">
      <formula>O12&lt;&gt;""</formula>
    </cfRule>
  </conditionalFormatting>
  <conditionalFormatting sqref="N21">
    <cfRule type="expression" dxfId="205" priority="895">
      <formula>O12&lt;&gt;""</formula>
    </cfRule>
  </conditionalFormatting>
  <conditionalFormatting sqref="N22">
    <cfRule type="expression" dxfId="204" priority="894">
      <formula>O12&lt;&gt;""</formula>
    </cfRule>
  </conditionalFormatting>
  <conditionalFormatting sqref="N23">
    <cfRule type="expression" dxfId="203" priority="893">
      <formula>O12&lt;&gt;""</formula>
    </cfRule>
  </conditionalFormatting>
  <conditionalFormatting sqref="N24">
    <cfRule type="expression" dxfId="202" priority="892">
      <formula>O12&lt;&gt;""</formula>
    </cfRule>
  </conditionalFormatting>
  <conditionalFormatting sqref="N25">
    <cfRule type="expression" dxfId="201" priority="891">
      <formula>$N$25&lt;&gt;""</formula>
    </cfRule>
  </conditionalFormatting>
  <conditionalFormatting sqref="N26">
    <cfRule type="expression" dxfId="200" priority="890">
      <formula>O12&lt;&gt;""</formula>
    </cfRule>
  </conditionalFormatting>
  <conditionalFormatting sqref="N27">
    <cfRule type="expression" dxfId="199" priority="888">
      <formula>N27&lt;&gt;""</formula>
    </cfRule>
  </conditionalFormatting>
  <conditionalFormatting sqref="N28">
    <cfRule type="expression" dxfId="198" priority="889">
      <formula>O12&lt;&gt;""</formula>
    </cfRule>
  </conditionalFormatting>
  <conditionalFormatting sqref="N29">
    <cfRule type="expression" dxfId="197" priority="887">
      <formula>N29&lt;&gt;""</formula>
    </cfRule>
  </conditionalFormatting>
  <conditionalFormatting sqref="N30">
    <cfRule type="expression" dxfId="196" priority="886">
      <formula>O12&lt;&gt;""</formula>
    </cfRule>
  </conditionalFormatting>
  <conditionalFormatting sqref="N31">
    <cfRule type="expression" dxfId="195" priority="885">
      <formula>N31&lt;&gt;""</formula>
    </cfRule>
  </conditionalFormatting>
  <conditionalFormatting sqref="N32">
    <cfRule type="expression" dxfId="194" priority="884">
      <formula>O12&lt;&gt;""</formula>
    </cfRule>
  </conditionalFormatting>
  <conditionalFormatting sqref="N33">
    <cfRule type="expression" dxfId="193" priority="883">
      <formula>N33&lt;&gt;""</formula>
    </cfRule>
  </conditionalFormatting>
  <conditionalFormatting sqref="N34">
    <cfRule type="expression" dxfId="192" priority="882">
      <formula>O12&lt;&gt;""</formula>
    </cfRule>
  </conditionalFormatting>
  <conditionalFormatting sqref="N35">
    <cfRule type="expression" dxfId="191" priority="881">
      <formula>N35&lt;&gt;""</formula>
    </cfRule>
  </conditionalFormatting>
  <conditionalFormatting sqref="N37">
    <cfRule type="expression" dxfId="190" priority="880">
      <formula>O12&lt;&gt;""</formula>
    </cfRule>
  </conditionalFormatting>
  <conditionalFormatting sqref="N38">
    <cfRule type="expression" dxfId="189" priority="879">
      <formula>N38&lt;&gt;""</formula>
    </cfRule>
  </conditionalFormatting>
  <conditionalFormatting sqref="N39">
    <cfRule type="expression" dxfId="188" priority="878">
      <formula>O12&lt;&gt;""</formula>
    </cfRule>
  </conditionalFormatting>
  <conditionalFormatting sqref="N40">
    <cfRule type="expression" dxfId="187" priority="877">
      <formula>N40&lt;&gt;""</formula>
    </cfRule>
  </conditionalFormatting>
  <conditionalFormatting sqref="N41">
    <cfRule type="expression" dxfId="186" priority="876">
      <formula>O12&lt;&gt;""</formula>
    </cfRule>
  </conditionalFormatting>
  <conditionalFormatting sqref="N42">
    <cfRule type="expression" dxfId="185" priority="875">
      <formula>N42&lt;&gt;""</formula>
    </cfRule>
  </conditionalFormatting>
  <conditionalFormatting sqref="N43">
    <cfRule type="expression" dxfId="184" priority="874">
      <formula>O12&lt;&gt;""</formula>
    </cfRule>
  </conditionalFormatting>
  <conditionalFormatting sqref="N44">
    <cfRule type="expression" dxfId="183" priority="873">
      <formula>N44&lt;&gt;""</formula>
    </cfRule>
  </conditionalFormatting>
  <conditionalFormatting sqref="N45">
    <cfRule type="expression" dxfId="182" priority="870">
      <formula>O12&lt;&gt;""</formula>
    </cfRule>
  </conditionalFormatting>
  <conditionalFormatting sqref="N46">
    <cfRule type="expression" dxfId="181" priority="821">
      <formula>N46&lt;&gt;""</formula>
    </cfRule>
  </conditionalFormatting>
  <conditionalFormatting sqref="N47">
    <cfRule type="expression" dxfId="180" priority="869">
      <formula>O12&lt;&gt;""</formula>
    </cfRule>
  </conditionalFormatting>
  <conditionalFormatting sqref="N48">
    <cfRule type="expression" dxfId="179" priority="868">
      <formula>N48&lt;&gt;""</formula>
    </cfRule>
  </conditionalFormatting>
  <conditionalFormatting sqref="N49">
    <cfRule type="expression" dxfId="178" priority="867">
      <formula>O12&lt;&gt;""</formula>
    </cfRule>
  </conditionalFormatting>
  <conditionalFormatting sqref="N50">
    <cfRule type="expression" dxfId="177" priority="866">
      <formula>N50&lt;&gt;""</formula>
    </cfRule>
  </conditionalFormatting>
  <conditionalFormatting sqref="N51">
    <cfRule type="expression" dxfId="176" priority="865">
      <formula>O12&lt;&gt;""</formula>
    </cfRule>
  </conditionalFormatting>
  <conditionalFormatting sqref="N52">
    <cfRule type="expression" dxfId="175" priority="864">
      <formula>N52&lt;&gt;""</formula>
    </cfRule>
  </conditionalFormatting>
  <conditionalFormatting sqref="O11">
    <cfRule type="expression" dxfId="174" priority="1067">
      <formula>$O$12&lt;&gt;""</formula>
    </cfRule>
  </conditionalFormatting>
  <conditionalFormatting sqref="O25">
    <cfRule type="expression" dxfId="173" priority="850">
      <formula>O25&lt;&gt;""</formula>
    </cfRule>
  </conditionalFormatting>
  <conditionalFormatting sqref="O27">
    <cfRule type="expression" dxfId="172" priority="848">
      <formula>O27&lt;&gt;""</formula>
    </cfRule>
  </conditionalFormatting>
  <conditionalFormatting sqref="O29">
    <cfRule type="expression" dxfId="171" priority="846">
      <formula>O29&lt;&gt;""</formula>
    </cfRule>
  </conditionalFormatting>
  <conditionalFormatting sqref="O31">
    <cfRule type="expression" dxfId="170" priority="844">
      <formula>O31&lt;&gt;""</formula>
    </cfRule>
  </conditionalFormatting>
  <conditionalFormatting sqref="O33">
    <cfRule type="expression" dxfId="169" priority="842">
      <formula>O33&lt;&gt;""</formula>
    </cfRule>
  </conditionalFormatting>
  <conditionalFormatting sqref="O35">
    <cfRule type="expression" dxfId="168" priority="840">
      <formula>O35&lt;&gt;""</formula>
    </cfRule>
  </conditionalFormatting>
  <conditionalFormatting sqref="O38">
    <cfRule type="expression" dxfId="167" priority="838">
      <formula>O38&lt;&gt;""</formula>
    </cfRule>
  </conditionalFormatting>
  <conditionalFormatting sqref="O40">
    <cfRule type="expression" dxfId="166" priority="836">
      <formula>O40&lt;&gt;""</formula>
    </cfRule>
  </conditionalFormatting>
  <conditionalFormatting sqref="O42">
    <cfRule type="expression" dxfId="165" priority="834">
      <formula>O42&lt;&gt;""</formula>
    </cfRule>
  </conditionalFormatting>
  <conditionalFormatting sqref="O44">
    <cfRule type="expression" dxfId="164" priority="832">
      <formula>O44&lt;&gt;""</formula>
    </cfRule>
  </conditionalFormatting>
  <conditionalFormatting sqref="O46">
    <cfRule type="expression" dxfId="163" priority="828">
      <formula>O46&lt;&gt;""</formula>
    </cfRule>
  </conditionalFormatting>
  <conditionalFormatting sqref="O48">
    <cfRule type="expression" dxfId="162" priority="826">
      <formula>O48&lt;&gt;""</formula>
    </cfRule>
  </conditionalFormatting>
  <conditionalFormatting sqref="O50">
    <cfRule type="expression" dxfId="161" priority="824">
      <formula>O50&lt;&gt;""</formula>
    </cfRule>
  </conditionalFormatting>
  <conditionalFormatting sqref="O52">
    <cfRule type="expression" dxfId="160" priority="822">
      <formula>O52&lt;&gt;""</formula>
    </cfRule>
  </conditionalFormatting>
  <conditionalFormatting sqref="O55:Q55">
    <cfRule type="expression" dxfId="159" priority="3">
      <formula>$O$55&lt;&gt;""</formula>
    </cfRule>
  </conditionalFormatting>
  <conditionalFormatting sqref="O13:R13">
    <cfRule type="expression" dxfId="158" priority="791">
      <formula>O12&lt;&gt;""</formula>
    </cfRule>
  </conditionalFormatting>
  <conditionalFormatting sqref="O14:R14">
    <cfRule type="expression" dxfId="157" priority="790">
      <formula>O12&lt;&gt;""</formula>
    </cfRule>
  </conditionalFormatting>
  <conditionalFormatting sqref="O15:R15">
    <cfRule type="expression" dxfId="156" priority="789">
      <formula>O12&lt;&gt;""</formula>
    </cfRule>
  </conditionalFormatting>
  <conditionalFormatting sqref="O16:R16">
    <cfRule type="expression" dxfId="155" priority="788">
      <formula>O12&lt;&gt;""</formula>
    </cfRule>
  </conditionalFormatting>
  <conditionalFormatting sqref="O17:R17">
    <cfRule type="expression" dxfId="154" priority="787">
      <formula>O12&lt;&gt;""</formula>
    </cfRule>
  </conditionalFormatting>
  <conditionalFormatting sqref="O19:R19">
    <cfRule type="expression" dxfId="153" priority="785">
      <formula>O12&lt;&gt;""</formula>
    </cfRule>
  </conditionalFormatting>
  <conditionalFormatting sqref="O20:R20">
    <cfRule type="expression" dxfId="152" priority="784">
      <formula>O12&lt;&gt;""</formula>
    </cfRule>
  </conditionalFormatting>
  <conditionalFormatting sqref="O21:R21">
    <cfRule type="expression" dxfId="151" priority="783">
      <formula>O12&lt;&gt;""</formula>
    </cfRule>
  </conditionalFormatting>
  <conditionalFormatting sqref="O22:R22">
    <cfRule type="expression" dxfId="150" priority="782">
      <formula>O12&lt;&gt;""</formula>
    </cfRule>
  </conditionalFormatting>
  <conditionalFormatting sqref="O23:R23">
    <cfRule type="expression" dxfId="149" priority="781">
      <formula>O12&lt;&gt;""</formula>
    </cfRule>
  </conditionalFormatting>
  <conditionalFormatting sqref="O24:R24">
    <cfRule type="expression" dxfId="148" priority="780">
      <formula>O12&lt;&gt;""</formula>
    </cfRule>
  </conditionalFormatting>
  <conditionalFormatting sqref="O26:R26 J21:M22 O21:R24 F21:H24 T21:W24 T26:W26 O28:R28 T28:W28 O30:R30 T30:W30 O32:R32 T32:W32 O34:R34 T34:W34 O37:R37 T37:W37 O39:R39 T39:W39 O41:R41 T41:W41 O43:R43 T43:W43 O45:R45 T45:W45 O47:R47 T47:W47 O49:R49 T49:W49 O51:R51 T51:W51">
    <cfRule type="expression" dxfId="147" priority="1112">
      <formula>F21="Met"</formula>
    </cfRule>
  </conditionalFormatting>
  <conditionalFormatting sqref="O26:R26">
    <cfRule type="expression" dxfId="146" priority="779">
      <formula>O12&lt;&gt;""</formula>
    </cfRule>
  </conditionalFormatting>
  <conditionalFormatting sqref="O28:R28">
    <cfRule type="expression" dxfId="145" priority="778">
      <formula>O12&lt;&gt;""</formula>
    </cfRule>
  </conditionalFormatting>
  <conditionalFormatting sqref="O30:R30">
    <cfRule type="expression" dxfId="144" priority="777">
      <formula>O12&lt;&gt;""</formula>
    </cfRule>
  </conditionalFormatting>
  <conditionalFormatting sqref="O32:R32">
    <cfRule type="expression" dxfId="143" priority="776">
      <formula>O12&lt;&gt;""</formula>
    </cfRule>
  </conditionalFormatting>
  <conditionalFormatting sqref="O34:R34">
    <cfRule type="expression" dxfId="142" priority="775">
      <formula>O12&lt;&gt;""</formula>
    </cfRule>
  </conditionalFormatting>
  <conditionalFormatting sqref="O36:R36 T36:W36">
    <cfRule type="expression" dxfId="141" priority="1103">
      <formula>O$402&lt;&gt;""</formula>
    </cfRule>
  </conditionalFormatting>
  <conditionalFormatting sqref="O37:R37">
    <cfRule type="expression" dxfId="140" priority="774">
      <formula>O12&lt;&gt;""</formula>
    </cfRule>
  </conditionalFormatting>
  <conditionalFormatting sqref="O39:R39">
    <cfRule type="expression" dxfId="139" priority="773">
      <formula>O12&lt;&gt;""</formula>
    </cfRule>
  </conditionalFormatting>
  <conditionalFormatting sqref="O41:R41">
    <cfRule type="expression" dxfId="138" priority="772">
      <formula>O12&lt;&gt;""</formula>
    </cfRule>
  </conditionalFormatting>
  <conditionalFormatting sqref="O43:R43">
    <cfRule type="expression" dxfId="137" priority="771">
      <formula>O12&lt;&gt;""</formula>
    </cfRule>
  </conditionalFormatting>
  <conditionalFormatting sqref="O45:R45">
    <cfRule type="expression" dxfId="136" priority="769">
      <formula>O12&lt;&gt;""</formula>
    </cfRule>
  </conditionalFormatting>
  <conditionalFormatting sqref="O47:R47">
    <cfRule type="expression" dxfId="135" priority="768">
      <formula>O12&lt;&gt;""</formula>
    </cfRule>
  </conditionalFormatting>
  <conditionalFormatting sqref="O49:R49">
    <cfRule type="expression" dxfId="134" priority="767">
      <formula>O12&lt;&gt;""</formula>
    </cfRule>
  </conditionalFormatting>
  <conditionalFormatting sqref="O51:R51">
    <cfRule type="expression" dxfId="133" priority="766">
      <formula>O12&lt;&gt;""</formula>
    </cfRule>
  </conditionalFormatting>
  <conditionalFormatting sqref="O12:W12">
    <cfRule type="expression" dxfId="132" priority="619">
      <formula>O12&lt;&gt;""</formula>
    </cfRule>
  </conditionalFormatting>
  <conditionalFormatting sqref="O18:W18">
    <cfRule type="expression" dxfId="131" priority="613">
      <formula>O18&lt;&gt;""</formula>
    </cfRule>
  </conditionalFormatting>
  <conditionalFormatting sqref="Q21:R22 F21:H24 T21:W24 O23:R24 Q26:R26 T26:W26 O28:R28 T28:W28 O30:R30 T30:W30 O32:R32 T32:W32 O34:R34 T34:W34 O37:R37 T37:W37 O39:R39 T39:W39 O41:R41 T41:W41 O43:R43 T43:W43 O45:R45 T45:W45 O47:R47 T47:W47 O49:R49 T49:W49 O51:R51 T51:W51">
    <cfRule type="expression" dxfId="130" priority="1113">
      <formula>F21="Not Met"</formula>
    </cfRule>
  </conditionalFormatting>
  <conditionalFormatting sqref="S13:S17">
    <cfRule type="expression" dxfId="129" priority="438">
      <formula>S13&lt;&gt;""</formula>
    </cfRule>
  </conditionalFormatting>
  <conditionalFormatting sqref="S19">
    <cfRule type="expression" dxfId="128" priority="681">
      <formula>T12&lt;&gt;""</formula>
    </cfRule>
  </conditionalFormatting>
  <conditionalFormatting sqref="S20">
    <cfRule type="expression" dxfId="127" priority="680">
      <formula>T12&lt;&gt;""</formula>
    </cfRule>
  </conditionalFormatting>
  <conditionalFormatting sqref="S21">
    <cfRule type="expression" dxfId="126" priority="679">
      <formula>T12&lt;&gt;""</formula>
    </cfRule>
  </conditionalFormatting>
  <conditionalFormatting sqref="S22">
    <cfRule type="expression" dxfId="125" priority="678">
      <formula>T12&lt;&gt;""</formula>
    </cfRule>
  </conditionalFormatting>
  <conditionalFormatting sqref="S23">
    <cfRule type="expression" dxfId="124" priority="677">
      <formula>T12&lt;&gt;""</formula>
    </cfRule>
  </conditionalFormatting>
  <conditionalFormatting sqref="S24">
    <cfRule type="expression" dxfId="123" priority="676">
      <formula>T12&lt;&gt;""</formula>
    </cfRule>
  </conditionalFormatting>
  <conditionalFormatting sqref="S25">
    <cfRule type="expression" dxfId="122" priority="675">
      <formula>S25&lt;&gt;""</formula>
    </cfRule>
  </conditionalFormatting>
  <conditionalFormatting sqref="S26">
    <cfRule type="expression" dxfId="121" priority="674">
      <formula>T12&lt;&gt;""</formula>
    </cfRule>
  </conditionalFormatting>
  <conditionalFormatting sqref="S27">
    <cfRule type="expression" dxfId="120" priority="672">
      <formula>S27&lt;&gt;""</formula>
    </cfRule>
  </conditionalFormatting>
  <conditionalFormatting sqref="S28">
    <cfRule type="expression" dxfId="119" priority="673">
      <formula>T12&lt;&gt;""</formula>
    </cfRule>
  </conditionalFormatting>
  <conditionalFormatting sqref="S29">
    <cfRule type="expression" dxfId="118" priority="671">
      <formula>S29&lt;&gt;""</formula>
    </cfRule>
  </conditionalFormatting>
  <conditionalFormatting sqref="S30">
    <cfRule type="expression" dxfId="117" priority="670">
      <formula>T12&lt;&gt;""</formula>
    </cfRule>
  </conditionalFormatting>
  <conditionalFormatting sqref="S31">
    <cfRule type="expression" dxfId="116" priority="669">
      <formula>S31&lt;&gt;""</formula>
    </cfRule>
  </conditionalFormatting>
  <conditionalFormatting sqref="S32">
    <cfRule type="expression" dxfId="115" priority="668">
      <formula>T12&lt;&gt;""</formula>
    </cfRule>
  </conditionalFormatting>
  <conditionalFormatting sqref="S33">
    <cfRule type="expression" dxfId="114" priority="667">
      <formula>S33&lt;&gt;""</formula>
    </cfRule>
  </conditionalFormatting>
  <conditionalFormatting sqref="S34">
    <cfRule type="expression" dxfId="113" priority="666">
      <formula>T12&lt;&gt;""</formula>
    </cfRule>
  </conditionalFormatting>
  <conditionalFormatting sqref="S35">
    <cfRule type="expression" dxfId="112" priority="665">
      <formula>S35&lt;&gt;""</formula>
    </cfRule>
  </conditionalFormatting>
  <conditionalFormatting sqref="S37">
    <cfRule type="expression" dxfId="111" priority="664">
      <formula>T12&lt;&gt;""</formula>
    </cfRule>
  </conditionalFormatting>
  <conditionalFormatting sqref="S38">
    <cfRule type="expression" dxfId="110" priority="663">
      <formula>S38&lt;&gt;""</formula>
    </cfRule>
  </conditionalFormatting>
  <conditionalFormatting sqref="S39">
    <cfRule type="expression" dxfId="109" priority="662">
      <formula>T12&lt;&gt;""</formula>
    </cfRule>
  </conditionalFormatting>
  <conditionalFormatting sqref="S40">
    <cfRule type="expression" dxfId="108" priority="661">
      <formula>S40&lt;&gt;""</formula>
    </cfRule>
  </conditionalFormatting>
  <conditionalFormatting sqref="S41">
    <cfRule type="expression" dxfId="107" priority="660">
      <formula>T12&lt;&gt;""</formula>
    </cfRule>
  </conditionalFormatting>
  <conditionalFormatting sqref="S42">
    <cfRule type="expression" dxfId="106" priority="659">
      <formula>S42&lt;&gt;""</formula>
    </cfRule>
  </conditionalFormatting>
  <conditionalFormatting sqref="S43">
    <cfRule type="expression" dxfId="105" priority="658">
      <formula>T12&lt;&gt;""</formula>
    </cfRule>
  </conditionalFormatting>
  <conditionalFormatting sqref="S44">
    <cfRule type="expression" dxfId="104" priority="657">
      <formula>S44&lt;&gt;""</formula>
    </cfRule>
  </conditionalFormatting>
  <conditionalFormatting sqref="S45">
    <cfRule type="expression" dxfId="103" priority="654">
      <formula>T12&lt;&gt;""</formula>
    </cfRule>
  </conditionalFormatting>
  <conditionalFormatting sqref="S46">
    <cfRule type="expression" dxfId="102" priority="647">
      <formula>S46&lt;&gt;""</formula>
    </cfRule>
  </conditionalFormatting>
  <conditionalFormatting sqref="S47">
    <cfRule type="expression" dxfId="101" priority="653">
      <formula>T12&lt;&gt;""</formula>
    </cfRule>
  </conditionalFormatting>
  <conditionalFormatting sqref="S48">
    <cfRule type="expression" dxfId="100" priority="652">
      <formula>S48&lt;&gt;""</formula>
    </cfRule>
  </conditionalFormatting>
  <conditionalFormatting sqref="S49">
    <cfRule type="expression" dxfId="99" priority="651">
      <formula>T12&lt;&gt;""</formula>
    </cfRule>
  </conditionalFormatting>
  <conditionalFormatting sqref="S50">
    <cfRule type="expression" dxfId="98" priority="650">
      <formula>S50&lt;&gt;""</formula>
    </cfRule>
  </conditionalFormatting>
  <conditionalFormatting sqref="S51">
    <cfRule type="expression" dxfId="97" priority="649">
      <formula>T12&lt;&gt;""</formula>
    </cfRule>
  </conditionalFormatting>
  <conditionalFormatting sqref="S52">
    <cfRule type="expression" dxfId="96" priority="648">
      <formula>S52&lt;&gt;""</formula>
    </cfRule>
  </conditionalFormatting>
  <conditionalFormatting sqref="T55:V55">
    <cfRule type="expression" dxfId="95" priority="2">
      <formula>$T$55&lt;&gt;""</formula>
    </cfRule>
  </conditionalFormatting>
  <conditionalFormatting sqref="T11:W11">
    <cfRule type="expression" dxfId="94" priority="684">
      <formula>T12&lt;&gt;""</formula>
    </cfRule>
  </conditionalFormatting>
  <conditionalFormatting sqref="T13:W13">
    <cfRule type="expression" dxfId="93" priority="618">
      <formula>T12&lt;&gt;""</formula>
    </cfRule>
  </conditionalFormatting>
  <conditionalFormatting sqref="T14:W14">
    <cfRule type="expression" dxfId="92" priority="617">
      <formula>T12&lt;&gt;""</formula>
    </cfRule>
  </conditionalFormatting>
  <conditionalFormatting sqref="T15:W15">
    <cfRule type="expression" dxfId="91" priority="616">
      <formula>T12&lt;&gt;""</formula>
    </cfRule>
  </conditionalFormatting>
  <conditionalFormatting sqref="T16:W16">
    <cfRule type="expression" dxfId="90" priority="615">
      <formula>T12&lt;&gt;""</formula>
    </cfRule>
  </conditionalFormatting>
  <conditionalFormatting sqref="T17:W17">
    <cfRule type="expression" dxfId="89" priority="614">
      <formula>T12&lt;&gt;""</formula>
    </cfRule>
  </conditionalFormatting>
  <conditionalFormatting sqref="T19:W19">
    <cfRule type="expression" dxfId="88" priority="612">
      <formula>T12&lt;&gt;""</formula>
    </cfRule>
  </conditionalFormatting>
  <conditionalFormatting sqref="T20:W20">
    <cfRule type="expression" dxfId="87" priority="611">
      <formula>T12&lt;&gt;""</formula>
    </cfRule>
  </conditionalFormatting>
  <conditionalFormatting sqref="T21:W21">
    <cfRule type="expression" dxfId="86" priority="610">
      <formula>T12&lt;&gt;""</formula>
    </cfRule>
  </conditionalFormatting>
  <conditionalFormatting sqref="T22:W22">
    <cfRule type="expression" dxfId="85" priority="609">
      <formula>T12&lt;&gt;""</formula>
    </cfRule>
  </conditionalFormatting>
  <conditionalFormatting sqref="T23:W23">
    <cfRule type="expression" dxfId="84" priority="608">
      <formula>T12&lt;&gt;""</formula>
    </cfRule>
  </conditionalFormatting>
  <conditionalFormatting sqref="T24:W24">
    <cfRule type="expression" dxfId="83" priority="607">
      <formula>T12&lt;&gt;""</formula>
    </cfRule>
  </conditionalFormatting>
  <conditionalFormatting sqref="T26:W26">
    <cfRule type="expression" dxfId="82" priority="606">
      <formula>T12&lt;&gt;""</formula>
    </cfRule>
  </conditionalFormatting>
  <conditionalFormatting sqref="T28:W28">
    <cfRule type="expression" dxfId="81" priority="605">
      <formula>T12&lt;&gt;""</formula>
    </cfRule>
  </conditionalFormatting>
  <conditionalFormatting sqref="T30:W30">
    <cfRule type="expression" dxfId="80" priority="604">
      <formula>T12&lt;&gt;""</formula>
    </cfRule>
  </conditionalFormatting>
  <conditionalFormatting sqref="T32:W32">
    <cfRule type="expression" dxfId="79" priority="603">
      <formula>T12&lt;&gt;""</formula>
    </cfRule>
  </conditionalFormatting>
  <conditionalFormatting sqref="T34:W34">
    <cfRule type="expression" dxfId="78" priority="602">
      <formula>T12&lt;&gt;""</formula>
    </cfRule>
  </conditionalFormatting>
  <conditionalFormatting sqref="T37:W37">
    <cfRule type="expression" dxfId="77" priority="601">
      <formula>T12&lt;&gt;""</formula>
    </cfRule>
  </conditionalFormatting>
  <conditionalFormatting sqref="T39:W39">
    <cfRule type="expression" dxfId="76" priority="600">
      <formula>T12&lt;&gt;""</formula>
    </cfRule>
  </conditionalFormatting>
  <conditionalFormatting sqref="T41:W41">
    <cfRule type="expression" dxfId="75" priority="599">
      <formula>T12&lt;&gt;""</formula>
    </cfRule>
  </conditionalFormatting>
  <conditionalFormatting sqref="T43:W43">
    <cfRule type="expression" dxfId="74" priority="598">
      <formula>T12&lt;&gt;""</formula>
    </cfRule>
  </conditionalFormatting>
  <conditionalFormatting sqref="T45:W45">
    <cfRule type="expression" dxfId="73" priority="596">
      <formula>T12&lt;&gt;""</formula>
    </cfRule>
  </conditionalFormatting>
  <conditionalFormatting sqref="T47:W47">
    <cfRule type="expression" dxfId="72" priority="595">
      <formula>T12&lt;&gt;""</formula>
    </cfRule>
  </conditionalFormatting>
  <conditionalFormatting sqref="T49:W49">
    <cfRule type="expression" dxfId="71" priority="594">
      <formula>T12&lt;&gt;""</formula>
    </cfRule>
  </conditionalFormatting>
  <conditionalFormatting sqref="T51:W51">
    <cfRule type="expression" dxfId="70" priority="593">
      <formula>T12&lt;&gt;""</formula>
    </cfRule>
  </conditionalFormatting>
  <conditionalFormatting sqref="X13:X17">
    <cfRule type="expression" dxfId="69" priority="437">
      <formula>X13&lt;&gt;""</formula>
    </cfRule>
  </conditionalFormatting>
  <conditionalFormatting sqref="X19">
    <cfRule type="expression" dxfId="68" priority="590">
      <formula>Y12&lt;&gt;""</formula>
    </cfRule>
  </conditionalFormatting>
  <conditionalFormatting sqref="X20">
    <cfRule type="expression" dxfId="67" priority="589">
      <formula>Y12&lt;&gt;""</formula>
    </cfRule>
  </conditionalFormatting>
  <conditionalFormatting sqref="X21">
    <cfRule type="expression" dxfId="66" priority="588">
      <formula>Y12&lt;&gt;""</formula>
    </cfRule>
  </conditionalFormatting>
  <conditionalFormatting sqref="X22">
    <cfRule type="expression" dxfId="65" priority="587">
      <formula>Y12&lt;&gt;""</formula>
    </cfRule>
  </conditionalFormatting>
  <conditionalFormatting sqref="X23">
    <cfRule type="expression" dxfId="64" priority="586">
      <formula>Y12&lt;&gt;""</formula>
    </cfRule>
  </conditionalFormatting>
  <conditionalFormatting sqref="X24">
    <cfRule type="expression" dxfId="63" priority="585">
      <formula>Y12&lt;&gt;""</formula>
    </cfRule>
  </conditionalFormatting>
  <conditionalFormatting sqref="X25">
    <cfRule type="expression" dxfId="62" priority="584">
      <formula>X25&lt;&gt;""</formula>
    </cfRule>
  </conditionalFormatting>
  <conditionalFormatting sqref="X26">
    <cfRule type="expression" dxfId="61" priority="583">
      <formula>Y12&lt;&gt;""</formula>
    </cfRule>
  </conditionalFormatting>
  <conditionalFormatting sqref="X27">
    <cfRule type="expression" dxfId="60" priority="581">
      <formula>X27&lt;&gt;""</formula>
    </cfRule>
  </conditionalFormatting>
  <conditionalFormatting sqref="X28">
    <cfRule type="expression" dxfId="59" priority="582">
      <formula>Y12&lt;&gt;""</formula>
    </cfRule>
  </conditionalFormatting>
  <conditionalFormatting sqref="X29">
    <cfRule type="expression" dxfId="58" priority="580">
      <formula>X29&lt;&gt;""</formula>
    </cfRule>
  </conditionalFormatting>
  <conditionalFormatting sqref="X30">
    <cfRule type="expression" dxfId="57" priority="579">
      <formula>Y12&lt;&gt;""</formula>
    </cfRule>
  </conditionalFormatting>
  <conditionalFormatting sqref="X31">
    <cfRule type="expression" dxfId="56" priority="578">
      <formula>X31&lt;&gt;""</formula>
    </cfRule>
  </conditionalFormatting>
  <conditionalFormatting sqref="X32">
    <cfRule type="expression" dxfId="55" priority="577">
      <formula>Y12&lt;&gt;""</formula>
    </cfRule>
  </conditionalFormatting>
  <conditionalFormatting sqref="X33">
    <cfRule type="expression" dxfId="54" priority="576">
      <formula>X33&lt;&gt;""</formula>
    </cfRule>
  </conditionalFormatting>
  <conditionalFormatting sqref="X34">
    <cfRule type="expression" dxfId="53" priority="575">
      <formula>Y12&lt;&gt;""</formula>
    </cfRule>
  </conditionalFormatting>
  <conditionalFormatting sqref="X35">
    <cfRule type="expression" dxfId="52" priority="574">
      <formula>X35&lt;&gt;""</formula>
    </cfRule>
  </conditionalFormatting>
  <conditionalFormatting sqref="X37">
    <cfRule type="expression" dxfId="51" priority="573">
      <formula>Y12&lt;&gt;""</formula>
    </cfRule>
  </conditionalFormatting>
  <conditionalFormatting sqref="X38">
    <cfRule type="expression" dxfId="50" priority="572">
      <formula>X38&lt;&gt;""</formula>
    </cfRule>
  </conditionalFormatting>
  <conditionalFormatting sqref="X39">
    <cfRule type="expression" dxfId="49" priority="571">
      <formula>Y12&lt;&gt;""</formula>
    </cfRule>
  </conditionalFormatting>
  <conditionalFormatting sqref="X40">
    <cfRule type="expression" dxfId="48" priority="570">
      <formula>X40&lt;&gt;""</formula>
    </cfRule>
  </conditionalFormatting>
  <conditionalFormatting sqref="X41">
    <cfRule type="expression" dxfId="47" priority="569">
      <formula>Y12&lt;&gt;""</formula>
    </cfRule>
  </conditionalFormatting>
  <conditionalFormatting sqref="X42">
    <cfRule type="expression" dxfId="46" priority="568">
      <formula>X42&lt;&gt;""</formula>
    </cfRule>
  </conditionalFormatting>
  <conditionalFormatting sqref="X43">
    <cfRule type="expression" dxfId="45" priority="567">
      <formula>Y12&lt;&gt;""</formula>
    </cfRule>
  </conditionalFormatting>
  <conditionalFormatting sqref="X44">
    <cfRule type="expression" dxfId="44" priority="566">
      <formula>X44&lt;&gt;""</formula>
    </cfRule>
  </conditionalFormatting>
  <conditionalFormatting sqref="X45">
    <cfRule type="expression" dxfId="43" priority="563">
      <formula>Y12&lt;&gt;""</formula>
    </cfRule>
  </conditionalFormatting>
  <conditionalFormatting sqref="X46">
    <cfRule type="expression" dxfId="42" priority="556">
      <formula>X46&lt;&gt;""</formula>
    </cfRule>
  </conditionalFormatting>
  <conditionalFormatting sqref="X47">
    <cfRule type="expression" dxfId="41" priority="562">
      <formula>Y12&lt;&gt;""</formula>
    </cfRule>
  </conditionalFormatting>
  <conditionalFormatting sqref="X48">
    <cfRule type="expression" dxfId="40" priority="561">
      <formula>X48&lt;&gt;""</formula>
    </cfRule>
  </conditionalFormatting>
  <conditionalFormatting sqref="X49">
    <cfRule type="expression" dxfId="39" priority="560">
      <formula>Y12&lt;&gt;""</formula>
    </cfRule>
  </conditionalFormatting>
  <conditionalFormatting sqref="X50">
    <cfRule type="expression" dxfId="38" priority="559">
      <formula>X50&lt;&gt;""</formula>
    </cfRule>
  </conditionalFormatting>
  <conditionalFormatting sqref="X51">
    <cfRule type="expression" dxfId="37" priority="558">
      <formula>Y12&lt;&gt;""</formula>
    </cfRule>
  </conditionalFormatting>
  <conditionalFormatting sqref="X52">
    <cfRule type="expression" dxfId="36" priority="557">
      <formula>X52&lt;&gt;""</formula>
    </cfRule>
  </conditionalFormatting>
  <conditionalFormatting sqref="Y55:AA55">
    <cfRule type="expression" dxfId="35" priority="1">
      <formula>$Y$55&lt;&gt;""</formula>
    </cfRule>
  </conditionalFormatting>
  <conditionalFormatting sqref="Y11:AB11">
    <cfRule type="expression" dxfId="34" priority="439">
      <formula>Y12&lt;&gt;""</formula>
    </cfRule>
  </conditionalFormatting>
  <conditionalFormatting sqref="Y12:AB12">
    <cfRule type="expression" dxfId="33" priority="466">
      <formula>Y12&lt;&gt;""</formula>
    </cfRule>
  </conditionalFormatting>
  <conditionalFormatting sqref="Y13:AB13">
    <cfRule type="expression" dxfId="32" priority="465">
      <formula>Y12&lt;&gt;""</formula>
    </cfRule>
  </conditionalFormatting>
  <conditionalFormatting sqref="Y14:AB14">
    <cfRule type="expression" dxfId="31" priority="464">
      <formula>Y12&lt;&gt;""</formula>
    </cfRule>
  </conditionalFormatting>
  <conditionalFormatting sqref="Y15:AB15">
    <cfRule type="expression" dxfId="30" priority="463">
      <formula>Y12&lt;&gt;""</formula>
    </cfRule>
  </conditionalFormatting>
  <conditionalFormatting sqref="Y16:AB16">
    <cfRule type="expression" dxfId="29" priority="462">
      <formula>Y12&lt;&gt;""</formula>
    </cfRule>
  </conditionalFormatting>
  <conditionalFormatting sqref="Y17:AB17">
    <cfRule type="expression" dxfId="28" priority="461">
      <formula>Y12&lt;&gt;""</formula>
    </cfRule>
  </conditionalFormatting>
  <conditionalFormatting sqref="Y18:AB18">
    <cfRule type="expression" dxfId="27" priority="460">
      <formula>Y18&lt;&gt;""</formula>
    </cfRule>
  </conditionalFormatting>
  <conditionalFormatting sqref="Y19:AB19">
    <cfRule type="expression" dxfId="26" priority="459">
      <formula>Y12&lt;&gt;""</formula>
    </cfRule>
  </conditionalFormatting>
  <conditionalFormatting sqref="Y20:AB20">
    <cfRule type="expression" dxfId="25" priority="458">
      <formula>Y12&lt;&gt;""</formula>
    </cfRule>
  </conditionalFormatting>
  <conditionalFormatting sqref="Y21:AB21">
    <cfRule type="expression" dxfId="24" priority="457">
      <formula>Y12&lt;&gt;""</formula>
    </cfRule>
  </conditionalFormatting>
  <conditionalFormatting sqref="Y21:AB24 Y26:AB26 Y28:AB28 Y30:AB30 Y32:AB32 Y34:AB34 Y37:AB37 Y39:AB39 Y41:AB41 Y43:AB43 Y45:AB45 Y47:AB47 Y49:AB49 Y51:AB51">
    <cfRule type="expression" dxfId="23" priority="550">
      <formula>Y21="Not Met"</formula>
    </cfRule>
    <cfRule type="expression" dxfId="22" priority="549">
      <formula>Y21="Met"</formula>
    </cfRule>
  </conditionalFormatting>
  <conditionalFormatting sqref="Y22:AB22">
    <cfRule type="expression" dxfId="21" priority="456">
      <formula>Y12&lt;&gt;""</formula>
    </cfRule>
  </conditionalFormatting>
  <conditionalFormatting sqref="Y23:AB23">
    <cfRule type="expression" dxfId="20" priority="455">
      <formula>Y12&lt;&gt;""</formula>
    </cfRule>
  </conditionalFormatting>
  <conditionalFormatting sqref="Y24:AB24">
    <cfRule type="expression" dxfId="19" priority="454">
      <formula>Y12&lt;&gt;""</formula>
    </cfRule>
  </conditionalFormatting>
  <conditionalFormatting sqref="Y25:AB25 Y31:AB31 Y33:AB33 Y35:AB35">
    <cfRule type="expression" dxfId="18" priority="552">
      <formula>Y25&lt;&gt;""</formula>
    </cfRule>
    <cfRule type="expression" dxfId="17" priority="553">
      <formula>Y24="Not Met"</formula>
    </cfRule>
  </conditionalFormatting>
  <conditionalFormatting sqref="Y26:AB26">
    <cfRule type="expression" dxfId="16" priority="453">
      <formula>Y12&lt;&gt;""</formula>
    </cfRule>
  </conditionalFormatting>
  <conditionalFormatting sqref="Y27:AB27">
    <cfRule type="expression" dxfId="15" priority="551">
      <formula>Y27&lt;&gt;""</formula>
    </cfRule>
  </conditionalFormatting>
  <conditionalFormatting sqref="Y28:AB28">
    <cfRule type="expression" dxfId="14" priority="452">
      <formula>Y12&lt;&gt;""</formula>
    </cfRule>
  </conditionalFormatting>
  <conditionalFormatting sqref="Y29:AB29 Y38:AB38 Y40:AB40 Y42:AB42 Y44:AB44 Y46:AB46 Y48:AB48 Y50:AB50 Y52:AB52 Y27:AB27">
    <cfRule type="expression" dxfId="13" priority="555">
      <formula>Y26="Not Met"</formula>
    </cfRule>
  </conditionalFormatting>
  <conditionalFormatting sqref="Y29:AB29 Y38:AB38 Y40:AB40 Y42:AB42 Y44:AB44 Y46:AB46 Y48:AB48 Y50:AB50 Y52:AB52">
    <cfRule type="expression" dxfId="12" priority="554">
      <formula>Y29&lt;&gt;""</formula>
    </cfRule>
  </conditionalFormatting>
  <conditionalFormatting sqref="Y30:AB30">
    <cfRule type="expression" dxfId="11" priority="451">
      <formula>Y12&lt;&gt;""</formula>
    </cfRule>
  </conditionalFormatting>
  <conditionalFormatting sqref="Y32:AB32">
    <cfRule type="expression" dxfId="10" priority="450">
      <formula>Y12&lt;&gt;""</formula>
    </cfRule>
  </conditionalFormatting>
  <conditionalFormatting sqref="Y34:AB34">
    <cfRule type="expression" dxfId="9" priority="449">
      <formula>Y12&lt;&gt;""</formula>
    </cfRule>
  </conditionalFormatting>
  <conditionalFormatting sqref="Y36:AB36">
    <cfRule type="expression" dxfId="8" priority="548">
      <formula>Y$402&lt;&gt;""</formula>
    </cfRule>
  </conditionalFormatting>
  <conditionalFormatting sqref="Y37:AB37">
    <cfRule type="expression" dxfId="7" priority="448">
      <formula>Y12&lt;&gt;""</formula>
    </cfRule>
  </conditionalFormatting>
  <conditionalFormatting sqref="Y39:AB39">
    <cfRule type="expression" dxfId="6" priority="447">
      <formula>Y12&lt;&gt;""</formula>
    </cfRule>
  </conditionalFormatting>
  <conditionalFormatting sqref="Y41:AB41">
    <cfRule type="expression" dxfId="5" priority="446">
      <formula>Y12&lt;&gt;""</formula>
    </cfRule>
  </conditionalFormatting>
  <conditionalFormatting sqref="Y43:AB43">
    <cfRule type="expression" dxfId="4" priority="445">
      <formula>Y12&lt;&gt;""</formula>
    </cfRule>
  </conditionalFormatting>
  <conditionalFormatting sqref="Y45:AB45">
    <cfRule type="expression" dxfId="3" priority="443">
      <formula>Y12&lt;&gt;""</formula>
    </cfRule>
  </conditionalFormatting>
  <conditionalFormatting sqref="Y47:AB47">
    <cfRule type="expression" dxfId="2" priority="442">
      <formula>Y12&lt;&gt;""</formula>
    </cfRule>
  </conditionalFormatting>
  <conditionalFormatting sqref="Y49:AB49">
    <cfRule type="expression" dxfId="1" priority="441">
      <formula>Y12&lt;&gt;""</formula>
    </cfRule>
  </conditionalFormatting>
  <conditionalFormatting sqref="Y51:AB51">
    <cfRule type="expression" dxfId="0" priority="440">
      <formula>Y12&lt;&gt;""</formula>
    </cfRule>
  </conditionalFormatting>
  <dataValidations count="2">
    <dataValidation type="list" allowBlank="1" showInputMessage="1" showErrorMessage="1" sqref="F19:M20 O19:R20 T19:W20 Y19:AB20 F66:M67 F113:M114" xr:uid="{00000000-0002-0000-0200-000009000000}">
      <formula1>"Yes, No"</formula1>
    </dataValidation>
    <dataValidation type="list" allowBlank="1" showInputMessage="1" showErrorMessage="1" sqref="T26:W26 T49:W49 T21:W24 T47:W47 T41:W41 T45:W45 T39:W39 T30:W30 T32:W32 T28:W28 T51:W51 T37:W37 T34:W34 F51:M51 F28:M28 F32:M32 F30:M30 F39:M39 F21:M24 F45:M45 F41:M41 F47:M47 F49:M49 F26:M26 F43:M43 F34:M34 F37:M37 O28:R28 O32:R32 O30:R30 O21:R24 O26:R26 O34:R34 O37:R37 O51:R51 O39:R39 O45:R45 O41:R41 O47:R47 O49:R49 O43:R43 T43:W43 Y26:AB26 Y49:AB49 Y21:AB24 Y47:AB47 Y41:AB41 Y45:AB45 Y39:AB39 Y30:AB30 Y32:AB32 Y28:AB28 Y51:AB51 Y37:AB37 Y34:AB34 Y43:AB43 F98:M98 F75:M75 F79:M79 F77:M77 F86:M86 F68:M71 F92:M92 F88:M88 F94:M94 F96:M96 F73:M73 F90:M90 F81:M81 F84:M84 F145:M145 F122:M122 F126:M126 F124:M124 F133:M133 F115:M118 F139:M139 F135:M135 F141:M141 F143:M143 F120:M120 F137:M137 F128:M128 F131:M131"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defaultColWidth="9.125" defaultRowHeight="14.25"/>
  <cols>
    <col min="1" max="1" width="3.625" customWidth="1"/>
    <col min="2" max="2" width="15.125" customWidth="1"/>
    <col min="3" max="8" width="15.625" customWidth="1"/>
    <col min="9" max="9" width="16.5" customWidth="1"/>
    <col min="10" max="10" width="17" customWidth="1"/>
    <col min="11" max="11" width="15.625" customWidth="1"/>
  </cols>
  <sheetData>
    <row r="2" spans="2:13" ht="100.5" customHeight="1">
      <c r="B2" s="38"/>
      <c r="C2" s="39"/>
      <c r="D2" s="39" t="s">
        <v>521</v>
      </c>
      <c r="E2" s="39"/>
      <c r="F2" s="39"/>
      <c r="G2" s="39"/>
      <c r="H2" s="39"/>
      <c r="I2" s="39"/>
      <c r="J2" s="39"/>
      <c r="K2" s="40"/>
      <c r="M2" s="21"/>
    </row>
    <row r="3" spans="2:13" ht="18">
      <c r="B3" s="10" t="e">
        <f>#REF!</f>
        <v>#REF!</v>
      </c>
      <c r="C3" s="831" t="e">
        <f>#REF!</f>
        <v>#REF!</v>
      </c>
      <c r="D3" s="831"/>
      <c r="E3" s="831"/>
      <c r="F3" s="831"/>
      <c r="G3" s="831"/>
      <c r="H3" s="831"/>
      <c r="I3" s="831"/>
      <c r="J3" s="831"/>
      <c r="K3" s="832"/>
    </row>
    <row r="4" spans="2:13" ht="34.5" customHeight="1">
      <c r="B4" s="833" t="s">
        <v>19</v>
      </c>
      <c r="C4" s="834"/>
      <c r="D4" s="834"/>
      <c r="E4" s="834"/>
      <c r="F4" s="834"/>
      <c r="G4" s="834"/>
      <c r="H4" s="834"/>
      <c r="I4" s="834"/>
      <c r="J4" s="834"/>
      <c r="K4" s="835"/>
    </row>
    <row r="6" spans="2:13" s="135" customFormat="1" ht="42" customHeight="1">
      <c r="B6" s="828" t="s">
        <v>527</v>
      </c>
      <c r="C6" s="829"/>
      <c r="D6" s="829"/>
      <c r="E6" s="829"/>
      <c r="F6" s="829"/>
      <c r="G6" s="829"/>
      <c r="H6" s="829"/>
      <c r="I6" s="829"/>
      <c r="J6" s="829"/>
      <c r="K6" s="830"/>
    </row>
    <row r="7" spans="2:13" ht="18.75" customHeight="1">
      <c r="B7" s="844" t="s">
        <v>522</v>
      </c>
      <c r="C7" s="845"/>
      <c r="D7" s="845"/>
      <c r="E7" s="845"/>
      <c r="F7" s="845"/>
      <c r="G7" s="845"/>
      <c r="H7" s="845"/>
      <c r="I7" s="845"/>
      <c r="J7" s="845"/>
      <c r="K7" s="846"/>
    </row>
    <row r="8" spans="2:13" ht="22.5" customHeight="1">
      <c r="B8" s="844"/>
      <c r="C8" s="845"/>
      <c r="D8" s="845"/>
      <c r="E8" s="845"/>
      <c r="F8" s="845"/>
      <c r="G8" s="845"/>
      <c r="H8" s="845"/>
      <c r="I8" s="845"/>
      <c r="J8" s="845"/>
      <c r="K8" s="846"/>
    </row>
    <row r="9" spans="2:13">
      <c r="B9" s="844"/>
      <c r="C9" s="845"/>
      <c r="D9" s="845"/>
      <c r="E9" s="845"/>
      <c r="F9" s="845"/>
      <c r="G9" s="845"/>
      <c r="H9" s="845"/>
      <c r="I9" s="845"/>
      <c r="J9" s="845"/>
      <c r="K9" s="846"/>
    </row>
    <row r="10" spans="2:13" ht="39" customHeight="1">
      <c r="B10" s="844"/>
      <c r="C10" s="845"/>
      <c r="D10" s="845"/>
      <c r="E10" s="845"/>
      <c r="F10" s="845"/>
      <c r="G10" s="845"/>
      <c r="H10" s="845"/>
      <c r="I10" s="845"/>
      <c r="J10" s="845"/>
      <c r="K10" s="846"/>
    </row>
    <row r="11" spans="2:13">
      <c r="B11" s="844"/>
      <c r="C11" s="845"/>
      <c r="D11" s="845"/>
      <c r="E11" s="845"/>
      <c r="F11" s="845"/>
      <c r="G11" s="845"/>
      <c r="H11" s="845"/>
      <c r="I11" s="845"/>
      <c r="J11" s="845"/>
      <c r="K11" s="846"/>
    </row>
    <row r="12" spans="2:13" ht="18.75" customHeight="1">
      <c r="B12" s="844"/>
      <c r="C12" s="845"/>
      <c r="D12" s="845"/>
      <c r="E12" s="845"/>
      <c r="F12" s="845"/>
      <c r="G12" s="845"/>
      <c r="H12" s="845"/>
      <c r="I12" s="845"/>
      <c r="J12" s="845"/>
      <c r="K12" s="846"/>
    </row>
    <row r="13" spans="2:13">
      <c r="B13" s="844"/>
      <c r="C13" s="845"/>
      <c r="D13" s="845"/>
      <c r="E13" s="845"/>
      <c r="F13" s="845"/>
      <c r="G13" s="845"/>
      <c r="H13" s="845"/>
      <c r="I13" s="845"/>
      <c r="J13" s="845"/>
      <c r="K13" s="846"/>
    </row>
    <row r="14" spans="2:13" ht="39" customHeight="1">
      <c r="B14" s="844"/>
      <c r="C14" s="845"/>
      <c r="D14" s="845"/>
      <c r="E14" s="845"/>
      <c r="F14" s="845"/>
      <c r="G14" s="845"/>
      <c r="H14" s="845"/>
      <c r="I14" s="845"/>
      <c r="J14" s="845"/>
      <c r="K14" s="846"/>
    </row>
    <row r="15" spans="2:13">
      <c r="B15" s="844"/>
      <c r="C15" s="845"/>
      <c r="D15" s="845"/>
      <c r="E15" s="845"/>
      <c r="F15" s="845"/>
      <c r="G15" s="845"/>
      <c r="H15" s="845"/>
      <c r="I15" s="845"/>
      <c r="J15" s="845"/>
      <c r="K15" s="846"/>
    </row>
    <row r="16" spans="2:13" ht="18.75" customHeight="1">
      <c r="B16" s="844"/>
      <c r="C16" s="845"/>
      <c r="D16" s="845"/>
      <c r="E16" s="845"/>
      <c r="F16" s="845"/>
      <c r="G16" s="845"/>
      <c r="H16" s="845"/>
      <c r="I16" s="845"/>
      <c r="J16" s="845"/>
      <c r="K16" s="846"/>
    </row>
    <row r="17" spans="2:12" ht="21" customHeight="1">
      <c r="B17" s="844"/>
      <c r="C17" s="845"/>
      <c r="D17" s="845"/>
      <c r="E17" s="845"/>
      <c r="F17" s="845"/>
      <c r="G17" s="845"/>
      <c r="H17" s="845"/>
      <c r="I17" s="845"/>
      <c r="J17" s="845"/>
      <c r="K17" s="846"/>
    </row>
    <row r="18" spans="2:12" ht="32.25" customHeight="1">
      <c r="B18" s="844"/>
      <c r="C18" s="845"/>
      <c r="D18" s="845"/>
      <c r="E18" s="845"/>
      <c r="F18" s="845"/>
      <c r="G18" s="845"/>
      <c r="H18" s="845"/>
      <c r="I18" s="845"/>
      <c r="J18" s="845"/>
      <c r="K18" s="846"/>
      <c r="L18" s="136"/>
    </row>
    <row r="19" spans="2:12">
      <c r="B19" s="844"/>
      <c r="C19" s="845"/>
      <c r="D19" s="845"/>
      <c r="E19" s="845"/>
      <c r="F19" s="845"/>
      <c r="G19" s="845"/>
      <c r="H19" s="845"/>
      <c r="I19" s="845"/>
      <c r="J19" s="845"/>
      <c r="K19" s="846"/>
    </row>
    <row r="20" spans="2:12" ht="18.75" customHeight="1">
      <c r="B20" s="844"/>
      <c r="C20" s="845"/>
      <c r="D20" s="845"/>
      <c r="E20" s="845"/>
      <c r="F20" s="845"/>
      <c r="G20" s="845"/>
      <c r="H20" s="845"/>
      <c r="I20" s="845"/>
      <c r="J20" s="845"/>
      <c r="K20" s="846"/>
    </row>
    <row r="21" spans="2:12">
      <c r="B21" s="137"/>
      <c r="C21" s="138"/>
      <c r="D21" s="138"/>
      <c r="E21" s="138"/>
      <c r="F21" s="138"/>
      <c r="G21" s="138"/>
      <c r="H21" s="138"/>
      <c r="I21" s="138"/>
      <c r="J21" s="138"/>
      <c r="K21" s="139"/>
    </row>
    <row r="23" spans="2:12" ht="10.5" customHeight="1">
      <c r="B23" s="140"/>
      <c r="C23" s="141"/>
      <c r="D23" s="141"/>
      <c r="E23" s="141"/>
      <c r="F23" s="141"/>
      <c r="G23" s="141"/>
      <c r="H23" s="141"/>
      <c r="I23" s="141"/>
      <c r="J23" s="141"/>
      <c r="K23" s="142"/>
    </row>
    <row r="24" spans="2:12" ht="18.75" customHeight="1">
      <c r="B24" s="839" t="s">
        <v>530</v>
      </c>
      <c r="C24" s="840"/>
      <c r="D24" s="840"/>
      <c r="E24" s="840"/>
      <c r="F24" s="840"/>
      <c r="G24" s="840"/>
      <c r="H24" s="840"/>
      <c r="I24" s="840"/>
      <c r="J24" s="840"/>
      <c r="K24" s="841"/>
    </row>
    <row r="25" spans="2:12" ht="5.25" customHeight="1">
      <c r="B25" s="143"/>
      <c r="C25" s="144"/>
      <c r="D25" s="144"/>
      <c r="E25" s="144"/>
      <c r="F25" s="144"/>
      <c r="G25" s="144"/>
      <c r="H25" s="144"/>
      <c r="I25" s="144"/>
      <c r="J25" s="144"/>
      <c r="K25" s="145"/>
    </row>
    <row r="26" spans="2:12" ht="235.5" customHeight="1">
      <c r="B26" s="836" t="s">
        <v>523</v>
      </c>
      <c r="C26" s="837"/>
      <c r="D26" s="837"/>
      <c r="E26" s="837"/>
      <c r="F26" s="837"/>
      <c r="G26" s="837"/>
      <c r="H26" s="837"/>
      <c r="I26" s="837"/>
      <c r="J26" s="837"/>
      <c r="K26" s="838"/>
    </row>
    <row r="27" spans="2:12" ht="6" customHeight="1">
      <c r="B27" s="143"/>
      <c r="C27" s="144"/>
      <c r="D27" s="144"/>
      <c r="E27" s="144"/>
      <c r="F27" s="144"/>
      <c r="G27" s="144"/>
      <c r="H27" s="144"/>
      <c r="I27" s="144"/>
      <c r="J27" s="144"/>
      <c r="K27" s="145"/>
    </row>
    <row r="28" spans="2:12" ht="75.75" customHeight="1">
      <c r="B28" s="836" t="s">
        <v>524</v>
      </c>
      <c r="C28" s="842"/>
      <c r="D28" s="842"/>
      <c r="E28" s="842"/>
      <c r="F28" s="842"/>
      <c r="G28" s="842"/>
      <c r="H28" s="842"/>
      <c r="I28" s="842"/>
      <c r="J28" s="842"/>
      <c r="K28" s="843"/>
    </row>
    <row r="29" spans="2:12" ht="16.5" customHeight="1">
      <c r="B29" s="143"/>
      <c r="C29" s="144"/>
      <c r="D29" s="144"/>
      <c r="E29" s="144"/>
      <c r="F29" s="144"/>
      <c r="G29" s="144"/>
      <c r="H29" s="144"/>
      <c r="I29" s="144"/>
      <c r="J29" s="144"/>
      <c r="K29" s="145"/>
    </row>
    <row r="30" spans="2:12" ht="32.25" customHeight="1">
      <c r="B30" s="847" t="s">
        <v>525</v>
      </c>
      <c r="C30" s="848"/>
      <c r="D30" s="848"/>
      <c r="E30" s="848"/>
      <c r="F30" s="848"/>
      <c r="G30" s="848"/>
      <c r="H30" s="848"/>
      <c r="I30" s="848"/>
      <c r="J30" s="848"/>
      <c r="K30" s="849"/>
    </row>
    <row r="31" spans="2:12" ht="3.75" customHeight="1">
      <c r="B31" s="143"/>
      <c r="C31" s="144"/>
      <c r="D31" s="144"/>
      <c r="E31" s="144"/>
      <c r="F31" s="144"/>
      <c r="G31" s="144"/>
      <c r="H31" s="144"/>
      <c r="I31" s="144"/>
      <c r="J31" s="144"/>
      <c r="K31" s="145"/>
    </row>
    <row r="32" spans="2:12" ht="122.25" customHeight="1">
      <c r="B32" s="850" t="s">
        <v>526</v>
      </c>
      <c r="C32" s="851"/>
      <c r="D32" s="851"/>
      <c r="E32" s="851"/>
      <c r="F32" s="851"/>
      <c r="G32" s="851"/>
      <c r="H32" s="851"/>
      <c r="I32" s="851"/>
      <c r="J32" s="851"/>
      <c r="K32" s="852"/>
    </row>
    <row r="34" spans="2:12" s="135" customFormat="1" ht="42" customHeight="1">
      <c r="B34" s="828" t="s">
        <v>528</v>
      </c>
      <c r="C34" s="829"/>
      <c r="D34" s="829"/>
      <c r="E34" s="829"/>
      <c r="F34" s="829"/>
      <c r="G34" s="829"/>
      <c r="H34" s="829"/>
      <c r="I34" s="829"/>
      <c r="J34" s="829"/>
      <c r="K34" s="830"/>
    </row>
    <row r="35" spans="2:12" ht="18.75" customHeight="1">
      <c r="B35" s="853" t="s">
        <v>529</v>
      </c>
      <c r="C35" s="845"/>
      <c r="D35" s="845"/>
      <c r="E35" s="845"/>
      <c r="F35" s="845"/>
      <c r="G35" s="845"/>
      <c r="H35" s="845"/>
      <c r="I35" s="845"/>
      <c r="J35" s="845"/>
      <c r="K35" s="846"/>
    </row>
    <row r="36" spans="2:12" ht="22.5" customHeight="1">
      <c r="B36" s="844"/>
      <c r="C36" s="845"/>
      <c r="D36" s="845"/>
      <c r="E36" s="845"/>
      <c r="F36" s="845"/>
      <c r="G36" s="845"/>
      <c r="H36" s="845"/>
      <c r="I36" s="845"/>
      <c r="J36" s="845"/>
      <c r="K36" s="846"/>
    </row>
    <row r="37" spans="2:12">
      <c r="B37" s="844"/>
      <c r="C37" s="845"/>
      <c r="D37" s="845"/>
      <c r="E37" s="845"/>
      <c r="F37" s="845"/>
      <c r="G37" s="845"/>
      <c r="H37" s="845"/>
      <c r="I37" s="845"/>
      <c r="J37" s="845"/>
      <c r="K37" s="846"/>
    </row>
    <row r="38" spans="2:12" ht="39" customHeight="1">
      <c r="B38" s="844"/>
      <c r="C38" s="845"/>
      <c r="D38" s="845"/>
      <c r="E38" s="845"/>
      <c r="F38" s="845"/>
      <c r="G38" s="845"/>
      <c r="H38" s="845"/>
      <c r="I38" s="845"/>
      <c r="J38" s="845"/>
      <c r="K38" s="846"/>
    </row>
    <row r="39" spans="2:12">
      <c r="B39" s="844"/>
      <c r="C39" s="845"/>
      <c r="D39" s="845"/>
      <c r="E39" s="845"/>
      <c r="F39" s="845"/>
      <c r="G39" s="845"/>
      <c r="H39" s="845"/>
      <c r="I39" s="845"/>
      <c r="J39" s="845"/>
      <c r="K39" s="846"/>
    </row>
    <row r="40" spans="2:12" ht="18.75" customHeight="1">
      <c r="B40" s="844"/>
      <c r="C40" s="845"/>
      <c r="D40" s="845"/>
      <c r="E40" s="845"/>
      <c r="F40" s="845"/>
      <c r="G40" s="845"/>
      <c r="H40" s="845"/>
      <c r="I40" s="845"/>
      <c r="J40" s="845"/>
      <c r="K40" s="846"/>
    </row>
    <row r="41" spans="2:12">
      <c r="B41" s="844"/>
      <c r="C41" s="845"/>
      <c r="D41" s="845"/>
      <c r="E41" s="845"/>
      <c r="F41" s="845"/>
      <c r="G41" s="845"/>
      <c r="H41" s="845"/>
      <c r="I41" s="845"/>
      <c r="J41" s="845"/>
      <c r="K41" s="846"/>
    </row>
    <row r="42" spans="2:12" ht="39" customHeight="1">
      <c r="B42" s="844"/>
      <c r="C42" s="845"/>
      <c r="D42" s="845"/>
      <c r="E42" s="845"/>
      <c r="F42" s="845"/>
      <c r="G42" s="845"/>
      <c r="H42" s="845"/>
      <c r="I42" s="845"/>
      <c r="J42" s="845"/>
      <c r="K42" s="846"/>
    </row>
    <row r="43" spans="2:12" ht="42" customHeight="1">
      <c r="B43" s="844"/>
      <c r="C43" s="845"/>
      <c r="D43" s="845"/>
      <c r="E43" s="845"/>
      <c r="F43" s="845"/>
      <c r="G43" s="845"/>
      <c r="H43" s="845"/>
      <c r="I43" s="845"/>
      <c r="J43" s="845"/>
      <c r="K43" s="846"/>
    </row>
    <row r="44" spans="2:12" ht="18.75" customHeight="1">
      <c r="B44" s="844"/>
      <c r="C44" s="845"/>
      <c r="D44" s="845"/>
      <c r="E44" s="845"/>
      <c r="F44" s="845"/>
      <c r="G44" s="845"/>
      <c r="H44" s="845"/>
      <c r="I44" s="845"/>
      <c r="J44" s="845"/>
      <c r="K44" s="846"/>
    </row>
    <row r="45" spans="2:12" ht="21" customHeight="1">
      <c r="B45" s="844"/>
      <c r="C45" s="845"/>
      <c r="D45" s="845"/>
      <c r="E45" s="845"/>
      <c r="F45" s="845"/>
      <c r="G45" s="845"/>
      <c r="H45" s="845"/>
      <c r="I45" s="845"/>
      <c r="J45" s="845"/>
      <c r="K45" s="846"/>
    </row>
    <row r="46" spans="2:12" ht="32.25" customHeight="1">
      <c r="B46" s="844"/>
      <c r="C46" s="845"/>
      <c r="D46" s="845"/>
      <c r="E46" s="845"/>
      <c r="F46" s="845"/>
      <c r="G46" s="845"/>
      <c r="H46" s="845"/>
      <c r="I46" s="845"/>
      <c r="J46" s="845"/>
      <c r="K46" s="846"/>
      <c r="L46" s="136"/>
    </row>
    <row r="47" spans="2:12" ht="34.5" customHeight="1">
      <c r="B47" s="844"/>
      <c r="C47" s="845"/>
      <c r="D47" s="845"/>
      <c r="E47" s="845"/>
      <c r="F47" s="845"/>
      <c r="G47" s="845"/>
      <c r="H47" s="845"/>
      <c r="I47" s="845"/>
      <c r="J47" s="845"/>
      <c r="K47" s="846"/>
    </row>
    <row r="48" spans="2:12" ht="18.75" customHeight="1">
      <c r="B48" s="844"/>
      <c r="C48" s="845"/>
      <c r="D48" s="845"/>
      <c r="E48" s="845"/>
      <c r="F48" s="845"/>
      <c r="G48" s="845"/>
      <c r="H48" s="845"/>
      <c r="I48" s="845"/>
      <c r="J48" s="845"/>
      <c r="K48" s="846"/>
    </row>
    <row r="49" spans="2:11">
      <c r="B49" s="137"/>
      <c r="C49" s="138"/>
      <c r="D49" s="138"/>
      <c r="E49" s="138"/>
      <c r="F49" s="138"/>
      <c r="G49" s="138"/>
      <c r="H49" s="138"/>
      <c r="I49" s="138"/>
      <c r="J49" s="138"/>
      <c r="K49" s="139"/>
    </row>
    <row r="51" spans="2:11" ht="10.5" customHeight="1">
      <c r="B51" s="140"/>
      <c r="C51" s="141"/>
      <c r="D51" s="141"/>
      <c r="E51" s="141"/>
      <c r="F51" s="141"/>
      <c r="G51" s="141"/>
      <c r="H51" s="141"/>
      <c r="I51" s="141"/>
      <c r="J51" s="141"/>
      <c r="K51" s="142"/>
    </row>
    <row r="52" spans="2:11" ht="18.75" customHeight="1">
      <c r="B52" s="839" t="s">
        <v>531</v>
      </c>
      <c r="C52" s="840"/>
      <c r="D52" s="840"/>
      <c r="E52" s="840"/>
      <c r="F52" s="840"/>
      <c r="G52" s="840"/>
      <c r="H52" s="840"/>
      <c r="I52" s="840"/>
      <c r="J52" s="840"/>
      <c r="K52" s="841"/>
    </row>
    <row r="53" spans="2:11" ht="5.25" customHeight="1">
      <c r="B53" s="143"/>
      <c r="C53" s="144"/>
      <c r="D53" s="144"/>
      <c r="E53" s="144"/>
      <c r="F53" s="144"/>
      <c r="G53" s="144"/>
      <c r="H53" s="144"/>
      <c r="I53" s="144"/>
      <c r="J53" s="144"/>
      <c r="K53" s="145"/>
    </row>
    <row r="54" spans="2:11" ht="207" customHeight="1">
      <c r="B54" s="836" t="s">
        <v>532</v>
      </c>
      <c r="C54" s="837"/>
      <c r="D54" s="837"/>
      <c r="E54" s="837"/>
      <c r="F54" s="837"/>
      <c r="G54" s="837"/>
      <c r="H54" s="837"/>
      <c r="I54" s="837"/>
      <c r="J54" s="837"/>
      <c r="K54" s="838"/>
    </row>
    <row r="55" spans="2:11" ht="6" customHeight="1">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17</vt:i4>
      </vt:variant>
    </vt:vector>
  </HeadingPairs>
  <TitlesOfParts>
    <vt:vector size="23" baseType="lpstr">
      <vt:lpstr>EA-LoR App</vt:lpstr>
      <vt:lpstr>Cover Page</vt:lpstr>
      <vt:lpstr>SV Findings</vt:lpstr>
      <vt:lpstr>Summary of Findings - Main</vt:lpstr>
      <vt:lpstr>Satellite(s)</vt:lpstr>
      <vt:lpstr>SV Scripts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Lisa Collard</cp:lastModifiedBy>
  <cp:lastPrinted>2025-08-12T14:20:08Z</cp:lastPrinted>
  <dcterms:created xsi:type="dcterms:W3CDTF">2015-08-24T14:47:43Z</dcterms:created>
  <dcterms:modified xsi:type="dcterms:W3CDTF">2025-08-12T14:24:30Z</dcterms:modified>
</cp:coreProperties>
</file>