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Lisa's Place\_In Progress\Website Templates\Site Visits\"/>
    </mc:Choice>
  </mc:AlternateContent>
  <xr:revisionPtr revIDLastSave="0" documentId="13_ncr:1_{6BFFBC3B-3A40-4F9C-BC75-568916376726}" xr6:coauthVersionLast="47" xr6:coauthVersionMax="47" xr10:uidLastSave="{00000000-0000-0000-0000-000000000000}"/>
  <bookViews>
    <workbookView xWindow="0" yWindow="810" windowWidth="18060" windowHeight="10965" firstSheet="1" activeTab="1" xr2:uid="{00000000-000D-0000-FFFF-FFFF00000000}"/>
  </bookViews>
  <sheets>
    <sheet name="EA-LoR App" sheetId="8" state="hidden" r:id="rId1"/>
    <sheet name="Cover Page" sheetId="3" r:id="rId2"/>
    <sheet name="SV Findings" sheetId="1" r:id="rId3"/>
    <sheet name="Summary of Findings - Main" sheetId="7" r:id="rId4"/>
    <sheet name="Satellite(s)" sheetId="10" r:id="rId5"/>
    <sheet name="SV Scripts" sheetId="9" state="hidden" r:id="rId6"/>
  </sheets>
  <externalReferences>
    <externalReference r:id="rId7"/>
    <externalReference r:id="rId8"/>
  </externalReferences>
  <definedNames>
    <definedName name="_xlnm._FilterDatabase" localSheetId="2" hidden="1">'SV Findings'!$I$13:$J$13</definedName>
    <definedName name="EASAdmin" localSheetId="0">'EA-LoR App'!$I$63:$L$63</definedName>
    <definedName name="EASCAffiliates" localSheetId="0">#REF!</definedName>
    <definedName name="EASCState" localSheetId="0">'EA-LoR App'!#REF!</definedName>
    <definedName name="EASDegree" localSheetId="0">'EA-LoR App'!$I$32:$U$32</definedName>
    <definedName name="EASFAffiliates" localSheetId="0">#REF!</definedName>
    <definedName name="EASInst" localSheetId="0">'EA-LoR App'!$I$26:$AJ$26</definedName>
    <definedName name="EASOutSat" localSheetId="0">#REF!</definedName>
    <definedName name="EASPublication" localSheetId="0">#REF!</definedName>
    <definedName name="EASSat" localSheetId="0">#REF!</definedName>
    <definedName name="EASStatus" localSheetId="0">'EA-LoR App'!$I$30:$N$30</definedName>
    <definedName name="EASType" localSheetId="0">'EA-LoR App'!$I$29:$T$29</definedName>
    <definedName name="MetNADNE">'SV Findings'!$M$8:$P$8</definedName>
    <definedName name="_xlnm.Print_Area" localSheetId="1">'Cover Page'!$A$1:$N$33</definedName>
    <definedName name="_xlnm.Print_Area" localSheetId="0">'EA-LoR App'!$A$1:$G$82</definedName>
    <definedName name="_xlnm.Print_Area" localSheetId="4">'Satellite(s)'!$A$1:$M$8,'Satellite(s)'!$A$10:$AB$54,'Satellite(s)'!$A$57:$M$149</definedName>
    <definedName name="_xlnm.Print_Area" localSheetId="3">'Summary of Findings - Main'!$A$1:$G$277</definedName>
    <definedName name="_xlnm.Print_Area" localSheetId="2">'SV Findings'!$B$1:$L$381</definedName>
    <definedName name="_xlnm.Print_Titles" localSheetId="2">'SV Findings'!$6:$6</definedName>
    <definedName name="PV" localSheetId="3">'SV Findings'!#REF!</definedName>
    <definedName name="PV">'[1]SV Findings'!#REF!</definedName>
    <definedName name="PVB" localSheetId="0">#REF!</definedName>
    <definedName name="PVB" localSheetId="3">'SV Findings'!#REF!</definedName>
    <definedName name="PVB" localSheetId="5">'[1]SV Findings'!#REF!</definedName>
    <definedName name="PVB">'SV Findings'!#REF!</definedName>
    <definedName name="Readers" localSheetId="0">'EA-LoR App'!$I$59:$T$59</definedName>
    <definedName name="Satellites">'[1]EA-I-CSSR'!$W$25:$W$27</definedName>
    <definedName name="Sponsorship" localSheetId="0">#REF!</definedName>
    <definedName name="Sponsorship" localSheetId="5">'[1]SV Findings'!$AA$9:$AI$9</definedName>
    <definedName name="Sponsorship">'SV Findings'!$AA$10:$AI$10</definedName>
    <definedName name="Standards" localSheetId="0">#REF!</definedName>
    <definedName name="Standards">'Summary of Findings - Main'!$Q$31:$Q$203</definedName>
    <definedName name="SType">'[2]Standard I'!$K$2:$K$6</definedName>
    <definedName name="SVCriteria">#REF!</definedName>
    <definedName name="validation_tclist" localSheetId="0">OFFSET(#REF!,,,COUNTIF(#REF!,"?*"))</definedName>
    <definedName name="validation_tclist" localSheetId="5">OFFSET('[1]Cover Page'!$U$3,,,COUNTIF('[1]Cover Page'!$U$3:$U$136,"?*"))</definedName>
    <definedName name="validation_tclist">OFFSET('Cover Page'!$U$3,,,COUNTIF('Cover Page'!$U$3:$U$133,"?*"))</definedName>
    <definedName name="validation_tmlist" localSheetId="0">OFFSET(#REF!,,,COUNTIF(#REF!,"?*"))</definedName>
    <definedName name="validation_tmlist" localSheetId="5">OFFSET('[1]Cover Page'!$AA$3,,,COUNTIF('[1]Cover Page'!$AA$3:$AA$136,"?*"))</definedName>
    <definedName name="validation_tmlist">OFFSET('Cover Page'!$AA$3,,,COUNTIF('Cover Page'!$AA$3:$AA$133,"?*"))</definedName>
    <definedName name="validation_tmlist2" localSheetId="0">OFFSET(#REF!,,,COUNTIF(#REF!,"?*"))</definedName>
    <definedName name="validation_tmlist2" localSheetId="5">OFFSET('[1]Cover Page'!$AF$3,,,COUNTIF('[1]Cover Page'!$AF$3:$AF$136,"?*"))</definedName>
    <definedName name="validation_tmlist2">OFFSET('Cover Page'!$AF$3,,,COUNTIF('Cover Page'!$AF$3:$AF$133,"?*"))</definedName>
    <definedName name="validation_tmlist3" localSheetId="0">OFFSET(#REF!,,,COUNTIF(#REF!,"?*"))</definedName>
    <definedName name="validation_tmlist3" localSheetId="5">OFFSET('[1]Cover Page'!$AK$3,,,COUNTIF('[1]Cover Page'!$AK$3:$AK$136,"?*"))</definedName>
    <definedName name="validation_tmlist3">OFFSET('Cover Page'!$AK$3,,,COUNTIF('Cover Page'!$AK$3:$AK$133,"?*"))</definedName>
    <definedName name="YN" localSheetId="0">#REF!</definedName>
    <definedName name="YN" localSheetId="3">'SV Findings'!#REF!</definedName>
    <definedName name="YN" localSheetId="5">'[1]SV Findings'!#REF!</definedName>
    <definedName name="YN">'SV Findings'!#REF!</definedName>
    <definedName name="YNApp" localSheetId="0">'EA-LoR App'!$J$17:$M$17</definedName>
    <definedName name="YNN" localSheetId="0">#REF!</definedName>
    <definedName name="YNN">#REF!</definedName>
    <definedName name="YNNA" localSheetId="0">#REF!</definedName>
    <definedName name="YNNA" localSheetId="3">'SV Findings'!#REF!</definedName>
    <definedName name="YNNA" localSheetId="5">'[1]SV Findings'!#REF!</definedName>
    <definedName name="YNNA">'SV Findings'!#REF!</definedName>
    <definedName name="YNNApp" localSheetId="0">'EA-LoR App'!$J$24:$N$24</definedName>
    <definedName name="Z_6FDBC1BF_99FD_492F_9A38_B1FC9531BD14_.wvu.FilterData" localSheetId="2" hidden="1">'SV Findings'!$I$13:$J$13</definedName>
    <definedName name="Z_6FDBC1BF_99FD_492F_9A38_B1FC9531BD14_.wvu.PrintArea" localSheetId="1" hidden="1">'Cover Page'!$A$1:$N$33</definedName>
    <definedName name="Z_6FDBC1BF_99FD_492F_9A38_B1FC9531BD14_.wvu.PrintArea" localSheetId="0" hidden="1">'EA-LoR App'!$A$1:$G$82,'EA-LoR App'!$H$14:$S$36</definedName>
    <definedName name="Z_6FDBC1BF_99FD_492F_9A38_B1FC9531BD14_.wvu.PrintArea" localSheetId="3" hidden="1">'Summary of Findings - Main'!$A$1:$G$277</definedName>
    <definedName name="Z_6FDBC1BF_99FD_492F_9A38_B1FC9531BD14_.wvu.PrintArea" localSheetId="2" hidden="1">'SV Findings'!$B$1:$L$301</definedName>
    <definedName name="Z_6FDBC1BF_99FD_492F_9A38_B1FC9531BD14_.wvu.PrintTitles" localSheetId="2" hidden="1">'SV Findings'!$6:$6</definedName>
    <definedName name="Z_C17C9B4A_0866_4AA0_BC6D_B2274E9D30D3_.wvu.FilterData" localSheetId="2" hidden="1">'SV Findings'!$I$13:$J$13</definedName>
    <definedName name="Z_C17C9B4A_0866_4AA0_BC6D_B2274E9D30D3_.wvu.PrintArea" localSheetId="1" hidden="1">'Cover Page'!$A$1:$N$33</definedName>
    <definedName name="Z_C17C9B4A_0866_4AA0_BC6D_B2274E9D30D3_.wvu.PrintArea" localSheetId="0" hidden="1">'EA-LoR App'!$A$1:$G$82,'EA-LoR App'!$H$14:$S$36</definedName>
    <definedName name="Z_C17C9B4A_0866_4AA0_BC6D_B2274E9D30D3_.wvu.PrintArea" localSheetId="3" hidden="1">'Summary of Findings - Main'!$A$1:$G$277</definedName>
    <definedName name="Z_C17C9B4A_0866_4AA0_BC6D_B2274E9D30D3_.wvu.PrintArea" localSheetId="2" hidden="1">'SV Findings'!$B$1:$L$301</definedName>
    <definedName name="Z_C17C9B4A_0866_4AA0_BC6D_B2274E9D30D3_.wvu.PrintTitles" localSheetId="2" hidden="1">'SV Findings'!$6:$6</definedName>
  </definedNames>
  <calcPr calcId="191029"/>
  <customWorkbookViews>
    <customWorkbookView name="EA1" guid="{C17C9B4A-0866-4AA0-BC6D-B2274E9D30D3}" maximized="1" windowWidth="1881" windowHeight="771" activeSheetId="4"/>
    <customWorkbookView name="EASatellites" guid="{6FDBC1BF-99FD-492F-9A38-B1FC9531BD14}" maximized="1" windowWidth="1881" windowHeight="771"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 i="1" l="1"/>
  <c r="B209" i="1"/>
  <c r="B166" i="1"/>
  <c r="H165" i="1"/>
  <c r="I172" i="1"/>
  <c r="C174" i="1"/>
  <c r="C173" i="1"/>
  <c r="C172" i="1"/>
  <c r="B174" i="1"/>
  <c r="B173" i="1"/>
  <c r="B172" i="1"/>
  <c r="B171" i="1"/>
  <c r="C23" i="1"/>
  <c r="I167" i="1"/>
  <c r="C142" i="1"/>
  <c r="B3" i="7" l="1"/>
  <c r="D134" i="7" l="1"/>
  <c r="B134" i="7"/>
  <c r="D133" i="7"/>
  <c r="B133" i="7"/>
  <c r="D176" i="7" l="1"/>
  <c r="B176" i="7"/>
  <c r="D169" i="7"/>
  <c r="B169" i="7"/>
  <c r="D179" i="7"/>
  <c r="B179" i="7"/>
  <c r="D3" i="7" l="1"/>
  <c r="F3" i="1"/>
  <c r="C170" i="1"/>
  <c r="C169" i="1"/>
  <c r="I155" i="1" l="1"/>
  <c r="I137" i="1"/>
  <c r="H134" i="1"/>
  <c r="H124" i="1"/>
  <c r="J205" i="1" a="1"/>
  <c r="J205" i="1"/>
  <c r="J204" i="1" a="1"/>
  <c r="J204" i="1"/>
  <c r="J98" i="1" a="1"/>
  <c r="J98" i="1"/>
  <c r="J97" i="1" a="1"/>
  <c r="J97" i="1"/>
  <c r="J57" i="1" a="1"/>
  <c r="J57" i="1"/>
  <c r="J56" i="1" a="1"/>
  <c r="J56" i="1"/>
  <c r="B2" i="10"/>
  <c r="J185" i="1" a="1"/>
  <c r="J185" i="1"/>
  <c r="J184" i="1" a="1"/>
  <c r="J184" i="1"/>
  <c r="C136" i="1"/>
  <c r="C126" i="1"/>
  <c r="D53" i="7" l="1"/>
  <c r="B53" i="7"/>
  <c r="D60" i="7"/>
  <c r="B60" i="7"/>
  <c r="D65" i="7"/>
  <c r="B65" i="7"/>
  <c r="D66" i="7"/>
  <c r="B66" i="7"/>
  <c r="B290" i="1"/>
  <c r="B235" i="1"/>
  <c r="D67" i="7"/>
  <c r="B67" i="7"/>
  <c r="D99" i="7" l="1"/>
  <c r="B99" i="7"/>
  <c r="C130" i="1"/>
  <c r="C129" i="1"/>
  <c r="I130" i="1"/>
  <c r="I132" i="1"/>
  <c r="I139" i="1"/>
  <c r="C131" i="1"/>
  <c r="D104" i="7"/>
  <c r="I143" i="1"/>
  <c r="I141" i="1"/>
  <c r="C140" i="1"/>
  <c r="C139" i="1"/>
  <c r="D119" i="7"/>
  <c r="B119" i="7"/>
  <c r="D120" i="7"/>
  <c r="B120" i="7"/>
  <c r="D121" i="7"/>
  <c r="B121" i="7"/>
  <c r="D122" i="7"/>
  <c r="B122" i="7"/>
  <c r="D123" i="7"/>
  <c r="B123" i="7"/>
  <c r="D124" i="7"/>
  <c r="B124" i="7"/>
  <c r="D125" i="7"/>
  <c r="B125" i="7"/>
  <c r="C103" i="1"/>
  <c r="I127" i="1"/>
  <c r="B300" i="1"/>
  <c r="J282" i="1" a="1"/>
  <c r="J282" i="1"/>
  <c r="J281" i="1" a="1"/>
  <c r="J281" i="1"/>
  <c r="J63" i="1" a="1"/>
  <c r="J63" i="1"/>
  <c r="J62" i="1" a="1"/>
  <c r="J62" i="1"/>
  <c r="J259" i="1" a="1"/>
  <c r="J259" i="1"/>
  <c r="J258" i="1" a="1"/>
  <c r="J258" i="1"/>
  <c r="J257" i="1" a="1"/>
  <c r="J257" i="1"/>
  <c r="J218" i="1" a="1"/>
  <c r="J218" i="1"/>
  <c r="J217" i="1" a="1"/>
  <c r="J217" i="1"/>
  <c r="J195" i="1" a="1"/>
  <c r="J195" i="1"/>
  <c r="J196" i="1" a="1"/>
  <c r="J196" i="1"/>
  <c r="J191" i="1" a="1"/>
  <c r="J191" i="1"/>
  <c r="J190" i="1" a="1"/>
  <c r="J190" i="1"/>
  <c r="J179" i="1" a="1"/>
  <c r="J179" i="1"/>
  <c r="J180" i="1" a="1"/>
  <c r="J180" i="1"/>
  <c r="J151" i="1" a="1"/>
  <c r="J151" i="1"/>
  <c r="J150" i="1" a="1"/>
  <c r="J150" i="1"/>
  <c r="J101" i="1" a="1"/>
  <c r="J101" i="1"/>
  <c r="J100" i="1" a="1"/>
  <c r="J100" i="1"/>
  <c r="J75" i="1" a="1"/>
  <c r="J75" i="1"/>
  <c r="J74" i="1" a="1"/>
  <c r="J74" i="1"/>
  <c r="J49" i="1" l="1" a="1"/>
  <c r="J49" i="1"/>
  <c r="J48" i="1" a="1"/>
  <c r="J48" i="1"/>
  <c r="B146" i="10" l="1"/>
  <c r="B144" i="10"/>
  <c r="B142" i="10"/>
  <c r="B140" i="10"/>
  <c r="B138" i="10"/>
  <c r="B136" i="10"/>
  <c r="B134" i="10"/>
  <c r="B132" i="10"/>
  <c r="B129" i="10"/>
  <c r="B127" i="10"/>
  <c r="B125" i="10"/>
  <c r="B123" i="10"/>
  <c r="B121" i="10"/>
  <c r="B119" i="10"/>
  <c r="B99" i="10"/>
  <c r="B97" i="10"/>
  <c r="B95" i="10"/>
  <c r="B93" i="10"/>
  <c r="B91" i="10"/>
  <c r="B89" i="10"/>
  <c r="B87" i="10"/>
  <c r="B85" i="10"/>
  <c r="B82" i="10"/>
  <c r="B80" i="10"/>
  <c r="B78" i="10"/>
  <c r="B76" i="10"/>
  <c r="B74" i="10"/>
  <c r="B72" i="10"/>
  <c r="BA21" i="10" l="1"/>
  <c r="AZ21" i="10"/>
  <c r="AY21" i="10"/>
  <c r="AX21" i="10"/>
  <c r="BB21" i="10" s="1"/>
  <c r="AS21" i="10"/>
  <c r="AV21" i="10"/>
  <c r="AU21" i="10"/>
  <c r="AT21" i="10"/>
  <c r="AQ21" i="10"/>
  <c r="AP21" i="10"/>
  <c r="AO21" i="10"/>
  <c r="AR21" i="10"/>
  <c r="X52" i="10"/>
  <c r="X50" i="10"/>
  <c r="X48" i="10"/>
  <c r="X46" i="10"/>
  <c r="X44" i="10"/>
  <c r="X42" i="10"/>
  <c r="X40" i="10"/>
  <c r="X38" i="10"/>
  <c r="X35" i="10"/>
  <c r="X33" i="10"/>
  <c r="X31" i="10"/>
  <c r="X29" i="10"/>
  <c r="X27" i="10"/>
  <c r="X25" i="10"/>
  <c r="S52" i="10"/>
  <c r="S50" i="10"/>
  <c r="S48" i="10"/>
  <c r="S46" i="10"/>
  <c r="S44" i="10"/>
  <c r="S42" i="10"/>
  <c r="S40" i="10"/>
  <c r="S38" i="10"/>
  <c r="S35" i="10"/>
  <c r="S33" i="10"/>
  <c r="S31" i="10"/>
  <c r="S29" i="10"/>
  <c r="S27" i="10"/>
  <c r="S25" i="10"/>
  <c r="N52" i="10"/>
  <c r="B52" i="10"/>
  <c r="N50" i="10"/>
  <c r="B50" i="10"/>
  <c r="N48" i="10"/>
  <c r="B48" i="10"/>
  <c r="N46" i="10"/>
  <c r="B46" i="10"/>
  <c r="N44" i="10"/>
  <c r="B44" i="10"/>
  <c r="N42" i="10"/>
  <c r="B42" i="10"/>
  <c r="N40" i="10"/>
  <c r="B40" i="10"/>
  <c r="N38" i="10"/>
  <c r="B38" i="10"/>
  <c r="N35" i="10"/>
  <c r="N33" i="10"/>
  <c r="N31" i="10"/>
  <c r="N29" i="10"/>
  <c r="N27" i="10"/>
  <c r="B35" i="10"/>
  <c r="B33" i="10"/>
  <c r="B31" i="10"/>
  <c r="B29" i="10"/>
  <c r="N25" i="10"/>
  <c r="B27" i="10"/>
  <c r="B25" i="10"/>
  <c r="B3" i="10"/>
  <c r="H7" i="10"/>
  <c r="H6" i="10"/>
  <c r="H280" i="1" l="1"/>
  <c r="H257" i="1"/>
  <c r="H216" i="1"/>
  <c r="H203" i="1"/>
  <c r="H194" i="1"/>
  <c r="H189" i="1"/>
  <c r="H183" i="1"/>
  <c r="H178" i="1"/>
  <c r="H149" i="1"/>
  <c r="H99" i="1"/>
  <c r="H96" i="1"/>
  <c r="H73" i="1"/>
  <c r="H61" i="1"/>
  <c r="H55" i="1"/>
  <c r="H47" i="1"/>
  <c r="H281" i="1"/>
  <c r="G281" i="1" s="1"/>
  <c r="H258" i="1"/>
  <c r="G258" i="1" s="1"/>
  <c r="H217" i="1"/>
  <c r="G217" i="1" s="1"/>
  <c r="H204" i="1"/>
  <c r="G204" i="1" s="1"/>
  <c r="H195" i="1"/>
  <c r="G195" i="1" s="1"/>
  <c r="H190" i="1"/>
  <c r="G190" i="1" s="1"/>
  <c r="H184" i="1"/>
  <c r="G184" i="1" s="1"/>
  <c r="H179" i="1"/>
  <c r="G179" i="1" s="1"/>
  <c r="H150" i="1"/>
  <c r="G150" i="1" s="1"/>
  <c r="H100" i="1"/>
  <c r="G100" i="1" s="1"/>
  <c r="H97" i="1"/>
  <c r="G97" i="1" s="1"/>
  <c r="H74" i="1"/>
  <c r="G74" i="1" s="1"/>
  <c r="H62" i="1"/>
  <c r="G62" i="1" s="1"/>
  <c r="H56" i="1"/>
  <c r="H48" i="1"/>
  <c r="G48" i="1" s="1"/>
  <c r="G257" i="1"/>
  <c r="F58" i="10"/>
  <c r="L59" i="10"/>
  <c r="L65" i="10" s="1"/>
  <c r="J59" i="10"/>
  <c r="J65" i="10" s="1"/>
  <c r="I59" i="10"/>
  <c r="F59" i="10"/>
  <c r="F65" i="10" s="1"/>
  <c r="AW21" i="10"/>
  <c r="B98" i="10"/>
  <c r="B96" i="10"/>
  <c r="B94" i="10"/>
  <c r="B92" i="10"/>
  <c r="B90" i="10"/>
  <c r="B88" i="10"/>
  <c r="B86" i="10"/>
  <c r="B84" i="10"/>
  <c r="B83" i="10"/>
  <c r="B81" i="10"/>
  <c r="B79" i="10"/>
  <c r="B77" i="10"/>
  <c r="B75" i="10"/>
  <c r="B73" i="10"/>
  <c r="B71" i="10"/>
  <c r="B70" i="10"/>
  <c r="B69" i="10"/>
  <c r="B68" i="10"/>
  <c r="B67" i="10"/>
  <c r="B66" i="10"/>
  <c r="B64" i="10"/>
  <c r="B63" i="10"/>
  <c r="B62" i="10"/>
  <c r="B61" i="10"/>
  <c r="B60" i="10"/>
  <c r="AB12" i="10"/>
  <c r="AB18" i="10" s="1"/>
  <c r="AA12" i="10"/>
  <c r="AA18" i="10" s="1"/>
  <c r="Z12" i="10"/>
  <c r="Z18" i="10" s="1"/>
  <c r="Y12" i="10"/>
  <c r="Y11" i="10" s="1"/>
  <c r="W12" i="10"/>
  <c r="V12" i="10"/>
  <c r="F11" i="10"/>
  <c r="W18" i="10"/>
  <c r="V18" i="10"/>
  <c r="U12" i="10"/>
  <c r="U18" i="10" s="1"/>
  <c r="T12" i="10"/>
  <c r="T11" i="10" s="1"/>
  <c r="R12" i="10"/>
  <c r="R18" i="10" s="1"/>
  <c r="Q12" i="10"/>
  <c r="Q18" i="10" s="1"/>
  <c r="P12" i="10"/>
  <c r="P18" i="10" s="1"/>
  <c r="O12" i="10"/>
  <c r="L12" i="10"/>
  <c r="J12" i="10"/>
  <c r="I12" i="10"/>
  <c r="F12" i="10"/>
  <c r="G56" i="1" l="1"/>
  <c r="D136" i="7"/>
  <c r="B136" i="7"/>
  <c r="D63" i="7"/>
  <c r="B63" i="7"/>
  <c r="D70" i="7"/>
  <c r="B70" i="7"/>
  <c r="D78" i="7"/>
  <c r="B78" i="7"/>
  <c r="D81" i="7"/>
  <c r="B81" i="7"/>
  <c r="D110" i="7"/>
  <c r="B110" i="7"/>
  <c r="D127" i="7"/>
  <c r="B127" i="7"/>
  <c r="D131" i="7"/>
  <c r="B131" i="7"/>
  <c r="D139" i="7"/>
  <c r="B139" i="7"/>
  <c r="D143" i="7"/>
  <c r="B143" i="7"/>
  <c r="D155" i="7"/>
  <c r="B155" i="7"/>
  <c r="D183" i="7"/>
  <c r="B183" i="7"/>
  <c r="D197" i="7"/>
  <c r="B197" i="7"/>
  <c r="I65" i="10"/>
  <c r="D58" i="7"/>
  <c r="B58" i="7"/>
  <c r="D51" i="7"/>
  <c r="B51" i="7"/>
  <c r="B22" i="10"/>
  <c r="Y18" i="10"/>
  <c r="X51" i="10"/>
  <c r="X49" i="10"/>
  <c r="X47" i="10"/>
  <c r="X45" i="10"/>
  <c r="X43" i="10"/>
  <c r="X41" i="10"/>
  <c r="X39" i="10"/>
  <c r="X37" i="10"/>
  <c r="X36" i="10"/>
  <c r="X34" i="10"/>
  <c r="X32" i="10"/>
  <c r="X30" i="10"/>
  <c r="X28" i="10"/>
  <c r="X26" i="10"/>
  <c r="X24" i="10"/>
  <c r="X23" i="10"/>
  <c r="X22" i="10"/>
  <c r="X21" i="10"/>
  <c r="X20" i="10"/>
  <c r="X19" i="10"/>
  <c r="X17" i="10"/>
  <c r="X16" i="10"/>
  <c r="X15" i="10"/>
  <c r="X14" i="10"/>
  <c r="X13" i="10"/>
  <c r="O18" i="10"/>
  <c r="N36" i="10"/>
  <c r="N22" i="10"/>
  <c r="O11" i="10"/>
  <c r="T18" i="10"/>
  <c r="S51" i="10"/>
  <c r="S49" i="10"/>
  <c r="S47" i="10"/>
  <c r="S45" i="10"/>
  <c r="S43" i="10"/>
  <c r="S41" i="10"/>
  <c r="S39" i="10"/>
  <c r="S37" i="10"/>
  <c r="S36" i="10"/>
  <c r="S22" i="10"/>
  <c r="S34" i="10"/>
  <c r="S32" i="10"/>
  <c r="S30" i="10"/>
  <c r="S28" i="10"/>
  <c r="S26" i="10"/>
  <c r="S24" i="10"/>
  <c r="S23" i="10"/>
  <c r="S21" i="10"/>
  <c r="S20" i="10"/>
  <c r="S19" i="10"/>
  <c r="S17" i="10"/>
  <c r="S16" i="10"/>
  <c r="S15" i="10"/>
  <c r="S14" i="10"/>
  <c r="S13" i="10"/>
  <c r="B51" i="10"/>
  <c r="B49" i="10"/>
  <c r="B47" i="10"/>
  <c r="B45" i="10"/>
  <c r="B43" i="10"/>
  <c r="B41" i="10"/>
  <c r="B26" i="10"/>
  <c r="B19" i="10"/>
  <c r="N51" i="10"/>
  <c r="J99" i="1" s="1" a="1"/>
  <c r="J99" i="1" s="1"/>
  <c r="G99" i="1" s="1"/>
  <c r="N49" i="10"/>
  <c r="N47" i="10"/>
  <c r="J194" i="1" s="1" a="1"/>
  <c r="J194" i="1" s="1"/>
  <c r="G194" i="1" s="1"/>
  <c r="N45" i="10"/>
  <c r="J216" i="1" s="1" a="1"/>
  <c r="J216" i="1" s="1"/>
  <c r="G216" i="1" s="1"/>
  <c r="N43" i="10"/>
  <c r="J183" i="1" s="1" a="1"/>
  <c r="J183" i="1" s="1"/>
  <c r="N41" i="10"/>
  <c r="J149" i="1" s="1" a="1"/>
  <c r="J149" i="1" s="1"/>
  <c r="G149" i="1" s="1"/>
  <c r="N26" i="10"/>
  <c r="N19" i="10"/>
  <c r="N14" i="10"/>
  <c r="B39" i="10"/>
  <c r="B37" i="10"/>
  <c r="B36" i="10"/>
  <c r="B34" i="10"/>
  <c r="B32" i="10"/>
  <c r="B30" i="10"/>
  <c r="B28" i="10"/>
  <c r="B24" i="10"/>
  <c r="B23" i="10"/>
  <c r="B21" i="10"/>
  <c r="B20" i="10"/>
  <c r="B17" i="10"/>
  <c r="B16" i="10"/>
  <c r="B15" i="10"/>
  <c r="B14" i="10"/>
  <c r="B13" i="10"/>
  <c r="N39" i="10"/>
  <c r="J178" i="1" s="1" a="1"/>
  <c r="J178" i="1" s="1"/>
  <c r="G178" i="1" s="1"/>
  <c r="N37" i="10"/>
  <c r="J189" i="1" s="1" a="1"/>
  <c r="J189" i="1" s="1"/>
  <c r="G189" i="1" s="1"/>
  <c r="N34" i="10"/>
  <c r="J280" i="1" s="1" a="1"/>
  <c r="J280" i="1" s="1"/>
  <c r="G280" i="1" s="1"/>
  <c r="N32" i="10"/>
  <c r="J61" i="1" s="1" a="1"/>
  <c r="J61" i="1" s="1"/>
  <c r="G61" i="1" s="1"/>
  <c r="N30" i="10"/>
  <c r="N28" i="10"/>
  <c r="N24" i="10"/>
  <c r="N23" i="10"/>
  <c r="N21" i="10"/>
  <c r="N20" i="10"/>
  <c r="N17" i="10"/>
  <c r="N16" i="10"/>
  <c r="N15" i="10"/>
  <c r="N13" i="10"/>
  <c r="B8" i="10"/>
  <c r="H8" i="10"/>
  <c r="E55" i="10" l="1"/>
  <c r="Y55" i="10"/>
  <c r="T55" i="10"/>
  <c r="O55" i="10"/>
  <c r="H49" i="1"/>
  <c r="H282" i="1"/>
  <c r="H259" i="1"/>
  <c r="H218" i="1"/>
  <c r="H205" i="1"/>
  <c r="H196" i="1"/>
  <c r="H191" i="1"/>
  <c r="H185" i="1"/>
  <c r="H180" i="1"/>
  <c r="H151" i="1"/>
  <c r="H101" i="1"/>
  <c r="H98" i="1"/>
  <c r="H75" i="1"/>
  <c r="H63" i="1"/>
  <c r="H57" i="1"/>
  <c r="D148" i="7"/>
  <c r="B148" i="7"/>
  <c r="E149" i="10"/>
  <c r="E102" i="10"/>
  <c r="J96" i="1" a="1"/>
  <c r="J96" i="1" s="1"/>
  <c r="J203" i="1" a="1"/>
  <c r="J203" i="1" s="1"/>
  <c r="G203" i="1" s="1"/>
  <c r="J55" i="1" a="1"/>
  <c r="J55" i="1" s="1"/>
  <c r="L106" i="10"/>
  <c r="J106" i="10"/>
  <c r="I106" i="10"/>
  <c r="F106" i="10"/>
  <c r="F105" i="10"/>
  <c r="G282" i="1"/>
  <c r="G259" i="1"/>
  <c r="G218" i="1"/>
  <c r="G205" i="1"/>
  <c r="G196" i="1"/>
  <c r="G191" i="1"/>
  <c r="G180" i="1"/>
  <c r="G185" i="1"/>
  <c r="G151" i="1"/>
  <c r="G101" i="1"/>
  <c r="G98" i="1"/>
  <c r="G75" i="1"/>
  <c r="G63" i="1"/>
  <c r="G49" i="1"/>
  <c r="D196" i="7"/>
  <c r="B196" i="7"/>
  <c r="J47" i="1" a="1"/>
  <c r="J47" i="1" s="1"/>
  <c r="G47" i="1" s="1"/>
  <c r="G57" i="1"/>
  <c r="D52" i="7"/>
  <c r="B52" i="7"/>
  <c r="L112" i="10"/>
  <c r="J112" i="10"/>
  <c r="I112" i="10"/>
  <c r="F112" i="10"/>
  <c r="G183" i="1"/>
  <c r="G55" i="1"/>
  <c r="J73" i="1" a="1"/>
  <c r="J73" i="1" s="1"/>
  <c r="G73" i="1" s="1"/>
  <c r="G96" i="1"/>
  <c r="B360" i="1"/>
  <c r="F303" i="1"/>
  <c r="B319" i="1"/>
  <c r="B318" i="1"/>
  <c r="B364" i="1"/>
  <c r="B362" i="1"/>
  <c r="B361" i="1"/>
  <c r="B358" i="1"/>
  <c r="B356" i="1"/>
  <c r="B354" i="1"/>
  <c r="B352" i="1"/>
  <c r="B348" i="1"/>
  <c r="B346" i="1"/>
  <c r="B342" i="1"/>
  <c r="B338" i="1"/>
  <c r="B336" i="1"/>
  <c r="B332" i="1"/>
  <c r="I317" i="1"/>
  <c r="C317" i="1"/>
  <c r="B316" i="1"/>
  <c r="B312" i="1"/>
  <c r="B311" i="1"/>
  <c r="B310" i="1"/>
  <c r="K309" i="1"/>
  <c r="C309" i="1"/>
  <c r="B308" i="1"/>
  <c r="B303" i="1"/>
  <c r="B302" i="1"/>
  <c r="M4" i="10"/>
  <c r="B30" i="7" s="1"/>
  <c r="B4" i="10"/>
  <c r="B24" i="1"/>
  <c r="B23" i="1"/>
  <c r="B20" i="1"/>
  <c r="B7" i="1"/>
  <c r="B249" i="7"/>
  <c r="B223" i="7"/>
  <c r="B205" i="7"/>
  <c r="B9" i="7"/>
  <c r="B5" i="7"/>
  <c r="C379" i="1" l="1"/>
  <c r="B297" i="1"/>
  <c r="D135" i="7"/>
  <c r="B135" i="7"/>
  <c r="D149" i="7"/>
  <c r="B149" i="7"/>
  <c r="D64" i="7"/>
  <c r="B64" i="7"/>
  <c r="D71" i="7"/>
  <c r="B71" i="7"/>
  <c r="D79" i="7"/>
  <c r="B79" i="7"/>
  <c r="D82" i="7"/>
  <c r="B82" i="7"/>
  <c r="D111" i="7"/>
  <c r="B111" i="7"/>
  <c r="D128" i="7"/>
  <c r="B128" i="7"/>
  <c r="D132" i="7"/>
  <c r="B132" i="7"/>
  <c r="D140" i="7"/>
  <c r="B140" i="7"/>
  <c r="D144" i="7"/>
  <c r="B144" i="7"/>
  <c r="D156" i="7"/>
  <c r="B156" i="7"/>
  <c r="D184" i="7"/>
  <c r="B184" i="7"/>
  <c r="D59" i="7"/>
  <c r="B59" i="7"/>
  <c r="B131" i="10"/>
  <c r="B145" i="10"/>
  <c r="B143" i="10"/>
  <c r="B141" i="10"/>
  <c r="B139" i="10"/>
  <c r="B137" i="10"/>
  <c r="B135" i="10"/>
  <c r="B133" i="10"/>
  <c r="B130" i="10"/>
  <c r="B128" i="10"/>
  <c r="B126" i="10"/>
  <c r="B124" i="10"/>
  <c r="B122" i="10"/>
  <c r="B120" i="10"/>
  <c r="B118" i="10"/>
  <c r="B117" i="10"/>
  <c r="B116" i="10"/>
  <c r="B115" i="10"/>
  <c r="B114" i="10"/>
  <c r="B113" i="10"/>
  <c r="B111" i="10"/>
  <c r="B110" i="10"/>
  <c r="B109" i="10"/>
  <c r="B108" i="10"/>
  <c r="B107" i="10"/>
  <c r="L18" i="10"/>
  <c r="J18" i="10"/>
  <c r="I18" i="10"/>
  <c r="Q24" i="1"/>
  <c r="Q23" i="1"/>
  <c r="F18" i="10" l="1"/>
  <c r="D38" i="7"/>
  <c r="B38" i="7"/>
  <c r="D37" i="7"/>
  <c r="B37" i="7"/>
  <c r="I15" i="1"/>
  <c r="C15" i="1"/>
  <c r="B15" i="1"/>
  <c r="I14" i="1"/>
  <c r="I13" i="1"/>
  <c r="C14" i="1"/>
  <c r="C13" i="1"/>
  <c r="B13" i="1"/>
  <c r="B4" i="3" l="1"/>
  <c r="B135" i="1"/>
  <c r="B125" i="1"/>
  <c r="D108" i="7" l="1"/>
  <c r="D61" i="7" l="1"/>
  <c r="B33" i="7"/>
  <c r="B34" i="7"/>
  <c r="B35" i="7"/>
  <c r="B182" i="7"/>
  <c r="B154" i="7"/>
  <c r="B138" i="7"/>
  <c r="B61" i="7"/>
  <c r="B142" i="7" l="1"/>
  <c r="B198" i="7"/>
  <c r="B62" i="7"/>
  <c r="B50" i="7"/>
  <c r="B147" i="7"/>
  <c r="D56" i="7"/>
  <c r="B56" i="7"/>
  <c r="D55" i="7"/>
  <c r="B55" i="7"/>
  <c r="B109" i="7"/>
  <c r="B57" i="7" l="1"/>
  <c r="B69" i="7"/>
  <c r="I159" i="1" l="1"/>
  <c r="D163" i="7" l="1"/>
  <c r="B163" i="7"/>
  <c r="D162" i="7"/>
  <c r="B162" i="7"/>
  <c r="D160" i="7"/>
  <c r="B160" i="7"/>
  <c r="I157" i="1" l="1"/>
  <c r="I129" i="1"/>
  <c r="E3" i="1" l="1"/>
  <c r="B2" i="1"/>
  <c r="I239" i="1" l="1"/>
  <c r="I230" i="1"/>
  <c r="I229" i="1"/>
  <c r="I147" i="1"/>
  <c r="I95" i="1"/>
  <c r="I220" i="1"/>
  <c r="I228" i="1"/>
  <c r="I234" i="1"/>
  <c r="I89" i="1"/>
  <c r="I32" i="1"/>
  <c r="I26" i="1"/>
  <c r="I94" i="1"/>
  <c r="I93" i="1"/>
  <c r="I34" i="1"/>
  <c r="I148" i="1"/>
  <c r="I260" i="1"/>
  <c r="I251" i="1"/>
  <c r="H233" i="1"/>
  <c r="H227" i="1"/>
  <c r="I213" i="1"/>
  <c r="I223" i="1"/>
  <c r="I114" i="1"/>
  <c r="I112" i="1"/>
  <c r="I113" i="1"/>
  <c r="C3" i="9" l="1"/>
  <c r="B3" i="9"/>
  <c r="I142" i="1" l="1"/>
  <c r="I140" i="1"/>
  <c r="I131" i="1"/>
  <c r="B36" i="8" l="1"/>
  <c r="I200" i="1" l="1"/>
  <c r="I215" i="1"/>
  <c r="I214" i="1"/>
  <c r="N23" i="3"/>
  <c r="B37" i="8" l="1"/>
  <c r="B38" i="8"/>
  <c r="H38" i="8"/>
  <c r="H37" i="8"/>
  <c r="G6" i="8" l="1"/>
  <c r="F64" i="8"/>
  <c r="B73" i="8"/>
  <c r="E70" i="8"/>
  <c r="E69" i="8"/>
  <c r="E68" i="8"/>
  <c r="E67" i="8"/>
  <c r="E66" i="8"/>
  <c r="E65" i="8"/>
  <c r="H39" i="8"/>
  <c r="H36" i="8"/>
  <c r="H35" i="8"/>
  <c r="B35" i="8"/>
  <c r="H34" i="8"/>
  <c r="B34" i="8"/>
  <c r="H31" i="8"/>
  <c r="R30" i="8"/>
  <c r="Q30" i="8"/>
  <c r="P30" i="8"/>
  <c r="O30" i="8"/>
  <c r="B26" i="8"/>
  <c r="M16" i="8"/>
  <c r="G13" i="8"/>
  <c r="B13" i="8"/>
  <c r="B295" i="1" l="1"/>
  <c r="B76" i="7"/>
  <c r="D45" i="7"/>
  <c r="B45" i="7"/>
  <c r="C163" i="1"/>
  <c r="C162" i="1"/>
  <c r="C161" i="1"/>
  <c r="C160" i="1"/>
  <c r="B333" i="1"/>
  <c r="B339" i="1"/>
  <c r="B343" i="1"/>
  <c r="B349" i="1"/>
  <c r="D35" i="7"/>
  <c r="D34" i="7"/>
  <c r="B305" i="1"/>
  <c r="B273" i="7"/>
  <c r="B267" i="7"/>
  <c r="AH3" i="3"/>
  <c r="AH4" i="3" s="1"/>
  <c r="B163" i="1"/>
  <c r="B162" i="1"/>
  <c r="B161" i="1"/>
  <c r="B160" i="1"/>
  <c r="C159" i="1"/>
  <c r="B159" i="1"/>
  <c r="B158" i="1"/>
  <c r="C157" i="1"/>
  <c r="B157" i="1"/>
  <c r="B156" i="1"/>
  <c r="B140" i="1"/>
  <c r="B142" i="1"/>
  <c r="B139" i="1"/>
  <c r="B138" i="1"/>
  <c r="I136" i="1"/>
  <c r="B136" i="1"/>
  <c r="B131" i="1"/>
  <c r="B130" i="1"/>
  <c r="B129" i="1"/>
  <c r="B126" i="1"/>
  <c r="B128" i="1"/>
  <c r="I126" i="1"/>
  <c r="D33" i="7"/>
  <c r="B261" i="7"/>
  <c r="B256" i="7"/>
  <c r="B32" i="7"/>
  <c r="D32" i="7"/>
  <c r="D200" i="7"/>
  <c r="D199" i="7"/>
  <c r="D195" i="7"/>
  <c r="D194" i="7"/>
  <c r="D193" i="7"/>
  <c r="D192" i="7"/>
  <c r="D191" i="7"/>
  <c r="D190" i="7"/>
  <c r="D189" i="7"/>
  <c r="D188" i="7"/>
  <c r="D187" i="7"/>
  <c r="D186" i="7"/>
  <c r="D185" i="7"/>
  <c r="D181" i="7"/>
  <c r="D180" i="7"/>
  <c r="D178" i="7"/>
  <c r="D177" i="7"/>
  <c r="D175" i="7"/>
  <c r="D174" i="7"/>
  <c r="D173" i="7"/>
  <c r="D172" i="7"/>
  <c r="D171" i="7"/>
  <c r="D170" i="7"/>
  <c r="D168" i="7"/>
  <c r="D167" i="7"/>
  <c r="D166" i="7"/>
  <c r="D165" i="7"/>
  <c r="D164" i="7"/>
  <c r="D161" i="7"/>
  <c r="D159" i="7"/>
  <c r="D158" i="7"/>
  <c r="D157" i="7"/>
  <c r="D153" i="7"/>
  <c r="D152" i="7"/>
  <c r="D151" i="7"/>
  <c r="D150" i="7"/>
  <c r="D146" i="7"/>
  <c r="D145" i="7"/>
  <c r="D141" i="7"/>
  <c r="D137" i="7"/>
  <c r="D129" i="7"/>
  <c r="D118" i="7"/>
  <c r="D117" i="7"/>
  <c r="D116" i="7"/>
  <c r="D115" i="7"/>
  <c r="D114" i="7"/>
  <c r="D113" i="7"/>
  <c r="D112" i="7"/>
  <c r="D107" i="7"/>
  <c r="D106" i="7"/>
  <c r="D105" i="7"/>
  <c r="D103" i="7"/>
  <c r="D102" i="7"/>
  <c r="D101" i="7"/>
  <c r="D100" i="7"/>
  <c r="D98" i="7"/>
  <c r="D97" i="7"/>
  <c r="D96" i="7"/>
  <c r="D95" i="7"/>
  <c r="D94" i="7"/>
  <c r="D93" i="7"/>
  <c r="D92" i="7"/>
  <c r="D91" i="7"/>
  <c r="D90" i="7"/>
  <c r="D89" i="7"/>
  <c r="D88" i="7"/>
  <c r="D87" i="7"/>
  <c r="D86" i="7"/>
  <c r="D85" i="7"/>
  <c r="D84" i="7"/>
  <c r="D83" i="7"/>
  <c r="D76" i="7"/>
  <c r="D75" i="7"/>
  <c r="D74" i="7"/>
  <c r="D73" i="7"/>
  <c r="D72" i="7"/>
  <c r="D68" i="7"/>
  <c r="D54" i="7"/>
  <c r="D49" i="7"/>
  <c r="D48" i="7"/>
  <c r="D47" i="7"/>
  <c r="D46" i="7"/>
  <c r="D44" i="7"/>
  <c r="D39" i="7"/>
  <c r="D42" i="7"/>
  <c r="D43" i="7"/>
  <c r="D41" i="7"/>
  <c r="D40" i="7"/>
  <c r="B200" i="7"/>
  <c r="B199" i="7"/>
  <c r="B195" i="7"/>
  <c r="B194" i="7"/>
  <c r="B193" i="7"/>
  <c r="B192" i="7"/>
  <c r="B191" i="7"/>
  <c r="B190" i="7"/>
  <c r="B189" i="7"/>
  <c r="B188" i="7"/>
  <c r="B187" i="7"/>
  <c r="B186" i="7"/>
  <c r="B185" i="7"/>
  <c r="B181" i="7"/>
  <c r="B180" i="7"/>
  <c r="B178" i="7"/>
  <c r="B177" i="7"/>
  <c r="B175" i="7"/>
  <c r="B174" i="7"/>
  <c r="B173" i="7"/>
  <c r="B172" i="7"/>
  <c r="B171" i="7"/>
  <c r="B170" i="7"/>
  <c r="B168" i="7"/>
  <c r="B167" i="7"/>
  <c r="B166" i="7"/>
  <c r="B165" i="7"/>
  <c r="B164" i="7"/>
  <c r="B161" i="7"/>
  <c r="B159" i="7"/>
  <c r="B158" i="7"/>
  <c r="B157" i="7"/>
  <c r="B153" i="7"/>
  <c r="B152" i="7"/>
  <c r="B151" i="7"/>
  <c r="B150" i="7"/>
  <c r="B146" i="7"/>
  <c r="B145" i="7"/>
  <c r="B141" i="7"/>
  <c r="B137" i="7"/>
  <c r="B129" i="7"/>
  <c r="B118" i="7"/>
  <c r="B117" i="7"/>
  <c r="B116" i="7"/>
  <c r="B115" i="7"/>
  <c r="B114" i="7"/>
  <c r="B113" i="7"/>
  <c r="B112" i="7"/>
  <c r="B108" i="7"/>
  <c r="B107" i="7"/>
  <c r="B106" i="7"/>
  <c r="B105" i="7"/>
  <c r="B104" i="7"/>
  <c r="B103" i="7"/>
  <c r="B102" i="7"/>
  <c r="B101" i="7"/>
  <c r="B100" i="7"/>
  <c r="B98" i="7"/>
  <c r="B97" i="7"/>
  <c r="B96" i="7"/>
  <c r="B95" i="7"/>
  <c r="B94" i="7"/>
  <c r="B93" i="7"/>
  <c r="B92" i="7"/>
  <c r="B91" i="7"/>
  <c r="B90" i="7"/>
  <c r="B89" i="7"/>
  <c r="B88" i="7"/>
  <c r="B87" i="7"/>
  <c r="B86" i="7"/>
  <c r="B85" i="7"/>
  <c r="B84" i="7"/>
  <c r="B83" i="7"/>
  <c r="B75" i="7"/>
  <c r="B74" i="7"/>
  <c r="B73" i="7"/>
  <c r="B72" i="7"/>
  <c r="B68" i="7"/>
  <c r="B54" i="7"/>
  <c r="B49" i="7"/>
  <c r="B48" i="7"/>
  <c r="B47" i="7"/>
  <c r="B46" i="7"/>
  <c r="B44" i="7"/>
  <c r="B39" i="7"/>
  <c r="B42" i="7"/>
  <c r="B43" i="7"/>
  <c r="B41" i="7"/>
  <c r="B40" i="7"/>
  <c r="B36" i="7"/>
  <c r="D36" i="7"/>
  <c r="AJ3" i="3"/>
  <c r="AJ2" i="3"/>
  <c r="AE3" i="3"/>
  <c r="AE2" i="3"/>
  <c r="AH133" i="3"/>
  <c r="AH5" i="3" l="1"/>
  <c r="AH6" i="3" s="1"/>
  <c r="AH7" i="3" l="1"/>
  <c r="AH10" i="3" s="1"/>
  <c r="AH11" i="3" l="1"/>
  <c r="AH12" i="3" l="1"/>
  <c r="AH13" i="3" l="1"/>
  <c r="AH14" i="3" s="1"/>
  <c r="AH15" i="3" l="1"/>
  <c r="AH16" i="3" s="1"/>
  <c r="AH17" i="3" l="1"/>
  <c r="AH18" i="3" s="1"/>
  <c r="AH19" i="3" s="1"/>
  <c r="AH20" i="3" s="1"/>
  <c r="AH21" i="3" l="1"/>
  <c r="AH22" i="3" s="1"/>
  <c r="AH23" i="3" s="1"/>
  <c r="AH24" i="3" l="1"/>
  <c r="AH25" i="3" s="1"/>
  <c r="AH26" i="3" s="1"/>
  <c r="AH27" i="3" s="1"/>
  <c r="AH28" i="3" s="1"/>
  <c r="AH29" i="3" s="1"/>
  <c r="AH30" i="3" s="1"/>
  <c r="AH31" i="3" s="1"/>
  <c r="AH32" i="3" s="1"/>
  <c r="AH33" i="3" s="1"/>
  <c r="AH34" i="3" s="1"/>
  <c r="AH35" i="3" s="1"/>
  <c r="AH36" i="3" s="1"/>
  <c r="AH37" i="3" s="1"/>
  <c r="AH38" i="3" s="1"/>
  <c r="AH39" i="3" s="1"/>
  <c r="AH40" i="3" s="1"/>
  <c r="AH41" i="3" s="1"/>
  <c r="AH42" i="3" s="1"/>
  <c r="AH43" i="3" s="1"/>
  <c r="AH44" i="3" s="1"/>
  <c r="AH45" i="3" s="1"/>
  <c r="AH46" i="3" s="1"/>
  <c r="AH47" i="3" s="1"/>
  <c r="AH48" i="3" s="1"/>
  <c r="AH49" i="3" s="1"/>
  <c r="AH50" i="3" s="1"/>
  <c r="AH51" i="3" s="1"/>
  <c r="AH52" i="3" s="1"/>
  <c r="AH53" i="3" s="1"/>
  <c r="AH54" i="3" s="1"/>
  <c r="AH55" i="3" s="1"/>
  <c r="AH56" i="3" s="1"/>
  <c r="AH57" i="3" s="1"/>
  <c r="AH58" i="3" s="1"/>
  <c r="AH59" i="3" s="1"/>
  <c r="AH60" i="3" s="1"/>
  <c r="AH61" i="3" s="1"/>
  <c r="AH62" i="3" s="1"/>
  <c r="AH63" i="3" s="1"/>
  <c r="AH64" i="3" s="1"/>
  <c r="AH65" i="3" s="1"/>
  <c r="AH66" i="3" s="1"/>
  <c r="AH67" i="3" s="1"/>
  <c r="AH68" i="3" s="1"/>
  <c r="AH69" i="3" s="1"/>
  <c r="AH70" i="3" s="1"/>
  <c r="AH71" i="3" s="1"/>
  <c r="AH72" i="3" s="1"/>
  <c r="AH73" i="3" s="1"/>
  <c r="AH74" i="3" s="1"/>
  <c r="AH75" i="3" s="1"/>
  <c r="AH76" i="3" s="1"/>
  <c r="AH77" i="3" s="1"/>
  <c r="AH78" i="3" s="1"/>
  <c r="AH79" i="3" s="1"/>
  <c r="AH80" i="3" s="1"/>
  <c r="AH81" i="3" s="1"/>
  <c r="AH82" i="3" s="1"/>
  <c r="AH83" i="3" s="1"/>
  <c r="AH84" i="3" s="1"/>
  <c r="AH85" i="3" s="1"/>
  <c r="AH86" i="3" s="1"/>
  <c r="AH87" i="3" s="1"/>
  <c r="AH88" i="3" s="1"/>
  <c r="AH89" i="3" s="1"/>
  <c r="AH90" i="3" s="1"/>
  <c r="AH91" i="3" s="1"/>
  <c r="AH92" i="3" s="1"/>
  <c r="AH93" i="3" s="1"/>
  <c r="AH94" i="3" s="1"/>
  <c r="AH95" i="3" s="1"/>
  <c r="AH96" i="3" s="1"/>
  <c r="AH97" i="3" s="1"/>
  <c r="AH98" i="3" s="1"/>
  <c r="AH99" i="3" s="1"/>
  <c r="AH100" i="3" s="1"/>
  <c r="AH101" i="3" s="1"/>
  <c r="AH102" i="3" s="1"/>
  <c r="AH103" i="3" s="1"/>
  <c r="AH104" i="3" s="1"/>
  <c r="AH105" i="3" s="1"/>
  <c r="AH106" i="3" s="1"/>
  <c r="AH107" i="3" s="1"/>
  <c r="AH108" i="3" s="1"/>
  <c r="AH109" i="3" s="1"/>
  <c r="AH110" i="3" s="1"/>
  <c r="AH111" i="3" s="1"/>
  <c r="AH112" i="3" s="1"/>
  <c r="AH113" i="3" s="1"/>
  <c r="AH114" i="3" s="1"/>
  <c r="AH115" i="3" s="1"/>
  <c r="AH116" i="3" s="1"/>
  <c r="AH117" i="3" s="1"/>
  <c r="AH118" i="3" s="1"/>
  <c r="AH119" i="3" s="1"/>
  <c r="AH120" i="3" s="1"/>
  <c r="AH121" i="3" s="1"/>
  <c r="AH122" i="3" s="1"/>
  <c r="AH123" i="3" s="1"/>
  <c r="AH124" i="3" s="1"/>
  <c r="AH125" i="3" s="1"/>
  <c r="AH126" i="3" s="1"/>
  <c r="AH127" i="3" s="1"/>
  <c r="AH128" i="3" s="1"/>
  <c r="AH129" i="3" s="1"/>
  <c r="AH130" i="3" s="1"/>
  <c r="AH131" i="3" s="1"/>
  <c r="AH132" i="3" s="1"/>
  <c r="B77" i="7" l="1"/>
  <c r="B130" i="7"/>
  <c r="B80" i="7"/>
  <c r="B126" i="7"/>
  <c r="D57" i="7" l="1"/>
  <c r="D77" i="7"/>
  <c r="D147" i="7"/>
  <c r="D80" i="7"/>
  <c r="D198" i="7"/>
  <c r="D138" i="7"/>
  <c r="D126" i="7"/>
  <c r="D69" i="7"/>
  <c r="D50" i="7"/>
  <c r="D62" i="7"/>
  <c r="D109" i="7"/>
  <c r="D130" i="7"/>
  <c r="D142" i="7"/>
  <c r="D154" i="7"/>
  <c r="D18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D14" authorId="0" shapeId="0" xr:uid="{00000000-0006-0000-0000-000001000000}">
      <text>
        <r>
          <rPr>
            <sz val="9"/>
            <color indexed="81"/>
            <rFont val="Tahoma"/>
            <family val="2"/>
          </rPr>
          <t xml:space="preserve">
Complete - No further documentation required
LSSR - Revisions/edits needed in the Letter of Review Self Study Report 
N/A - Not Applicable
</t>
        </r>
      </text>
    </comment>
    <comment ref="E14" authorId="0" shapeId="0" xr:uid="{00000000-0006-0000-0000-000002000000}">
      <text>
        <r>
          <rPr>
            <b/>
            <sz val="9"/>
            <color indexed="81"/>
            <rFont val="Tahoma"/>
            <family val="2"/>
          </rPr>
          <t xml:space="preserve">
</t>
        </r>
        <r>
          <rPr>
            <sz val="9"/>
            <color indexed="81"/>
            <rFont val="Tahoma"/>
            <family val="2"/>
          </rPr>
          <t xml:space="preserve">Complete - No further documentation required
LSSR - Revisions/edits needed in the Letter of Review Self Study Report 
N/A - Not Applicable
</t>
        </r>
      </text>
    </comment>
    <comment ref="B25" authorId="0" shapeId="0" xr:uid="{00000000-0006-0000-0000-000003000000}">
      <text>
        <r>
          <rPr>
            <b/>
            <sz val="8"/>
            <color indexed="81"/>
            <rFont val="Tahoma"/>
            <family val="2"/>
          </rPr>
          <t>Standard I.A. Sponsoring Institution</t>
        </r>
        <r>
          <rPr>
            <sz val="8"/>
            <color indexed="81"/>
            <rFont val="Tahoma"/>
            <family val="2"/>
          </rPr>
          <t xml:space="preserve">
A sponsoring institution must be at least one of the following, and must either award credit for the program or have an articulation agreement with an accredited post-secondary institution:
1. A post-secondary academic institution accredited by an institutional accrediting agency that is recognized by the U.S. Department of Education, and authorized under applicable law or other acceptable authority to provide a post-secondary program, which awards a minimum of a diploma/certificate at the completion of the program.
2. A foreign post-secondary academic institution acceptable to CAAHEP, which is authorized under applicable law or other acceptable authority to provide a postsecondary program, which awards a minimum of a certificate/diploma at the completion of the academic program.
3. A hospital, clinic or medical center accredited by a healthcare accrediting agency or equivalent that is recognized by the U.S. Department of Health and Human Services, and authorized under applicable law or other acceptable authority to provide healthcare, and authorized under applicable law or other acceptable authority to provide the post-secondary program, which awards a minimum of a diploma/certificate at the completion of the program.
4. A governmental (i.e., state, county, or municipal) educational or governmental medical service, and which is authorized by the State to provide initial educational programs, and authorized under applicable law or other acceptable authority to provide the post-secondary program, which awards a minimum of a diploma/certificate at the completion of the program.
5. A branch of the United States Armed Forces or other Federal agency, which awards a minimum of a certificate/diploma at the completion of the program.
</t>
        </r>
        <r>
          <rPr>
            <i/>
            <sz val="8"/>
            <color indexed="81"/>
            <rFont val="Tahoma"/>
            <family val="2"/>
          </rPr>
          <t xml:space="preserve"> For a distance education program, the location of program is the mailing address of the sponsor</t>
        </r>
        <r>
          <rPr>
            <sz val="9"/>
            <color indexed="81"/>
            <rFont val="Tahoma"/>
            <family val="2"/>
          </rPr>
          <t xml:space="preserve">
</t>
        </r>
      </text>
    </comment>
    <comment ref="B27" authorId="0" shapeId="0" xr:uid="{00000000-0006-0000-0000-000004000000}">
      <text>
        <r>
          <rPr>
            <sz val="9"/>
            <color indexed="81"/>
            <rFont val="Tahoma"/>
            <family val="2"/>
          </rPr>
          <t xml:space="preserve">
In the Reader Comments:
If the program holds valid institutional accreditation, include the year the current institutional accreditation status began and the year scheduled for the next review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wwg</author>
  </authors>
  <commentList>
    <comment ref="B42" authorId="0" shapeId="0" xr:uid="{00000000-0006-0000-0100-000001000000}">
      <text>
        <r>
          <rPr>
            <b/>
            <sz val="8"/>
            <color rgb="FF000000"/>
            <rFont val="Tahoma"/>
            <family val="2"/>
          </rPr>
          <t>The red triangle in the upper right corner signifies a comment.  It is revealed when the cursor is placed over the cell.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B11" authorId="0" shapeId="0" xr:uid="{00000000-0006-0000-0200-000001000000}">
      <text>
        <r>
          <rPr>
            <b/>
            <sz val="9"/>
            <color indexed="81"/>
            <rFont val="Tahoma"/>
            <family val="2"/>
          </rPr>
          <t xml:space="preserve">
Standard I.A. Sponsorship - Program Sponsor 
A program sponsor must be at least one of the following:
1. A post-secondary academic institution accredited by an institutional accrediting agency that is recognized by the U.S. Department of Education and must be authorized under applicable law or
other acceptable authority to provide a post-secondary program, which awards a minimum of a certificate at the completion of the program.
2. A post-secondary academic institution outside of the United States and its territories that is authorized under applicable law or other acceptable authority to provide a postsecondary program,
which awards a minimum of a certificate or equivalent at the completion of the academic program.
3. A hospital, clinic or medical center accredited by a healthcare accrediting agency or equivalent that is recognized by the U.S. Department of Health and Human Services and authorized under
applicable law to provide healthcare and authorized under applicable law to provide the postsecondary program, which awards a minimum of a certificate at the completion of the program.
4. A branch of the United States Armed Forces or a federal, state, or local governmental or municipal agency which awards a minimum of a certificate at the completion of the program.
5. A consortium, which is a group made up of two or more members that operate an educational program through a written agreement that outlines the expectations and responsibilities of each of the partners. At least one of the consortium partners must meet the requirements of a program sponsor set forth in I.A.1.- I.A.4.
    a. The consortium governing board must meet at least annually.
    Consortium does not refer to clinical affiliation agreements with the program sponsor.
</t>
        </r>
        <r>
          <rPr>
            <b/>
            <i/>
            <sz val="9"/>
            <color indexed="81"/>
            <rFont val="Tahoma"/>
            <family val="2"/>
          </rPr>
          <t>For a distance education program, the location of program is the mailing address of the sponsor.</t>
        </r>
      </text>
    </comment>
    <comment ref="C11" authorId="0" shapeId="0" xr:uid="{00000000-0006-0000-0200-000002000000}">
      <text>
        <r>
          <rPr>
            <b/>
            <sz val="9"/>
            <color rgb="FF000000"/>
            <rFont val="Tahoma"/>
            <family val="2"/>
          </rPr>
          <t xml:space="preserve">
Site Visitors should check cell D27 (row 27 column D) of the Executive Analyisis [EA] to verify the Reader and the SV Team agree on the Sponsorship of the program.  </t>
        </r>
        <r>
          <rPr>
            <sz val="9"/>
            <color rgb="FF000000"/>
            <rFont val="Tahoma"/>
            <family val="2"/>
          </rPr>
          <t xml:space="preserve">
</t>
        </r>
      </text>
    </comment>
    <comment ref="B13" authorId="0" shapeId="0" xr:uid="{BDEEFD5C-0F44-4A4C-A55A-1DAAE99F0EF6}">
      <text>
        <r>
          <rPr>
            <b/>
            <sz val="9"/>
            <color indexed="81"/>
            <rFont val="Tahoma"/>
            <family val="2"/>
          </rPr>
          <t xml:space="preserve">Standard I.A. Sponsorship - Program Sponsor 
A program sponsor must be at least one of the following:
1. A post-secondary academic institution accredited by an institutional accrediting agency that is recognized by the U.S. Department of Education and must be authorized under applicable law or other acceptable authority to provide a post-secondary program, which awards a minimum of a certificate at the completion of the program.
2. A post-secondary academic institution outside of the United States and its territories that is authorized under applicable law or other acceptable authority to provide a postsecondary program, which awards a minimum of a certificate or equivalent at the completion of the academic program.
3. A hospital, clinic or medical center accredited by a healthcare accrediting agency or equivalent that is recognized by the U.S. Department of Health and Human Services and authorized under applicable law to provide healthcare and authorized under applicable law to provide the postsecondary program, which awards a minimum of a certificate at the completion of the program.
4. A branch of the United States Armed Forces or a federal, state, or local governmental or municipal agency which awards a minimum of a certificate at the completion of the program.
5. A consortium, which is a group made up of two or more members that operate an educational program through a written agreement that outlines the expectations and responsibilities of each of the partners. At least one of the consortium partners must meet the requirements of a program sponsor set forth in I.A.1.- I.A.4.
    a. The consortium governing board must meet at least annually.
    Consortium does not refer to clinical affiliation agreements with the program sponsor.
</t>
        </r>
        <r>
          <rPr>
            <b/>
            <i/>
            <sz val="9"/>
            <color indexed="81"/>
            <rFont val="Tahoma"/>
            <family val="2"/>
          </rPr>
          <t>For a distance education program, the location of program is the mailing address of the sponsor.</t>
        </r>
        <r>
          <rPr>
            <sz val="9"/>
            <color indexed="81"/>
            <rFont val="Tahoma"/>
            <family val="2"/>
          </rPr>
          <t xml:space="preserve">
</t>
        </r>
      </text>
    </comment>
    <comment ref="B15" authorId="0" shapeId="0" xr:uid="{00000000-0006-0000-0200-000004000000}">
      <text>
        <r>
          <rPr>
            <b/>
            <sz val="9"/>
            <color indexed="81"/>
            <rFont val="Tahoma"/>
            <family val="2"/>
          </rPr>
          <t xml:space="preserve">Standard I.A. Sponsorship - Program Sponsor 
A program sponsor must be at least one of the following:
1. A post-secondary academic institution accredited by an institutional accrediting agency that is recognized by the U.S. Department of Education and must be authorized under applicable law or other acceptable authority to provide a post-secondary program, which awards a minimum of a certificate at the completion of the program.
2. A post-secondary academic institution outside of the United States and its territories that is authorized under applicable law or other acceptable authority to provide a postsecondary program, which awards a minimum of a certificate or equivalent at the completion of the academic program.
3. A hospital, clinic or medical center accredited by a healthcare accrediting agency or equivalent that is recognized by the U.S. Department of Health and Human Services and authorized under applicable law to provide healthcare and authorized under applicable law to provide the postsecondary program, which awards a minimum of a certificate at the completion of the program.
4. A branch of the United States Armed Forces or a federal, state, or local governmental or municipal agency which awards a minimum of a certificate at the completion of the program.
5. A consortium, which is a group made up of two or more members that operate an educational program through a written agreement that outlines the expectations and responsibilities of each of the partners. At least one of the consortium partners must meet the requirements of a program sponsor set forth in I.A.1.- I.A.4.
    a. The consortium governing board must meet at least annually.
    Consortium does not refer to clinical affiliation agreements with the program sponsor.
</t>
        </r>
        <r>
          <rPr>
            <b/>
            <i/>
            <sz val="9"/>
            <color indexed="81"/>
            <rFont val="Tahoma"/>
            <family val="2"/>
          </rPr>
          <t xml:space="preserve">For a distance education program, the location of program is the mailing address of the sponsor.
</t>
        </r>
        <r>
          <rPr>
            <sz val="9"/>
            <color indexed="81"/>
            <rFont val="Tahoma"/>
            <family val="2"/>
          </rPr>
          <t xml:space="preserve">
</t>
        </r>
      </text>
    </comment>
    <comment ref="B17" authorId="0" shapeId="0" xr:uid="{00000000-0006-0000-0200-000005000000}">
      <text>
        <r>
          <rPr>
            <b/>
            <sz val="9"/>
            <color indexed="81"/>
            <rFont val="Tahoma"/>
            <family val="2"/>
          </rPr>
          <t xml:space="preserve">Standard I.B. Responsibilities of Program Sponsor
The program sponsor must:
1. Ensure that the program meets the Standards; 
2. Award academic credit for the program or have an articulation agreement with an accredited postsecondary institution; and
3. Have a preparedness plan in place that assures continuity of education services in the event of an unanticipated interruption.
   </t>
        </r>
        <r>
          <rPr>
            <b/>
            <i/>
            <sz val="9"/>
            <color indexed="81"/>
            <rFont val="Tahoma"/>
            <family val="2"/>
          </rPr>
          <t xml:space="preserve">Examples of unanticipated interruptions may include unexpected departure of key personnel, natural disaster, public 
   health crisis, fire, flood, power failure, failure of information technology services, or other events that may lead to 
   inaccessibility of educational services. </t>
        </r>
        <r>
          <rPr>
            <b/>
            <sz val="9"/>
            <color indexed="81"/>
            <rFont val="Tahoma"/>
            <family val="2"/>
          </rPr>
          <t xml:space="preserve">
</t>
        </r>
        <r>
          <rPr>
            <sz val="9"/>
            <color indexed="81"/>
            <rFont val="Tahoma"/>
            <family val="2"/>
          </rPr>
          <t xml:space="preserve">
</t>
        </r>
      </text>
    </comment>
    <comment ref="B18" authorId="0" shapeId="0" xr:uid="{B4A094A8-EE3E-43FD-ABE6-0E469A021C13}">
      <text>
        <r>
          <rPr>
            <b/>
            <sz val="9"/>
            <color indexed="81"/>
            <rFont val="Tahoma"/>
            <family val="2"/>
          </rPr>
          <t xml:space="preserve">Standard I.B. Responsibilities of Program Sponsor
The program sponsor must:
1. Ensure that the program meets the Standards; 
2. Award academic credit for the program or have an articulation agreement with an accredited postsecondary institution; and
3. Have a preparedness plan in place that assures continuity of education services in the event of an unanticipated interruption.
</t>
        </r>
        <r>
          <rPr>
            <b/>
            <i/>
            <sz val="9"/>
            <color indexed="81"/>
            <rFont val="Tahoma"/>
            <family val="2"/>
          </rPr>
          <t xml:space="preserve">    Examples of unanticipated interruptions may include unexpected departure of key personnel, natural disaster, public health crisis, fire, 
    flood, power failure,  failure of information technology services, or other events that may lead to inaccessibility of educational services.</t>
        </r>
        <r>
          <rPr>
            <b/>
            <sz val="9"/>
            <color indexed="81"/>
            <rFont val="Tahoma"/>
            <family val="2"/>
          </rPr>
          <t xml:space="preserve">  
</t>
        </r>
        <r>
          <rPr>
            <sz val="9"/>
            <color indexed="81"/>
            <rFont val="Tahoma"/>
            <family val="2"/>
          </rPr>
          <t xml:space="preserve">
</t>
        </r>
      </text>
    </comment>
    <comment ref="B19" authorId="0" shapeId="0" xr:uid="{AB3C59AC-814C-4078-B0E9-1ABDB61AF4E1}">
      <text>
        <r>
          <rPr>
            <b/>
            <sz val="9"/>
            <color indexed="81"/>
            <rFont val="Tahoma"/>
            <family val="2"/>
          </rPr>
          <t xml:space="preserve">
Standard I.B. Responsibilities of Program Sponsor
The program sponsor must:
1. Ensure that the program meets the Standards; 
2. Award academic credit for the program or have an articulation agreement with an accredited postsecondary institution; and
3. Have a preparedness plan in place that assures continuity of education services in the event of an unanticipated interruption.
</t>
        </r>
        <r>
          <rPr>
            <b/>
            <i/>
            <sz val="9"/>
            <color indexed="81"/>
            <rFont val="Tahoma"/>
            <family val="2"/>
          </rPr>
          <t xml:space="preserve">
    Examples of unanticipated interruptions may include unexpected departure of key personnel, natural disaster, public health crisis, fire, flood,   
    power failure, failure of information technology services, or other events that may lead to inaccessibility of educational services.</t>
        </r>
        <r>
          <rPr>
            <b/>
            <sz val="9"/>
            <color indexed="81"/>
            <rFont val="Tahoma"/>
            <family val="2"/>
          </rPr>
          <t xml:space="preserve"> 
</t>
        </r>
        <r>
          <rPr>
            <sz val="9"/>
            <color indexed="81"/>
            <rFont val="Tahoma"/>
            <family val="2"/>
          </rPr>
          <t xml:space="preserve">
</t>
        </r>
      </text>
    </comment>
    <comment ref="B23" authorId="0" shapeId="0" xr:uid="{00000000-0006-0000-0200-000010000000}">
      <text>
        <r>
          <rPr>
            <b/>
            <sz val="9"/>
            <color indexed="81"/>
            <rFont val="Tahoma"/>
            <family val="2"/>
          </rPr>
          <t xml:space="preserve">
II.A.    Program Goals and Minimum Expectations 
The program must have at least one of the following minimum expectations statements for the following program(s) it offers
1. Paramedic: “To prepare Paramedics who are competent in the cognitive (knowledge), psychomotor (skills), and affective (behavior) learning domains to enter the profession.”
2. Advanced Emergency Medical Technician: “To prepare Advanced Emergency Medical Technicians who are competent in the cognitive (knowledge), psychomotor (skills), and affective (behavior) learning domains to enter the profession.”
Programs that adopt educational goals beyond the minimum expectations statement must provide evidence that all students have achieved those goals prior to entry into the field.
Program goals must be compatible with the mission of the sponsoring institution(s), the expectations of the communities of interest, and accepted standards of roles and functions of an emergency medical services professional. Goals are based upon the substantiated needs of health care providers and employers, and the educational needs of the students served by the educational program. Program
goals must be written referencing one or more of the learning domains.
The program must assess its goals at least annually and respond to changes in the needs and expectations of its communities of interest.
</t>
        </r>
        <r>
          <rPr>
            <b/>
            <i/>
            <sz val="9"/>
            <color indexed="81"/>
            <rFont val="Tahoma"/>
            <family val="2"/>
          </rPr>
          <t>In this Standard, “field” refers to the profession.</t>
        </r>
        <r>
          <rPr>
            <sz val="9"/>
            <color indexed="81"/>
            <rFont val="Tahoma"/>
            <family val="2"/>
          </rPr>
          <t xml:space="preserve">
</t>
        </r>
      </text>
    </comment>
    <comment ref="B24" authorId="0" shapeId="0" xr:uid="{C2D798AC-8485-433A-9608-9FA43160B728}">
      <text>
        <r>
          <rPr>
            <b/>
            <sz val="9"/>
            <color indexed="81"/>
            <rFont val="Tahoma"/>
            <family val="2"/>
          </rPr>
          <t xml:space="preserve">
II.A.    Program Goals and Minimum Expectations 
The program must have at least one of the following minimum expectations statements for the following program(s) it offers
1. Paramedic: “To prepare Paramedics who are competent in the cognitive (knowledge), psychomotor (skills), and affective (behavior) learning domains to enter the profession.”
2. Advanced Emergency Medical Technician: “To prepare Advanced Emergency Medical Technicians who are competent in the cognitive (knowledge), psychomotor (skills), and affective (behavior) learning domains to enter the profession.”
Programs that adopt educational goals beyond the minimum expectations statement must provide evidence that all students have achieved those goals prior to entry into the field.
Program goals must be compatible with the mission of the sponsoring institution(s), the expectations of the communities of interest, and accepted standards of roles and functions of an emergency medical services professional. Goals are based upon the substantiated needs of health care providers and employers, and the educational needs of the students served by the educational program. Program
goals must be written referencing one or more of the learning domains.
The program must assess its goals at least annually and respond to changes in the needs and expectations of its communities of interest.
</t>
        </r>
        <r>
          <rPr>
            <b/>
            <i/>
            <sz val="9"/>
            <color indexed="81"/>
            <rFont val="Tahoma"/>
            <family val="2"/>
          </rPr>
          <t>In this Standard, “field” refers to the profession.</t>
        </r>
        <r>
          <rPr>
            <sz val="9"/>
            <color indexed="81"/>
            <rFont val="Tahoma"/>
            <family val="2"/>
          </rPr>
          <t xml:space="preserve">
</t>
        </r>
      </text>
    </comment>
    <comment ref="B31" authorId="0" shapeId="0" xr:uid="{0F84377A-B964-46CA-8DDC-CAADE0191E2A}">
      <text>
        <r>
          <rPr>
            <b/>
            <sz val="9"/>
            <color indexed="81"/>
            <rFont val="Tahoma"/>
            <family val="2"/>
          </rPr>
          <t xml:space="preserve">
II.B.    Program Advisory Committee 
The program advisory committee must include at least one representative of each community of interest and must meet annually. Communities of interest served by the program include, but are not limited to, students, graduates, faculty members, sponsor administrators, employers, physicians, clinical and capstone field internship representatives, and the public.
The program advisory committee advises the program regarding revisions to curriculum and program goals based on the changing needs and expectations of the program’s communities of interest, and an assessment of program effectiveness, including the outcomes specified in these Standards.
</t>
        </r>
        <r>
          <rPr>
            <b/>
            <i/>
            <sz val="9"/>
            <color indexed="81"/>
            <rFont val="Tahoma"/>
            <family val="2"/>
          </rPr>
          <t xml:space="preserve">
It is recommended that the chair of the advisory committee be from one of the following groups: graduates, employers, physicians, clinical and field internship representatives, or public.
Program advisory committee meetings may be conducted using synchronous electronic means.</t>
        </r>
        <r>
          <rPr>
            <b/>
            <sz val="9"/>
            <color indexed="81"/>
            <rFont val="Tahoma"/>
            <family val="2"/>
          </rPr>
          <t xml:space="preserve">
The program advisory committee minutes must document support of the program required minimum
numbers of patient contacts.</t>
        </r>
        <r>
          <rPr>
            <sz val="9"/>
            <color indexed="81"/>
            <rFont val="Tahoma"/>
            <family val="2"/>
          </rPr>
          <t xml:space="preserve">
</t>
        </r>
      </text>
    </comment>
    <comment ref="B32" authorId="0" shapeId="0" xr:uid="{00000000-0006-0000-0200-00000E000000}">
      <text>
        <r>
          <rPr>
            <b/>
            <sz val="9"/>
            <color indexed="81"/>
            <rFont val="Tahoma"/>
            <family val="2"/>
          </rPr>
          <t xml:space="preserve">
II.B.    Program Advisory Committee 
The program advisory committee must include at least one representative of each community of interest and must meet annually. Communities of interest served by the program include, but are not limited to, students, graduates, faculty members, sponsor administrators, employers, physicians, clinical and capstone field internship representatives, and the public.
The program advisory committee advises the program regarding revisions to curriculum and program goals based on the changing needs and expectations of the program’s communities of interest, and an assessment of program effectiveness, including the outcomes specified in these Standards.
</t>
        </r>
        <r>
          <rPr>
            <b/>
            <i/>
            <sz val="9"/>
            <color indexed="81"/>
            <rFont val="Tahoma"/>
            <family val="2"/>
          </rPr>
          <t xml:space="preserve">
It is recommended that the chair of the advisory committee be from one of the following groups: graduates, employers, physicians, clinical and field internship representatives, or public.
Program advisory committee meetings may be conducted using synchronous electronic means.</t>
        </r>
        <r>
          <rPr>
            <b/>
            <sz val="9"/>
            <color indexed="81"/>
            <rFont val="Tahoma"/>
            <family val="2"/>
          </rPr>
          <t xml:space="preserve">
The program advisory committee minutes must document support of the program required minimum
numbers of patient contacts.
</t>
        </r>
        <r>
          <rPr>
            <sz val="9"/>
            <color indexed="81"/>
            <rFont val="Tahoma"/>
            <family val="2"/>
          </rPr>
          <t xml:space="preserve">
</t>
        </r>
      </text>
    </comment>
    <comment ref="B34" authorId="0" shapeId="0" xr:uid="{00000000-0006-0000-0200-00000D000000}">
      <text>
        <r>
          <rPr>
            <b/>
            <sz val="9"/>
            <color indexed="81"/>
            <rFont val="Tahoma"/>
            <family val="2"/>
          </rPr>
          <t xml:space="preserve">
II.B.    Program Advisory Committee 
The program advisory committee must include at least one representative of each community of interest and must meet annually. Communities of interest served by the program include, but are not limited to, students, graduates, faculty members, sponsor administrators, employers, physicians, clinical and capstone field internship representatives, and the public.
The program advisory committee advises the program regarding revisions to curriculum and program goals based on the changing needs and expectations of the program’s communities of interest, and an assessment of program effectiveness, including the outcomes specified in these Standards.
It is recommended that the chair of the advisory committee be from one of the following groups: graduates, employers, physicians, clinical and field internship representatives, or public.
Program advisory committee meetings may be conducted using synchronous electronic means.
The program advisory committee minutes must document support of the program required minimum
numbers of patient contacts.
</t>
        </r>
        <r>
          <rPr>
            <sz val="9"/>
            <color indexed="81"/>
            <rFont val="Tahoma"/>
            <family val="2"/>
          </rPr>
          <t xml:space="preserve">
</t>
        </r>
      </text>
    </comment>
    <comment ref="B39" authorId="0" shapeId="0" xr:uid="{00000000-0006-0000-0200-000011000000}">
      <text>
        <r>
          <rPr>
            <b/>
            <sz val="9"/>
            <color rgb="FF000000"/>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t>
        </r>
        <r>
          <rPr>
            <sz val="9"/>
            <color rgb="FF000000"/>
            <rFont val="Tahoma"/>
            <family val="2"/>
          </rPr>
          <t xml:space="preserve">
</t>
        </r>
      </text>
    </comment>
    <comment ref="B40" authorId="0" shapeId="0" xr:uid="{00000000-0006-0000-0200-000012000000}">
      <text>
        <r>
          <rPr>
            <b/>
            <sz val="9"/>
            <color indexed="81"/>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t>
        </r>
        <r>
          <rPr>
            <sz val="9"/>
            <color indexed="81"/>
            <rFont val="Tahoma"/>
            <family val="2"/>
          </rPr>
          <t xml:space="preserve">
</t>
        </r>
      </text>
    </comment>
    <comment ref="B41" authorId="0" shapeId="0" xr:uid="{00000000-0006-0000-0200-000013000000}">
      <text>
        <r>
          <rPr>
            <b/>
            <sz val="9"/>
            <color indexed="81"/>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
</t>
        </r>
        <r>
          <rPr>
            <sz val="9"/>
            <color indexed="81"/>
            <rFont val="Tahoma"/>
            <family val="2"/>
          </rPr>
          <t xml:space="preserve">
</t>
        </r>
      </text>
    </comment>
    <comment ref="B43" authorId="0" shapeId="0" xr:uid="{00000000-0006-0000-0200-000014000000}">
      <text>
        <r>
          <rPr>
            <b/>
            <sz val="9"/>
            <color indexed="81"/>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t>
        </r>
      </text>
    </comment>
    <comment ref="B44" authorId="0" shapeId="0" xr:uid="{168A522A-9A5A-4D98-9266-D9905D349A39}">
      <text>
        <r>
          <rPr>
            <b/>
            <sz val="9"/>
            <color indexed="81"/>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t>
        </r>
      </text>
    </comment>
    <comment ref="B45" authorId="0" shapeId="0" xr:uid="{E1F27151-CF48-499D-82E1-D6F832D32B14}">
      <text>
        <r>
          <rPr>
            <b/>
            <sz val="9"/>
            <color indexed="81"/>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t>
        </r>
        <r>
          <rPr>
            <sz val="9"/>
            <color indexed="81"/>
            <rFont val="Tahoma"/>
            <family val="2"/>
          </rPr>
          <t xml:space="preserve">
</t>
        </r>
      </text>
    </comment>
    <comment ref="B46" authorId="0" shapeId="0" xr:uid="{00000000-0006-0000-0200-000016000000}">
      <text>
        <r>
          <rPr>
            <b/>
            <sz val="9"/>
            <color indexed="81"/>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t>
        </r>
        <r>
          <rPr>
            <sz val="9"/>
            <color indexed="81"/>
            <rFont val="Tahoma"/>
            <family val="2"/>
          </rPr>
          <t xml:space="preserve">
</t>
        </r>
      </text>
    </comment>
    <comment ref="B50" authorId="0" shapeId="0" xr:uid="{00000000-0006-0000-0200-000017000000}">
      <text>
        <r>
          <rPr>
            <b/>
            <sz val="9"/>
            <color indexed="81"/>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t>
        </r>
        <r>
          <rPr>
            <sz val="9"/>
            <color indexed="81"/>
            <rFont val="Tahoma"/>
            <family val="2"/>
          </rPr>
          <t xml:space="preserve">
</t>
        </r>
      </text>
    </comment>
    <comment ref="B51" authorId="0" shapeId="0" xr:uid="{0257AB5D-C584-4119-8A98-A583E2F65260}">
      <text>
        <r>
          <rPr>
            <b/>
            <sz val="9"/>
            <color indexed="81"/>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t>
        </r>
        <r>
          <rPr>
            <sz val="9"/>
            <color indexed="81"/>
            <rFont val="Tahoma"/>
            <family val="2"/>
          </rPr>
          <t xml:space="preserve">
</t>
        </r>
      </text>
    </comment>
    <comment ref="B52" authorId="0" shapeId="0" xr:uid="{1F6AE611-FDCD-4D56-92EF-051D96FEDEF1}">
      <text>
        <r>
          <rPr>
            <b/>
            <sz val="9"/>
            <color indexed="81"/>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t>
        </r>
        <r>
          <rPr>
            <sz val="9"/>
            <color indexed="81"/>
            <rFont val="Tahoma"/>
            <family val="2"/>
          </rPr>
          <t xml:space="preserve">
</t>
        </r>
      </text>
    </comment>
    <comment ref="B53" authorId="0" shapeId="0" xr:uid="{00000000-0006-0000-0200-00001A000000}">
      <text>
        <r>
          <rPr>
            <b/>
            <sz val="9"/>
            <color indexed="81"/>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t>
        </r>
        <r>
          <rPr>
            <sz val="9"/>
            <color indexed="81"/>
            <rFont val="Tahoma"/>
            <family val="2"/>
          </rPr>
          <t xml:space="preserve">
</t>
        </r>
      </text>
    </comment>
    <comment ref="B58" authorId="0" shapeId="0" xr:uid="{5C10DDD4-41AA-448F-8FC9-A39C69D0AB2D}">
      <text>
        <r>
          <rPr>
            <b/>
            <sz val="9"/>
            <color indexed="81"/>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t>
        </r>
        <r>
          <rPr>
            <sz val="9"/>
            <color indexed="81"/>
            <rFont val="Tahoma"/>
            <family val="2"/>
          </rPr>
          <t xml:space="preserve">
</t>
        </r>
      </text>
    </comment>
    <comment ref="B59" authorId="0" shapeId="0" xr:uid="{6E55C4BF-9157-4129-8A09-E033A77B2218}">
      <text>
        <r>
          <rPr>
            <b/>
            <sz val="9"/>
            <color indexed="81"/>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t>
        </r>
        <r>
          <rPr>
            <sz val="9"/>
            <color indexed="81"/>
            <rFont val="Tahoma"/>
            <family val="2"/>
          </rPr>
          <t xml:space="preserve">
</t>
        </r>
      </text>
    </comment>
    <comment ref="B64" authorId="0" shapeId="0" xr:uid="{274645A4-911E-4A70-A5AC-103C74CA375A}">
      <text>
        <r>
          <rPr>
            <b/>
            <sz val="9"/>
            <color indexed="81"/>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t>
        </r>
        <r>
          <rPr>
            <sz val="9"/>
            <color indexed="81"/>
            <rFont val="Tahoma"/>
            <family val="2"/>
          </rPr>
          <t xml:space="preserve">
</t>
        </r>
      </text>
    </comment>
    <comment ref="B65" authorId="0" shapeId="0" xr:uid="{00000000-0006-0000-0200-00001D000000}">
      <text>
        <r>
          <rPr>
            <b/>
            <sz val="9"/>
            <color indexed="81"/>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
</t>
        </r>
        <r>
          <rPr>
            <sz val="9"/>
            <color indexed="81"/>
            <rFont val="Tahoma"/>
            <family val="2"/>
          </rPr>
          <t xml:space="preserve">
</t>
        </r>
      </text>
    </comment>
    <comment ref="B68" authorId="0" shapeId="0" xr:uid="{2D8BDBFC-979A-4ABB-98A2-EE6D6D09EF18}">
      <text>
        <r>
          <rPr>
            <b/>
            <sz val="9"/>
            <color indexed="81"/>
            <rFont val="Tahoma"/>
            <family val="2"/>
          </rPr>
          <t xml:space="preserve">
III.A.2. Resources - Clinical, Field Experience, and Capstone Field Internship Affiliations
For all affiliations, students must have access to adequate numbers of patients, proportionally distributed by age-range, chief complaint, and interventions in the delivery of emergency care appropriate to the level of the Emergency Medical Services Profession(s) for which training is being offered.
The clinical/field experience and capstone field internship resources must ensure exposure to, and assessment and management of the following patients and conditions: adult trauma and medical emergencies; pediatric trauma and medical emergencies; and geriatric trauma and medical emergencies.
</t>
        </r>
        <r>
          <rPr>
            <sz val="9"/>
            <color indexed="81"/>
            <rFont val="Tahoma"/>
            <family val="2"/>
          </rPr>
          <t xml:space="preserve">
</t>
        </r>
      </text>
    </comment>
    <comment ref="B72" authorId="0" shapeId="0" xr:uid="{00000000-0006-0000-0200-000020000000}">
      <text>
        <r>
          <rPr>
            <b/>
            <sz val="9"/>
            <color rgb="FF000000"/>
            <rFont val="Tahoma"/>
            <family val="2"/>
          </rPr>
          <t xml:space="preserve">
III.A.2. Resources - Clinical, Field Experience, and Capstone Field Internship Affiliations
For all affiliations, students must have access to adequate numbers of patients, proportionally distributed by age-range, chief complaint, and interventions in the delivery of emergency care appropriate to the level of the Emergency Medical Services Profession(s) for which training is being offered.
The clinical/field experience and capstone field internship resources must ensure exposure to, and assessment and management of the following patients and conditions: adult trauma and medical emergencies; pediatric trauma and medical emergencies; and geriatric trauma and medical emergencies.</t>
        </r>
      </text>
    </comment>
    <comment ref="B77" authorId="0" shapeId="0" xr:uid="{00000000-0006-0000-0200-000021000000}">
      <text>
        <r>
          <rPr>
            <b/>
            <sz val="9"/>
            <color indexed="81"/>
            <rFont val="Tahoma"/>
            <family val="2"/>
          </rPr>
          <t xml:space="preserve">
Standard III.B.  Personnel  
The sponsor must appoint sufficient faculty and staff with the necessary qualifications to perform the functions identified in documented job descriptions and to achieve the program’s stated goals and outcomes.
At minimum, the following posititons are required: Program Director, Medical Director, Faculty/Instructional Staff.
</t>
        </r>
        <r>
          <rPr>
            <sz val="9"/>
            <color indexed="81"/>
            <rFont val="Tahoma"/>
            <family val="2"/>
          </rPr>
          <t xml:space="preserve">
</t>
        </r>
      </text>
    </comment>
    <comment ref="B86" authorId="0" shapeId="0" xr:uid="{00000000-0006-0000-0200-000022000000}">
      <text>
        <r>
          <rPr>
            <b/>
            <sz val="9"/>
            <color indexed="81"/>
            <rFont val="Tahoma"/>
            <family val="2"/>
          </rPr>
          <t xml:space="preserve">
III.B.1.a. Resources - Program Director Responsibilities
The program director must be responsible for all aspects of the program, including, but not limited to
1) Administration, organization, and supervision of the program,
2) Continuous quality review and improvement of the educational program;
3) Academic oversight, including curriculum planning and development; and
4) Orientation/training and supervision of clinical and capstone field internship preceptors.</t>
        </r>
        <r>
          <rPr>
            <sz val="9"/>
            <color indexed="81"/>
            <rFont val="Tahoma"/>
            <family val="2"/>
          </rPr>
          <t xml:space="preserve">
</t>
        </r>
      </text>
    </comment>
    <comment ref="B89" authorId="0" shapeId="0" xr:uid="{00000000-0006-0000-0200-000023000000}">
      <text>
        <r>
          <rPr>
            <b/>
            <sz val="9"/>
            <color indexed="81"/>
            <rFont val="Tahoma"/>
            <family val="2"/>
          </rPr>
          <t xml:space="preserve">
III.B.1.a. Resources - Program Director Responsibilities
The program director must be responsible for all aspects of the program, including, but not limited to
1) Administration, organization, and supervision of the program,
2) Continuous quality review and improvement of the educational program;
3) Academic oversight, including curriculum planning and development; and
4) Orientation/training and supervision of clinical and capstone field internship preceptors.l.  </t>
        </r>
        <r>
          <rPr>
            <sz val="9"/>
            <color indexed="81"/>
            <rFont val="Tahoma"/>
            <family val="2"/>
          </rPr>
          <t xml:space="preserve">
</t>
        </r>
      </text>
    </comment>
    <comment ref="B92" authorId="0" shapeId="0" xr:uid="{00000000-0006-0000-0200-000024000000}">
      <text>
        <r>
          <rPr>
            <b/>
            <sz val="9"/>
            <color indexed="81"/>
            <rFont val="Tahoma"/>
            <family val="2"/>
          </rPr>
          <t xml:space="preserve">III.B.1.a. Resources - Program Director Responsibilities
The program director must be responsible for all aspects of the program, including, but not limited to
1) Administration, organization, and supervision of the program,
2) Continuous quality review and improvement of the educational program;
3) Academic oversight, including curriculum planning and development; and
4) Orientation/training and supervision of clinical and capstone field internship preceptors. </t>
        </r>
        <r>
          <rPr>
            <sz val="9"/>
            <color indexed="81"/>
            <rFont val="Tahoma"/>
            <family val="2"/>
          </rPr>
          <t xml:space="preserve">
</t>
        </r>
      </text>
    </comment>
    <comment ref="B93" authorId="0" shapeId="0" xr:uid="{00000000-0006-0000-0200-000027000000}">
      <text>
        <r>
          <rPr>
            <b/>
            <sz val="9"/>
            <color indexed="81"/>
            <rFont val="Tahoma"/>
            <family val="2"/>
          </rPr>
          <t xml:space="preserve">III.B.1.a. Resources - Program Director Responsibilities
The program director must be responsible for all aspects of the program, including, but not limited to
1) Administration, organization, and supervision of the program,
2) Continuous quality review and improvement of the educational program;
3) Academic oversight, including curriculum planning and development; and
4) Orientation/training and supervision of clinical and capstone field internship preceptors. </t>
        </r>
        <r>
          <rPr>
            <sz val="9"/>
            <color indexed="81"/>
            <rFont val="Tahoma"/>
            <family val="2"/>
          </rPr>
          <t xml:space="preserve">
</t>
        </r>
      </text>
    </comment>
    <comment ref="B96" authorId="0" shapeId="0" xr:uid="{00000000-0006-0000-0200-000029000000}">
      <text>
        <r>
          <rPr>
            <b/>
            <sz val="9"/>
            <color indexed="81"/>
            <rFont val="Tahoma"/>
            <family val="2"/>
          </rPr>
          <t xml:space="preserve">
III.B.1.a. Resources - Program Director Responsibilities
The program director must be responsible for all aspects of the program, including, but not limited to
1) Administration, organization, and supervision of the program,
2) Continuous quality review and improvement of the educational program;
3) Academic oversight, including curriculum planning and development; and
4) Orientation/training and supervision of clinical and capstone field internship preceptors. </t>
        </r>
        <r>
          <rPr>
            <sz val="9"/>
            <color indexed="81"/>
            <rFont val="Tahoma"/>
            <family val="2"/>
          </rPr>
          <t xml:space="preserve">
</t>
        </r>
      </text>
    </comment>
    <comment ref="B99" authorId="0" shapeId="0" xr:uid="{00000000-0006-0000-0200-00002A000000}">
      <text>
        <r>
          <rPr>
            <b/>
            <sz val="9"/>
            <color indexed="81"/>
            <rFont val="Tahoma"/>
            <family val="2"/>
          </rPr>
          <t xml:space="preserve">
III.B.1.a. Resources - Program Director Responsibilities
The program director must be responsible for all aspects of the program, including, but not limited to
1) Administration, organization, and supervision of the program,
2) Continuous quality review and improvement of the educational program;
3) Academic oversight, including curriculum planning and development; and
4) Orientation/training and supervision of clinical and capstone field internship preceptors.
</t>
        </r>
      </text>
    </comment>
    <comment ref="B103" authorId="0" shapeId="0" xr:uid="{00000000-0006-0000-0200-00002B000000}">
      <text>
        <r>
          <rPr>
            <b/>
            <sz val="9"/>
            <color indexed="81"/>
            <rFont val="Tahoma"/>
            <family val="2"/>
          </rPr>
          <t xml:space="preserve">
III.B.1.b. Resources - Program Director Qualifications 
The Program Director qualifications must include
1) A minimum of a Bachelor’s degree or the equivalent to direct a Paramedic program and a minimum of an Associate’s degree to direct an Advanced Emergency Medical Technician program from an accredited institution of higher education;
2) Documented education or experience in instructional methodology;
3) Academic training and experience equivalent to that of a paramedic;
4) Experience in the delivery of prehospital emergency care; and
5) Knowledge about the current versions of the National EMS Scope of Practice and National EMS Standards, and about evidenced-informed clinical practice.
</t>
        </r>
        <r>
          <rPr>
            <b/>
            <i/>
            <sz val="9"/>
            <color indexed="81"/>
            <rFont val="Tahoma"/>
            <family val="2"/>
          </rPr>
          <t xml:space="preserve">
It is recommended that the program director have a minimum of a Master’s degree.
It is recommended that the program director’s degree be in a health-related profession, EMS, or education.
It is recommended that the program director is a full-time position.</t>
        </r>
        <r>
          <rPr>
            <sz val="9"/>
            <color indexed="81"/>
            <rFont val="Tahoma"/>
            <family val="2"/>
          </rPr>
          <t xml:space="preserve">
</t>
        </r>
      </text>
    </comment>
    <comment ref="B104" authorId="0" shapeId="0" xr:uid="{00000000-0006-0000-0200-00002D000000}">
      <text>
        <r>
          <rPr>
            <b/>
            <sz val="9"/>
            <color indexed="81"/>
            <rFont val="Tahoma"/>
            <family val="2"/>
          </rPr>
          <t xml:space="preserve">
III.B.1.b. Resources - Program Director Qualifications 
The Program Director qualifications must include
1) A minimum of a Bachelor’s degree or the equivalent to direct a Paramedic program and a minimum of an Associate’s degree to direct an Advanced Emergency Medical Technician program from an accredited institution of higher education;
2) Documented education or experience in instructional methodology;
3) Academic training and experience equivalent to that of a paramedic;
4) Experience in the delivery of prehospital emergency care; and
5) Knowledge about the current versions of the National EMS Scope of Practice and National EMS Standards, and about evidenced-informed clinical practice.
It is recommended that the program director have a minimum of a Master’s degree.
It is recommended that the program director’s degree be in a health-related profession, EMS, or education.
It is recommended that the program director is a full-time position.</t>
        </r>
        <r>
          <rPr>
            <sz val="9"/>
            <color indexed="81"/>
            <rFont val="Tahoma"/>
            <family val="2"/>
          </rPr>
          <t xml:space="preserve">
</t>
        </r>
      </text>
    </comment>
    <comment ref="B105" authorId="0" shapeId="0" xr:uid="{00000000-0006-0000-0200-00002E000000}">
      <text>
        <r>
          <rPr>
            <b/>
            <sz val="9"/>
            <color indexed="81"/>
            <rFont val="Tahoma"/>
            <family val="2"/>
          </rPr>
          <t xml:space="preserve">
III.B.1.b. Resources - Program Director Qualifications 
The Program Director qualifications must include
1) A minimum of a Bachelor’s degree or the equivalent to direct a Paramedic program and a minimum of an Associate’s degree to direct an Advanced Emergency Medical Technician program from an accredited institution of higher education;
2) Documented education or experience in instructional methodology;
3) Academic training and experience equivalent to that of a paramedic;
4) Experience in the delivery of prehospital emergency care; and
5) Knowledge about the current versions of the National EMS Scope of Practice and National EMS Standards, and about evidenced-informed clinical practice.
It is recommended that the program director have a minimum of a Master’s degree.
It is recommended that the program director’s degree be in a health-related profession, EMS, or education.
It is recommended that the program director is a full-time position.</t>
        </r>
      </text>
    </comment>
    <comment ref="B106" authorId="0" shapeId="0" xr:uid="{00000000-0006-0000-0200-00002F000000}">
      <text>
        <r>
          <rPr>
            <b/>
            <sz val="9"/>
            <color indexed="81"/>
            <rFont val="Tahoma"/>
            <family val="2"/>
          </rPr>
          <t xml:space="preserve">
III.B.1.b. Resources - Program Director Qualifications 
The Program Director qualifications must include
1) A minimum of a Bachelor’s degree or the equivalent to direct a Paramedic program and a minimum of an Associate’s degree to direct an Advanced Emergency Medical Technician program from an accredited institution of higher education;
2) Documented education or experience in instructional methodology;
3) Academic training and experience equivalent to that of a paramedic;
4) Experience in the delivery of prehospital emergency care; and
5) Knowledge about the current versions of the National EMS Scope of Practice and National EMS Standards, and about evidenced-informed clinical practice.
It is recommended that the program director have a minimum of a Master’s degree.
It is recommended that the program director’s degree be in a health-related profession, EMS, or education.
It is recommended that the program director is a full-time position.</t>
        </r>
        <r>
          <rPr>
            <sz val="9"/>
            <color indexed="81"/>
            <rFont val="Tahoma"/>
            <family val="2"/>
          </rPr>
          <t xml:space="preserve">
</t>
        </r>
      </text>
    </comment>
    <comment ref="B107" authorId="0" shapeId="0" xr:uid="{00000000-0006-0000-0200-000030000000}">
      <text>
        <r>
          <rPr>
            <b/>
            <sz val="9"/>
            <color indexed="81"/>
            <rFont val="Tahoma"/>
            <family val="2"/>
          </rPr>
          <t xml:space="preserve">
III.B.1.b. Resources - Program Director Qualifications 
The Program Director qualifications must include
1) A minimum of a Bachelor’s degree or the equivalent to direct a Paramedic program and a minimum of an Associate’s degree to direct an Advanced Emergency Medical Technician program from an accredited institution of higher education;
2) Documented education or experience in instructional methodology;
3) Academic training and experience equivalent to that of a paramedic;
4) Experience in the delivery of prehospital emergency care; and
5) Knowledge about the current versions of the National EMS Scope of Practice and National EMS Standards, and about evidenced-informed clinical practice.
It is recommended that the program director have a minimum of a Master’s degree.
It is recommended that the program director’s degree be in a health-related profession, EMS, or education.
It is recommended that the program director is a full-time position.</t>
        </r>
        <r>
          <rPr>
            <sz val="9"/>
            <color indexed="81"/>
            <rFont val="Tahoma"/>
            <family val="2"/>
          </rPr>
          <t xml:space="preserve">
</t>
        </r>
      </text>
    </comment>
    <comment ref="B110" authorId="0" shapeId="0" xr:uid="{00000000-0006-0000-0200-000032000000}">
      <text>
        <r>
          <rPr>
            <b/>
            <sz val="9"/>
            <color rgb="FF000000"/>
            <rFont val="Tahoma"/>
            <family val="2"/>
          </rPr>
          <t xml:space="preserve">III.B.2.a. Resources - Medical Director Responsibilities 
The Medical Director must be responsible for medical oversight of the program, including but not limited to
1) Review and approval of the educational content of the program to include didactic, laboratory, clinical experience, field experience, and capstone field internship to ensure it meets current standards of medical practice;
2) Review and approval of the required minimum numbers for each of the required patient contacts and procedures listed in these Standards;
3) Review and approval of the instruments and processes used to evaluate students in didactic, laboratory, clinical, field experience, and capstone field internship;
4) Review of the progress of each student throughout the program, and assist in the determination of appropriate corrective measures,
</t>
        </r>
        <r>
          <rPr>
            <b/>
            <i/>
            <sz val="9"/>
            <color rgb="FF000000"/>
            <rFont val="Tahoma"/>
            <family val="2"/>
          </rPr>
          <t xml:space="preserve">    It is recommended that corrective measures occur in the cases of failing academic or clinical or field internship performance</t>
        </r>
        <r>
          <rPr>
            <b/>
            <sz val="9"/>
            <color rgb="FF000000"/>
            <rFont val="Tahoma"/>
            <family val="2"/>
          </rPr>
          <t xml:space="preserve">.
5) Ensuring the competence of each graduate of the program in the cognitive, psychomotor, and affective domains;
6) Engaging in cooperative involvement with the program director; and
7) Ensuring the effectiveness and quality of any Medical Director responsibilities delegated to an Associate or Assistant Medical Director.
</t>
        </r>
        <r>
          <rPr>
            <b/>
            <i/>
            <sz val="9"/>
            <color rgb="FF000000"/>
            <rFont val="Tahoma"/>
            <family val="2"/>
          </rPr>
          <t xml:space="preserve">    It is recommended that the Medical Director interaction be in a variety of settings, such as lecture, laboratory, clinical, 
    capstone field internship. Interaction may be by synchronous electronic methods</t>
        </r>
        <r>
          <rPr>
            <sz val="9"/>
            <color rgb="FF000000"/>
            <rFont val="Tahoma"/>
            <family val="2"/>
          </rPr>
          <t xml:space="preserve">
</t>
        </r>
      </text>
    </comment>
    <comment ref="B111" authorId="0" shapeId="0" xr:uid="{00000000-0006-0000-0200-000033000000}">
      <text>
        <r>
          <rPr>
            <b/>
            <sz val="9"/>
            <color indexed="81"/>
            <rFont val="Tahoma"/>
            <family val="2"/>
          </rPr>
          <t xml:space="preserve">III.B.2.a. Resources - Medical Director Responsibilities 
The Medical Director must be responsible for medical oversight of the program, including but not limited to
1) Review and approval of the educational content of the program to include didactic, laboratory, clinical experience, field experience, and capstone field internship to ensure it meets current standards of medical practice;
2) Review and approval of the required minimum numbers for each of the required patient contacts and procedures listed in these Standards;
3) Review and approval of the instruments and processes used to evaluate students in didactic, laboratory, clinical, field experience, and capstone field internship;
4) Review of the progress of each student throughout the program, and assist in the determination of appropriate corrective measures,
</t>
        </r>
        <r>
          <rPr>
            <b/>
            <i/>
            <sz val="9"/>
            <color indexed="81"/>
            <rFont val="Tahoma"/>
            <family val="2"/>
          </rPr>
          <t xml:space="preserve">    It is recommended that corrective measures occur in the cases of failing academic or clinical or field internship performance.</t>
        </r>
        <r>
          <rPr>
            <b/>
            <sz val="9"/>
            <color indexed="81"/>
            <rFont val="Tahoma"/>
            <family val="2"/>
          </rPr>
          <t xml:space="preserve">
5) Ensuring the competence of each graduate of the program in the cognitive, psychomotor, and affective domains;
6) Engaging in cooperative involvement with the program director; and
7) Ensuring the effectiveness and quality of any Medical Director responsibilities delegated to an Associate or Assistant Medical Director.
</t>
        </r>
        <r>
          <rPr>
            <b/>
            <i/>
            <sz val="9"/>
            <color indexed="81"/>
            <rFont val="Tahoma"/>
            <family val="2"/>
          </rPr>
          <t xml:space="preserve">    It is recommended that the Medical Director interaction be in a variety of settings, such as lecture, laboratory, clinical, 
    capstone field internship. Interaction may be by synchronous electronic methods</t>
        </r>
        <r>
          <rPr>
            <sz val="9"/>
            <color indexed="81"/>
            <rFont val="Tahoma"/>
            <family val="2"/>
          </rPr>
          <t xml:space="preserve">
</t>
        </r>
      </text>
    </comment>
    <comment ref="B112" authorId="0" shapeId="0" xr:uid="{00000000-0006-0000-0200-000034000000}">
      <text>
        <r>
          <rPr>
            <b/>
            <sz val="9"/>
            <color indexed="81"/>
            <rFont val="Tahoma"/>
            <family val="2"/>
          </rPr>
          <t xml:space="preserve">
III.B.2.a. Resources - Medical Director Responsibilities 
The Medical Director must be responsible for medical oversight of the program, including but not limited to
1) Review and approval of the educational content of the program to include didactic, laboratory, clinical experience, field experience, and capstone field internship to ensure it meets current standards of medical practice;
2) Review and approval of the required minimum numbers for each of the required patient contacts and procedures listed in these Standards;
3) Review and approval of the instruments and processes used to evaluate students in didactic, laboratory, clinical, field experience, and capstone field internship;
4) Review of the progress of each student throughout the program, and assist in the determination of appropriate corrective measures,
</t>
        </r>
        <r>
          <rPr>
            <b/>
            <i/>
            <sz val="9"/>
            <color indexed="81"/>
            <rFont val="Tahoma"/>
            <family val="2"/>
          </rPr>
          <t xml:space="preserve">    It is recommended that corrective measures occur in the cases of failing academic or clinical or field internship performance</t>
        </r>
        <r>
          <rPr>
            <b/>
            <sz val="9"/>
            <color indexed="81"/>
            <rFont val="Tahoma"/>
            <family val="2"/>
          </rPr>
          <t xml:space="preserve">.
5) Ensuring the competence of each graduate of the program in the cognitive, psychomotor, and affective domains;
6) Engaging in cooperative involvement with the program director; and
7) Ensuring the effectiveness and quality of any Medical Director responsibilities delegated to an Associate or Assistant Medical Director.
</t>
        </r>
        <r>
          <rPr>
            <b/>
            <i/>
            <sz val="9"/>
            <color indexed="81"/>
            <rFont val="Tahoma"/>
            <family val="2"/>
          </rPr>
          <t xml:space="preserve">    It is recommended that the Medical Director interaction be in a variety of settings, such as lecture, laboratory, clinical, 
    capstone field internship. Interaction may be by synchronous electronic methods</t>
        </r>
        <r>
          <rPr>
            <sz val="9"/>
            <color indexed="81"/>
            <rFont val="Tahoma"/>
            <family val="2"/>
          </rPr>
          <t xml:space="preserve">
</t>
        </r>
      </text>
    </comment>
    <comment ref="B113" authorId="0" shapeId="0" xr:uid="{00000000-0006-0000-0200-000035000000}">
      <text>
        <r>
          <rPr>
            <b/>
            <sz val="9"/>
            <color indexed="81"/>
            <rFont val="Tahoma"/>
            <family val="2"/>
          </rPr>
          <t xml:space="preserve">
III.B.2.a. Resources - Medical Director Responsibilities 
The Medical Director must be responsible for medical oversight of the program, including but not limited to
1) Review and approval of the educational content of the program to include didactic, laboratory, clinical experience, field experience, and capstone field internship to ensure it meets current standards of medical practice;
2) Review and approval of the required minimum numbers for each of the required patient contacts and procedures listed in these Standards;
3) Review and approval of the instruments and processes used to evaluate students in didactic, laboratory, clinical, field experience, and capstone field internship;
4) Review of the progress of each student throughout the program, and assist in the determination of appropriate corrective measures,
</t>
        </r>
        <r>
          <rPr>
            <b/>
            <i/>
            <sz val="9"/>
            <color indexed="81"/>
            <rFont val="Tahoma"/>
            <family val="2"/>
          </rPr>
          <t xml:space="preserve">    It is recommended that corrective measures occur in the cases of failing academic or clinical or field internship performance.</t>
        </r>
        <r>
          <rPr>
            <b/>
            <sz val="9"/>
            <color indexed="81"/>
            <rFont val="Tahoma"/>
            <family val="2"/>
          </rPr>
          <t xml:space="preserve">
5) Ensuring the competence of each graduate of the program in the cognitive, psychomotor, and affective domains;
6) Engaging in cooperative involvement with the program director; and
7) Ensuring the effectiveness and quality of any Medical Director responsibilities delegated to an Associate or Assistant Medical Director.
</t>
        </r>
        <r>
          <rPr>
            <b/>
            <i/>
            <sz val="9"/>
            <color indexed="81"/>
            <rFont val="Tahoma"/>
            <family val="2"/>
          </rPr>
          <t xml:space="preserve">    It is recommended that the Medical Director interaction be in a variety of settings, such as lecture, laboratory, clinical, 
    capstone field internship. Interaction may be by synchronous electronic methods</t>
        </r>
        <r>
          <rPr>
            <sz val="9"/>
            <color indexed="81"/>
            <rFont val="Tahoma"/>
            <family val="2"/>
          </rPr>
          <t xml:space="preserve">
</t>
        </r>
      </text>
    </comment>
    <comment ref="B114" authorId="0" shapeId="0" xr:uid="{00000000-0006-0000-0200-000036000000}">
      <text>
        <r>
          <rPr>
            <b/>
            <sz val="9"/>
            <color indexed="81"/>
            <rFont val="Tahoma"/>
            <family val="2"/>
          </rPr>
          <t xml:space="preserve">
III.B.2.a. Resources - Medical Director Responsibilities 
The Medical Director must be responsible for medical oversight of the program, including but not limited to
1) Review and approval of the educational content of the program to include didactic, laboratory, clinical experience, field experience, and capstone field internship to ensure it meets current standards of medical practice;
2) Review and approval of the required minimum numbers for each of the required patient contacts and procedures listed in these Standards;
3) Review and approval of the instruments and processes used to evaluate students in didactic, laboratory, clinical, field experience, and capstone field internship;
4) Review of the progress of each student throughout the program, and assist in the determination of appropriate corrective measures,
 </t>
        </r>
        <r>
          <rPr>
            <b/>
            <i/>
            <sz val="9"/>
            <color indexed="81"/>
            <rFont val="Tahoma"/>
            <family val="2"/>
          </rPr>
          <t xml:space="preserve">   It is recommended that corrective measures occur in the cases of failing academic or clinical or field internship performance.</t>
        </r>
        <r>
          <rPr>
            <b/>
            <sz val="9"/>
            <color indexed="81"/>
            <rFont val="Tahoma"/>
            <family val="2"/>
          </rPr>
          <t xml:space="preserve">
5) Ensuring the competence of each graduate of the program in the cognitive, psychomotor, and affective domains;
6) Engaging in cooperative involvement with the program director; and
7) Ensuring the effectiveness and quality of any Medical Director responsibilities delegated to an Associate or Assistant Medical Director.
</t>
        </r>
        <r>
          <rPr>
            <b/>
            <i/>
            <sz val="9"/>
            <color indexed="81"/>
            <rFont val="Tahoma"/>
            <family val="2"/>
          </rPr>
          <t xml:space="preserve">    It is recommended that the Medical Director interaction be in a variety of settings, such as lecture, laboratory, clinical, 
    capstone field internship. Interaction may be by synchronous electronic methods</t>
        </r>
        <r>
          <rPr>
            <sz val="9"/>
            <color indexed="81"/>
            <rFont val="Tahoma"/>
            <family val="2"/>
          </rPr>
          <t xml:space="preserve">
</t>
        </r>
      </text>
    </comment>
    <comment ref="B115" authorId="0" shapeId="0" xr:uid="{00000000-0006-0000-0200-000037000000}">
      <text>
        <r>
          <rPr>
            <b/>
            <sz val="9"/>
            <color indexed="81"/>
            <rFont val="Tahoma"/>
            <family val="2"/>
          </rPr>
          <t xml:space="preserve">
III.B.2.a. Resources - Medical Director Responsibilities 
The Medical Director must be responsible for medical oversight of the program, including but not limited to
1) Review and approval of the educational content of the program to include didactic, laboratory, clinical experience, field experience, and capstone field internship to ensure it meets current standards of medical practice;
2) Review and approval of the required minimum numbers for each of the required patient contacts and procedures listed in these Standards;
3) Review and approval of the instruments and processes used to evaluate students in didactic, laboratory, clinical, field experience, and capstone field internship;
4) Review of the progress of each student throughout the program, and assist in the determination of appropriate corrective measures,
  </t>
        </r>
        <r>
          <rPr>
            <b/>
            <i/>
            <sz val="9"/>
            <color indexed="81"/>
            <rFont val="Tahoma"/>
            <family val="2"/>
          </rPr>
          <t xml:space="preserve">  It is recommended that corrective measures occur in the cases of failing academic or clinical or field internship performance.</t>
        </r>
        <r>
          <rPr>
            <b/>
            <sz val="9"/>
            <color indexed="81"/>
            <rFont val="Tahoma"/>
            <family val="2"/>
          </rPr>
          <t xml:space="preserve">
5) Ensuring the competence of each graduate of the program in the cognitive, psychomotor, and affective domains;
6) Engaging in cooperative involvement with the program director; and
7) Ensuring the effectiveness and quality of any Medical Director responsibilities delegated to an Associate or Assistant Medical Director.
</t>
        </r>
        <r>
          <rPr>
            <b/>
            <i/>
            <sz val="9"/>
            <color indexed="81"/>
            <rFont val="Tahoma"/>
            <family val="2"/>
          </rPr>
          <t xml:space="preserve">    It is recommended that the Medical Director interaction be in a variety of settings, such as lecture, laboratory, clinical, 
    capstone field internship. Interaction may be by synchronous electronic methods</t>
        </r>
        <r>
          <rPr>
            <sz val="9"/>
            <color indexed="81"/>
            <rFont val="Tahoma"/>
            <family val="2"/>
          </rPr>
          <t xml:space="preserve">
</t>
        </r>
      </text>
    </comment>
    <comment ref="B116" authorId="0" shapeId="0" xr:uid="{00000000-0006-0000-0200-000038000000}">
      <text>
        <r>
          <rPr>
            <b/>
            <sz val="9"/>
            <color indexed="81"/>
            <rFont val="Tahoma"/>
            <family val="2"/>
          </rPr>
          <t xml:space="preserve">
III.B.2.a. Resources - Medical Director Responsibilities 
The Medical Director must be responsible for medical oversight of the program, including but not limited to
1) Review and approval of the educational content of the program to include didactic, laboratory, clinical experience, field experience, and capstone field internship to ensure it meets current standards of medical practice;
2) Review and approval of the required minimum numbers for each of the required patient contacts and procedures listed in these Standards;
3) Review and approval of the instruments and processes used to evaluate students in didactic, laboratory, clinical, field experience, and capstone field internship;
4) Review of the progress of each student throughout the program, and assist in the determination of appropriate corrective measures,
</t>
        </r>
        <r>
          <rPr>
            <b/>
            <i/>
            <sz val="9"/>
            <color indexed="81"/>
            <rFont val="Tahoma"/>
            <family val="2"/>
          </rPr>
          <t xml:space="preserve">    It is recommended that corrective measures occur in the cases of failing academic or clinical or field internship performance.</t>
        </r>
        <r>
          <rPr>
            <b/>
            <sz val="9"/>
            <color indexed="81"/>
            <rFont val="Tahoma"/>
            <family val="2"/>
          </rPr>
          <t xml:space="preserve">
5) Ensuring the competence of each graduate of the program in the cognitive, psychomotor, and affective domains;
6) Engaging in cooperative involvement with the program director; and
7) Ensuring the effectiveness and quality of any Medical Director responsibilities delegated to an Associate or Assistant Medical </t>
        </r>
        <r>
          <rPr>
            <b/>
            <i/>
            <sz val="9"/>
            <color indexed="81"/>
            <rFont val="Tahoma"/>
            <family val="2"/>
          </rPr>
          <t>Director.
    It is recommended that the Medical Director interaction be in a variety of settings, such as lecture, laboratory, clinical, 
    capstone field internship. Interaction may be by synchronous electronic methods</t>
        </r>
        <r>
          <rPr>
            <sz val="9"/>
            <color indexed="81"/>
            <rFont val="Tahoma"/>
            <family val="2"/>
          </rPr>
          <t xml:space="preserve">
</t>
        </r>
      </text>
    </comment>
    <comment ref="B118" authorId="0" shapeId="0" xr:uid="{00000000-0006-0000-0200-00003A000000}">
      <text>
        <r>
          <rPr>
            <b/>
            <sz val="9"/>
            <color indexed="81"/>
            <rFont val="Tahoma"/>
            <family val="2"/>
          </rPr>
          <t xml:space="preserve">III.B.2.b. Resources - Medical Director Qualifications 
The Medical Director must
1) Be a physician currently licensed and authorized to practice in the state in which the program is located, and board certified or the equivalent;
2) Have adequate training or experience in the delivery of out-of-hospital emergency care, including the proper care and transport of patients, medical direction, and quality improvement in out-of-hospital care;
3) Have the requisite knowledge and skills to advise the program leadership about the clinical/academic aspects of the program; and
4) Be knowledgeable about the education of the Emergency Medical Services Professions, including professional, legislative and regulatory issues regarding the education of the Emergency Medical Services Professions; and
5) Be knowledgeable in teaching the subjects assigned, when applicable.
</t>
        </r>
        <r>
          <rPr>
            <b/>
            <i/>
            <sz val="9"/>
            <color indexed="81"/>
            <rFont val="Tahoma"/>
            <family val="2"/>
          </rPr>
          <t xml:space="preserve">   It is recommended that the Medical Director be board certified in EMS Medicine or Emergency Medicine. </t>
        </r>
        <r>
          <rPr>
            <sz val="9"/>
            <color indexed="81"/>
            <rFont val="Tahoma"/>
            <family val="2"/>
          </rPr>
          <t xml:space="preserve">
</t>
        </r>
      </text>
    </comment>
    <comment ref="B119" authorId="0" shapeId="0" xr:uid="{00000000-0006-0000-0200-00003B000000}">
      <text>
        <r>
          <rPr>
            <b/>
            <sz val="9"/>
            <color indexed="81"/>
            <rFont val="Tahoma"/>
            <family val="2"/>
          </rPr>
          <t xml:space="preserve">III.B.2.b. Resources - Medical Director Qualifications 
The Medical Director must
1) Be a physician currently licensed and authorized to practice in the state in which the program is located, and board certified or the equivalent;
2) Have adequate training or experience in the delivery of out-of-hospital emergency care, including the proper care and transport of patients, medical direction, and quality improvement in out-of-hospital care;
3) Have the requisite knowledge and skills to advise the program leadership about the clinical/academic aspects of the program; and
4) Be knowledgeable about the education of the Emergency Medical Services Professions, including professional, legislative and regulatory issues regarding the education of the Emergency Medical Services Professions; and
5) Be knowledgeable in teaching the subjects assigned, when applicable.
</t>
        </r>
        <r>
          <rPr>
            <b/>
            <i/>
            <sz val="9"/>
            <color indexed="81"/>
            <rFont val="Tahoma"/>
            <family val="2"/>
          </rPr>
          <t xml:space="preserve">    
   It is recommended that the Medical Director be board certified in EMS Medicine or Emergency Medicine.</t>
        </r>
        <r>
          <rPr>
            <b/>
            <sz val="9"/>
            <color indexed="81"/>
            <rFont val="Tahoma"/>
            <family val="2"/>
          </rPr>
          <t xml:space="preserve"> </t>
        </r>
        <r>
          <rPr>
            <sz val="9"/>
            <color indexed="81"/>
            <rFont val="Tahoma"/>
            <family val="2"/>
          </rPr>
          <t xml:space="preserve">
</t>
        </r>
      </text>
    </comment>
    <comment ref="B120" authorId="0" shapeId="0" xr:uid="{00000000-0006-0000-0200-00003C000000}">
      <text>
        <r>
          <rPr>
            <b/>
            <sz val="9"/>
            <color indexed="81"/>
            <rFont val="Tahoma"/>
            <family val="2"/>
          </rPr>
          <t xml:space="preserve">III.B.2.b. Resources - Medical Director Qualifications 
The Medical Director must
1) Be a physician currently licensed and authorized to practice in the state in which the program is located, and board certified or the equivalent;
2) Have adequate training or experience in the delivery of out-of-hospital emergency care, including the proper care and transport of patients, medical direction, and quality improvement in out-of-hospital care;
3) Have the requisite knowledge and skills to advise the program leadership about the clinical/academic aspects of the program; and
4) Be knowledgeable about the education of the Emergency Medical Services Professions, including professional, legislative and regulatory issues regarding the education of the Emergency Medical Services Professions; and
5) Be knowledgeable in teaching the subjects assigned, when applicable.
</t>
        </r>
        <r>
          <rPr>
            <b/>
            <i/>
            <sz val="9"/>
            <color indexed="81"/>
            <rFont val="Tahoma"/>
            <family val="2"/>
          </rPr>
          <t xml:space="preserve">   It is recommended that the Medical Director be board certified in EMS Medicine or Emergency Medicine. </t>
        </r>
        <r>
          <rPr>
            <sz val="9"/>
            <color indexed="81"/>
            <rFont val="Tahoma"/>
            <family val="2"/>
          </rPr>
          <t xml:space="preserve">
</t>
        </r>
      </text>
    </comment>
    <comment ref="B121" authorId="0" shapeId="0" xr:uid="{00000000-0006-0000-0200-00003D000000}">
      <text>
        <r>
          <rPr>
            <b/>
            <sz val="9"/>
            <color indexed="81"/>
            <rFont val="Tahoma"/>
            <family val="2"/>
          </rPr>
          <t xml:space="preserve">III.B.2.b. Resources - Medical Director Qualifications 
The Medical Director must
1) Be a physician currently licensed and authorized to practice in the state in which the program is located, and board certified or the equivalent;
2) Have adequate training or experience in the delivery of out-of-hospital emergency care, including the proper care and transport of patients, medical direction, and quality improvement in out-of-hospital care;
3) Have the requisite knowledge and skills to advise the program leadership about the clinical/academic aspects of the program; and
4) Be knowledgeable about the education of the Emergency Medical Services Professions, including professional, legislative and regulatory issues regarding the education of the Emergency Medical Services Professions; and
5) Be knowledgeable in teaching the subjects assigned, when applicable.
    </t>
        </r>
        <r>
          <rPr>
            <b/>
            <i/>
            <sz val="9"/>
            <color indexed="81"/>
            <rFont val="Tahoma"/>
            <family val="2"/>
          </rPr>
          <t xml:space="preserve">
   It is recommended that the Medical Director be board certified in EMS Medicine or Emergency Medicine. </t>
        </r>
        <r>
          <rPr>
            <sz val="9"/>
            <color indexed="81"/>
            <rFont val="Tahoma"/>
            <family val="2"/>
          </rPr>
          <t xml:space="preserve">
</t>
        </r>
      </text>
    </comment>
    <comment ref="B122" authorId="0" shapeId="0" xr:uid="{852CEC6F-536F-4796-B46C-1D96891A4643}">
      <text>
        <r>
          <rPr>
            <b/>
            <sz val="9"/>
            <color indexed="81"/>
            <rFont val="Tahoma"/>
            <family val="2"/>
          </rPr>
          <t xml:space="preserve">III.B.2.b. Resources - Medical Director Qualifications 
The Medical Director must
1) Be a physician currently licensed and authorized to practice in the state in which the program is located, and board certified or the equivalent;
2) Have adequate training or experience in the delivery of out-of-hospital emergency care, including the proper care and transport of patients, medical direction, and quality improvement in out-of-hospital care;
3) Have the requisite knowledge and skills to advise the program leadership about the clinical/academic aspects of the program; and
4) Be knowledgeable about the education of the Emergency Medical Services Professions, including professional, legislative and regulatory issues regarding the education of the Emergency Medical Services Professions; and
5) Be knowledgeable in teaching the subjects assigned, when applicable.
    </t>
        </r>
        <r>
          <rPr>
            <b/>
            <i/>
            <sz val="9"/>
            <color indexed="81"/>
            <rFont val="Tahoma"/>
            <family val="2"/>
          </rPr>
          <t xml:space="preserve">
   It is recommended that the Medical Director be board certified in EMS Medicine or Emergency Medicine. </t>
        </r>
        <r>
          <rPr>
            <sz val="9"/>
            <color indexed="81"/>
            <rFont val="Tahoma"/>
            <family val="2"/>
          </rPr>
          <t xml:space="preserve">
</t>
        </r>
      </text>
    </comment>
    <comment ref="B126" authorId="0" shapeId="0" xr:uid="{00000000-0006-0000-0200-00003E000000}">
      <text>
        <r>
          <rPr>
            <b/>
            <sz val="9"/>
            <color indexed="81"/>
            <rFont val="Tahoma"/>
            <family val="2"/>
          </rPr>
          <t xml:space="preserve">
Standard III.B.3.a. Associate Medical Director Responsibilities
When the program designates an Associate Medical Director, the Medical Director must specify the
delegated responsibilities.
The Associate Medical Director must
1) Fulfill responsibilities as delegated by the program Medical Director.
</t>
        </r>
        <r>
          <rPr>
            <sz val="9"/>
            <color indexed="81"/>
            <rFont val="Tahoma"/>
            <family val="2"/>
          </rPr>
          <t xml:space="preserve">
</t>
        </r>
      </text>
    </comment>
    <comment ref="B129" authorId="0" shapeId="0" xr:uid="{00000000-0006-0000-0200-00003F000000}">
      <text>
        <r>
          <rPr>
            <b/>
            <sz val="9"/>
            <color indexed="81"/>
            <rFont val="Tahoma"/>
            <family val="2"/>
          </rPr>
          <t>Standard III.B.3.b. Associate Medical Director Qualifications
The Associate Medical Director must
1) Be a physician currently licensed and authorized to practice in the state in which assigned program activities occur with experience and current knowledge of emergency care of acutely ill and injured patients;
2) Have adequate training or experience in the delivery of out-of-hospital emergency care, including the proper care and transport of patients, medical direction, and quality improvement in out-of-hospital care; and
3) Be knowledgeable about the education of the Emergency Medical Services Professions, including professional, legislative and regulatory issues regarding the education of the Emergency Medical Services Professions.</t>
        </r>
        <r>
          <rPr>
            <sz val="9"/>
            <color indexed="81"/>
            <rFont val="Tahoma"/>
            <family val="2"/>
          </rPr>
          <t xml:space="preserve">
</t>
        </r>
      </text>
    </comment>
    <comment ref="B130" authorId="0" shapeId="0" xr:uid="{00000000-0006-0000-0200-000040000000}">
      <text>
        <r>
          <rPr>
            <b/>
            <sz val="9"/>
            <color indexed="81"/>
            <rFont val="Tahoma"/>
            <family val="2"/>
          </rPr>
          <t>Standard III.B.3.b. Associate Medical Director Qualifications
The Associate Medical Director must
1) Be a physician currently licensed and authorized to practice in the state in which assigned program activities occur with experience and current knowledge of emergency care of acutely ill and injured patients;
2) Have adequate training or experience in the delivery of out-of-hospital emergency care, including the proper care and transport of patients, medical direction, and quality improvement in out-of-hospital care; and
3) Be knowledgeable about the education of the Emergency Medical Services Professions, including professional, legislative and regulatory issues regarding the education of the Emergency Medical Services Professions.</t>
        </r>
        <r>
          <rPr>
            <sz val="9"/>
            <color indexed="81"/>
            <rFont val="Tahoma"/>
            <family val="2"/>
          </rPr>
          <t xml:space="preserve">
</t>
        </r>
      </text>
    </comment>
    <comment ref="B131" authorId="0" shapeId="0" xr:uid="{00000000-0006-0000-0200-000041000000}">
      <text>
        <r>
          <rPr>
            <b/>
            <sz val="9"/>
            <color indexed="81"/>
            <rFont val="Tahoma"/>
            <family val="2"/>
          </rPr>
          <t xml:space="preserve">
Standard III.B.3.b. Associate Medical Director Qualifications
The Associate Medical Director must
1) Be a physician currently licensed and authorized to practice in the state in which assigned program activities occur with experience and current knowledge of emergency care of acutely ill and injured patients;
2) Have adequate training or experience in the delivery of out-of-hospital emergency care, including the proper care and transport of patients, medical direction, and quality improvement in out-of-hospital care; and
3) Be knowledgeable about the education of the Emergency Medical Services Professions, including professional, legislative and regulatory issues regarding the education of the Emergency Medical Services Professions.</t>
        </r>
        <r>
          <rPr>
            <sz val="9"/>
            <color indexed="81"/>
            <rFont val="Tahoma"/>
            <family val="2"/>
          </rPr>
          <t xml:space="preserve">
</t>
        </r>
      </text>
    </comment>
    <comment ref="B136" authorId="0" shapeId="0" xr:uid="{00000000-0006-0000-0200-000043000000}">
      <text>
        <r>
          <rPr>
            <b/>
            <sz val="9"/>
            <color indexed="81"/>
            <rFont val="Tahoma"/>
            <family val="2"/>
          </rPr>
          <t xml:space="preserve">
Standard III.B.4.a. Assistant Medical Director Responsibilities
When the program Medical Director or Associate Medical Director cannot legally provide supervision for out-of-state location(s) of the educational activities of the program, the sponsor must appoint an Assistant Medical Director.
The Assistant Medical Director must
1) Provide medical supervision and oversight of students participating in clinical rotations, field experience and capstone field internship.
</t>
        </r>
      </text>
    </comment>
    <comment ref="B139" authorId="0" shapeId="0" xr:uid="{00000000-0006-0000-0200-000044000000}">
      <text>
        <r>
          <rPr>
            <b/>
            <sz val="9"/>
            <color rgb="FF000000"/>
            <rFont val="Tahoma"/>
            <family val="2"/>
          </rPr>
          <t xml:space="preserve">Standard III.B.4.b. Assistant Medical Director Qualifications
The Assistant Medical Director must
1) Be a physician currently licensed to practice in the state or other like jurisdiction and authorized to practice in the jurisdiction where the student(s) are practicing;
2) Have adequate training or experience in the delivery of out-of-hospital emergency care, including the proper care and transport of patients, medical direction, and quality improvement in out-of-hospital care;
3) Be knowledgeable about the education of the Emergency Medical Services Professions, including professional, legislative and regulatory issues regarding the education of the Emergency Medical Services Professions.
</t>
        </r>
        <r>
          <rPr>
            <b/>
            <i/>
            <sz val="9"/>
            <color rgb="FF000000"/>
            <rFont val="Tahoma"/>
            <family val="2"/>
          </rPr>
          <t>In certain circumstances, such as an out of state satellite location, the program Medical Director may delegate designated program responsibilities to the Associate or Assistant Medical Director under the supervision of the program Medical Director.</t>
        </r>
        <r>
          <rPr>
            <sz val="9"/>
            <color rgb="FF000000"/>
            <rFont val="Tahoma"/>
            <family val="2"/>
          </rPr>
          <t xml:space="preserve">
</t>
        </r>
      </text>
    </comment>
    <comment ref="B140" authorId="0" shapeId="0" xr:uid="{00000000-0006-0000-0200-000045000000}">
      <text>
        <r>
          <rPr>
            <b/>
            <sz val="9"/>
            <color indexed="81"/>
            <rFont val="Tahoma"/>
            <family val="2"/>
          </rPr>
          <t xml:space="preserve">Standard III.B.4.b. Assistant Medical Director Qualifications
The Assistant Medical Director must
1) Be a physician currently licensed to practice in the state or other like jurisdiction and authorized to practice in the jurisdiction where the student(s) are practicing;
2) Have adequate training or experience in the delivery of out-of-hospital emergency care, including the proper care and transport of patients, medical direction, and quality improvement in out-of-hospital care;
3) Be knowledgeable about the education of the Emergency Medical Services Professions, including professional, legislative and regulatory issues regarding the education of the Emergency Medical Services Professions.
</t>
        </r>
        <r>
          <rPr>
            <b/>
            <i/>
            <sz val="9"/>
            <color indexed="81"/>
            <rFont val="Tahoma"/>
            <family val="2"/>
          </rPr>
          <t>In certain circumstances, such as an out of state satellite location, the program Medical Director may delegate designated program responsibilities to the Associate or Assistant Medical Director under the supervision of the program Medical Director.</t>
        </r>
        <r>
          <rPr>
            <sz val="9"/>
            <color indexed="81"/>
            <rFont val="Tahoma"/>
            <family val="2"/>
          </rPr>
          <t xml:space="preserve">
</t>
        </r>
      </text>
    </comment>
    <comment ref="B142" authorId="0" shapeId="0" xr:uid="{00000000-0006-0000-0200-000046000000}">
      <text>
        <r>
          <rPr>
            <b/>
            <sz val="9"/>
            <color indexed="81"/>
            <rFont val="Tahoma"/>
            <family val="2"/>
          </rPr>
          <t xml:space="preserve">Standard III.B.4.b. Assistant Medical Director Qualifications
The Assistant Medical Director must
1) Be a physician currently licensed to practice in the state or other like jurisdiction and authorized to practice in the jurisdiction where the student(s) are practicing;
2) Have adequate training or experience in the delivery of out-of-hospital emergency care, including the proper care and transport of patients, medical direction, and quality improvement in out-of-hospital care;
3) Be knowledgeable about the education of the Emergency Medical Services Professions, including professional, legislative and regulatory issues regarding the education of the Emergency Medical Services Professions.
</t>
        </r>
        <r>
          <rPr>
            <b/>
            <i/>
            <sz val="9"/>
            <color indexed="81"/>
            <rFont val="Tahoma"/>
            <family val="2"/>
          </rPr>
          <t xml:space="preserve">
In certain circumstances, such as an out of state satellite location, the program Medical Director may delegate designated program responsibilities to the Associate or Assistant Medical Director under the supervision of the program Medical Director.</t>
        </r>
        <r>
          <rPr>
            <sz val="9"/>
            <color indexed="81"/>
            <rFont val="Tahoma"/>
            <family val="2"/>
          </rPr>
          <t xml:space="preserve">
</t>
        </r>
      </text>
    </comment>
    <comment ref="B146" authorId="0" shapeId="0" xr:uid="{00000000-0006-0000-0200-000048000000}">
      <text>
        <r>
          <rPr>
            <b/>
            <sz val="9"/>
            <color indexed="81"/>
            <rFont val="Tahoma"/>
            <family val="2"/>
          </rPr>
          <t xml:space="preserve">III.B.5.a. Resources - Faculty/Instructional Staff Responsibilities 
For all didactic, laboratory, and clinical instruction to which a student is assigned, there must be qualified individual(s) clearly designated by the program to provide instruction, supervision, and timely assessments of the student’s progress in meeting program requirements.
</t>
        </r>
        <r>
          <rPr>
            <b/>
            <i/>
            <sz val="9"/>
            <color indexed="81"/>
            <rFont val="Tahoma"/>
            <family val="2"/>
          </rPr>
          <t xml:space="preserve">
It is recommended a faculty member assists in teaching and/or clinical coordination in addition to the program director.  </t>
        </r>
        <r>
          <rPr>
            <b/>
            <sz val="9"/>
            <color indexed="81"/>
            <rFont val="Tahoma"/>
            <family val="2"/>
          </rPr>
          <t xml:space="preserve"> </t>
        </r>
        <r>
          <rPr>
            <sz val="9"/>
            <color indexed="81"/>
            <rFont val="Tahoma"/>
            <family val="2"/>
          </rPr>
          <t xml:space="preserve">
</t>
        </r>
      </text>
    </comment>
    <comment ref="B153" authorId="0" shapeId="0" xr:uid="{00000000-0006-0000-0200-000049000000}">
      <text>
        <r>
          <rPr>
            <b/>
            <sz val="9"/>
            <color indexed="81"/>
            <rFont val="Tahoma"/>
            <family val="2"/>
          </rPr>
          <t xml:space="preserve">
III.B.5.b. Resources - Faculty/Instructional Staff Qualifications 
Faculty/instructional staff must be effective in teaching and knowledgeable in subject matter as documented by appropriate professional credential(s)/certification(s), education, and experience in the designated content area.
</t>
        </r>
        <r>
          <rPr>
            <b/>
            <i/>
            <sz val="9"/>
            <color indexed="81"/>
            <rFont val="Tahoma"/>
            <family val="2"/>
          </rPr>
          <t>It is recommended that faculty members be certified by a nationally recognized certifying organization at an equal or higher level of professional training than the Emergency Medical Services Profession(s) for which training is being offered.</t>
        </r>
        <r>
          <rPr>
            <sz val="9"/>
            <color indexed="81"/>
            <rFont val="Tahoma"/>
            <family val="2"/>
          </rPr>
          <t xml:space="preserve">
</t>
        </r>
      </text>
    </comment>
    <comment ref="B157" authorId="0" shapeId="0" xr:uid="{00000000-0006-0000-0200-00004B000000}">
      <text>
        <r>
          <rPr>
            <b/>
            <sz val="9"/>
            <color indexed="81"/>
            <rFont val="Tahoma"/>
            <family val="2"/>
          </rPr>
          <t xml:space="preserve">
Standard III.B.6.a. Lead Instructor Responsibilities
When the Program Director delegates specified responsibilities to a lead instructor, the Lead
Instructor must
1) Perform duties assigned under the direction and delegation of the Program Director.
</t>
        </r>
        <r>
          <rPr>
            <b/>
            <i/>
            <sz val="9"/>
            <color indexed="81"/>
            <rFont val="Tahoma"/>
            <family val="2"/>
          </rPr>
          <t>The Lead Instructor duties may include teaching paramedic or AEMT course(s) and/or assisting in coordination of the didactic, lab, clinical and/or field internship instruction.</t>
        </r>
        <r>
          <rPr>
            <sz val="9"/>
            <color indexed="81"/>
            <rFont val="Tahoma"/>
            <family val="2"/>
          </rPr>
          <t xml:space="preserve">
</t>
        </r>
      </text>
    </comment>
    <comment ref="B159" authorId="0" shapeId="0" xr:uid="{00000000-0006-0000-0200-00004C000000}">
      <text>
        <r>
          <rPr>
            <b/>
            <sz val="9"/>
            <color rgb="FF000000"/>
            <rFont val="Tahoma"/>
            <family val="2"/>
          </rPr>
          <t xml:space="preserve">Standard III.B.6.b. Lead Instructor Qualifications
The Lead Instructor must possess
1) A minimum of an Associate degree;
2) A professional healthcare credential(s);
3) Experience in emergency medicine / prehospital care;
4) Knowledge of instructional methods; and
5) Teaching experience to deliver content, skills instruction, and remediation.
</t>
        </r>
        <r>
          <rPr>
            <b/>
            <i/>
            <sz val="9"/>
            <color rgb="FF000000"/>
            <rFont val="Tahoma"/>
            <family val="2"/>
          </rPr>
          <t xml:space="preserve">It is recommended that the Lead Instructors have a Bachelor’s degree.
</t>
        </r>
        <r>
          <rPr>
            <b/>
            <sz val="9"/>
            <color rgb="FF000000"/>
            <rFont val="Tahoma"/>
            <family val="2"/>
          </rPr>
          <t xml:space="preserve">The Lead Instructor role may also include providing leadership for course coordination and supervision of adjunct faculy/instructors.
</t>
        </r>
        <r>
          <rPr>
            <b/>
            <i/>
            <sz val="9"/>
            <color rgb="FF000000"/>
            <rFont val="Tahoma"/>
            <family val="2"/>
          </rPr>
          <t xml:space="preserve">
The Program Director may serve as the Lead Instructor.</t>
        </r>
      </text>
    </comment>
    <comment ref="B160" authorId="0" shapeId="0" xr:uid="{00000000-0006-0000-0200-00004D000000}">
      <text>
        <r>
          <rPr>
            <b/>
            <sz val="9"/>
            <color indexed="81"/>
            <rFont val="Tahoma"/>
            <family val="2"/>
          </rPr>
          <t xml:space="preserve">Standard III.B.6.b. Lead Instructor Qualifications
The Lead Instructor must possess
1) A minimum of an Associate degree;
2) A professional healthcare credential(s);
3) Experience in emergency medicine / prehospital care;
4) Knowledge of instructional methods; and
5) Teaching experience to deliver content, skills instruction, and remediation.
</t>
        </r>
        <r>
          <rPr>
            <b/>
            <i/>
            <sz val="9"/>
            <color indexed="81"/>
            <rFont val="Tahoma"/>
            <family val="2"/>
          </rPr>
          <t xml:space="preserve">It is recommended that the Lead Instructors have a Bachelor’s degree.
</t>
        </r>
        <r>
          <rPr>
            <b/>
            <sz val="9"/>
            <color indexed="81"/>
            <rFont val="Tahoma"/>
            <family val="2"/>
          </rPr>
          <t>The Lead Instructor role may also include providing leadership for course coordination and supervision of adjunct faculy/instructors.</t>
        </r>
        <r>
          <rPr>
            <b/>
            <i/>
            <sz val="9"/>
            <color indexed="81"/>
            <rFont val="Tahoma"/>
            <family val="2"/>
          </rPr>
          <t xml:space="preserve">
The Program Director may serve as the Lead Instructor.</t>
        </r>
      </text>
    </comment>
    <comment ref="B161" authorId="0" shapeId="0" xr:uid="{00000000-0006-0000-0200-00004E000000}">
      <text>
        <r>
          <rPr>
            <b/>
            <sz val="9"/>
            <color indexed="81"/>
            <rFont val="Tahoma"/>
            <family val="2"/>
          </rPr>
          <t xml:space="preserve">
Standard III.B.6.b. Lead Instructor Qualifications
The Lead Instructor must possess
1) A minimum of an Associate degree;
2) A professional healthcare credential(s);
3) Experience in emergency medicine / prehospital care;
4) Knowledge of instructional methods; and
5) Teaching experience to deliver content, skills instruction, and remediation.
</t>
        </r>
        <r>
          <rPr>
            <b/>
            <i/>
            <sz val="9"/>
            <color indexed="81"/>
            <rFont val="Tahoma"/>
            <family val="2"/>
          </rPr>
          <t xml:space="preserve">It is recommended that the Lead Instructors have a Bachelor’s degree.
</t>
        </r>
        <r>
          <rPr>
            <b/>
            <sz val="9"/>
            <color indexed="81"/>
            <rFont val="Tahoma"/>
            <family val="2"/>
          </rPr>
          <t>The Lead Instructor role may also include providing leadership for course coordination and supervision of adjunct faculy/instructors.</t>
        </r>
        <r>
          <rPr>
            <b/>
            <i/>
            <sz val="9"/>
            <color indexed="81"/>
            <rFont val="Tahoma"/>
            <family val="2"/>
          </rPr>
          <t xml:space="preserve">
The Program Director may serve as the Lead Instructor.</t>
        </r>
      </text>
    </comment>
    <comment ref="B162" authorId="0" shapeId="0" xr:uid="{00000000-0006-0000-0200-00004F000000}">
      <text>
        <r>
          <rPr>
            <b/>
            <sz val="9"/>
            <color indexed="81"/>
            <rFont val="Tahoma"/>
            <family val="2"/>
          </rPr>
          <t xml:space="preserve">Standard III.B.6.b. Lead Instructor Qualifications
The Lead Instructor must possess
1) A minimum of an Associate degree;
2) A professional healthcare credential(s);
3) Experience in emergency medicine / prehospital care;
4) Knowledge of instructional methods; and
5) Teaching experience to deliver content, skills instruction, and remediation.
</t>
        </r>
        <r>
          <rPr>
            <b/>
            <i/>
            <sz val="9"/>
            <color indexed="81"/>
            <rFont val="Tahoma"/>
            <family val="2"/>
          </rPr>
          <t xml:space="preserve">
It is recommended that the Lead Instructors have a Bachelor’s degree.
</t>
        </r>
        <r>
          <rPr>
            <b/>
            <sz val="9"/>
            <color indexed="81"/>
            <rFont val="Tahoma"/>
            <family val="2"/>
          </rPr>
          <t>The Lead Instructor role may also include providing leadership for course coordination and supervision of adjunct faculy/instructors.</t>
        </r>
        <r>
          <rPr>
            <b/>
            <i/>
            <sz val="9"/>
            <color indexed="81"/>
            <rFont val="Tahoma"/>
            <family val="2"/>
          </rPr>
          <t xml:space="preserve">
The Program Director may serve as the Lead Instructor.</t>
        </r>
      </text>
    </comment>
    <comment ref="B163" authorId="0" shapeId="0" xr:uid="{00000000-0006-0000-0200-000050000000}">
      <text>
        <r>
          <rPr>
            <b/>
            <sz val="9"/>
            <color indexed="81"/>
            <rFont val="Tahoma"/>
            <family val="2"/>
          </rPr>
          <t xml:space="preserve">Standard III.B.6.b. Lead Instructor Qualifications
The Lead Instructor must possess
1) A minimum of an Associate degree;
2) A professional healthcare credential(s);
3) Experience in emergency medicine / prehospital care;
4) Knowledge of instructional methods; and
5) Teaching experience to deliver content, skills instruction, and remediation.
</t>
        </r>
        <r>
          <rPr>
            <b/>
            <i/>
            <sz val="9"/>
            <color indexed="81"/>
            <rFont val="Tahoma"/>
            <family val="2"/>
          </rPr>
          <t xml:space="preserve">
It is recommended that the Lead Instructors have a Bachelor’s degree.
</t>
        </r>
        <r>
          <rPr>
            <b/>
            <sz val="9"/>
            <color indexed="81"/>
            <rFont val="Tahoma"/>
            <family val="2"/>
          </rPr>
          <t>The Lead Instructor role may also include providing leadership for course coordination and supervision of adjunct faculy/instructors.</t>
        </r>
        <r>
          <rPr>
            <b/>
            <i/>
            <sz val="9"/>
            <color indexed="81"/>
            <rFont val="Tahoma"/>
            <family val="2"/>
          </rPr>
          <t xml:space="preserve">
The Program Director may serve as the Lead Instructor.</t>
        </r>
      </text>
    </comment>
    <comment ref="B167" authorId="0" shapeId="0" xr:uid="{8DA32E53-7771-42C2-8AC2-3B4E81C2C8FE}">
      <text>
        <r>
          <rPr>
            <b/>
            <sz val="9"/>
            <color indexed="81"/>
            <rFont val="Tahoma"/>
            <family val="2"/>
          </rPr>
          <t xml:space="preserve">
Standard III.B.7.a. Clinical Coordinator Responsibilities
The clinical coordinator must
1) Coordinate clinical education;
2) Ensure documentation of the evaluation and progression of clinical performance;
3) Ensure orientation to the program’s requirements of the personnel who supervise or
instruct students at clinical and capstone field internship sites; and
4) Coordinate the assignment of students to clinical and field internship sites.</t>
        </r>
        <r>
          <rPr>
            <sz val="9"/>
            <color indexed="81"/>
            <rFont val="Tahoma"/>
            <family val="2"/>
          </rPr>
          <t xml:space="preserve">
</t>
        </r>
      </text>
    </comment>
    <comment ref="B168" authorId="0" shapeId="0" xr:uid="{9A86154D-9FF2-4F35-B341-8E1D270F59E9}">
      <text>
        <r>
          <rPr>
            <b/>
            <sz val="9"/>
            <color indexed="81"/>
            <rFont val="Tahoma"/>
            <family val="2"/>
          </rPr>
          <t xml:space="preserve">
Standard III.B.7.a. Clinical Coordinator Responsibilities
The clinical coordinator must
1) Coordinate clinical education;
2) Ensure documentation of the evaluation and progression of clinical performance;
3) Ensure orientation to the program’s requirements of the personnel who supervise or
instruct students at clinical and capstone field internship sites; and
4) Coordinate the assignment of students to clinical and field internship sites.</t>
        </r>
      </text>
    </comment>
    <comment ref="B169" authorId="0" shapeId="0" xr:uid="{32551BC8-87CF-4F7B-8154-01270729B2C5}">
      <text>
        <r>
          <rPr>
            <b/>
            <sz val="9"/>
            <color indexed="81"/>
            <rFont val="Tahoma"/>
            <family val="2"/>
          </rPr>
          <t xml:space="preserve">
Standard III.B.7.a. Clinical Coordinator Responsibilities
The clinical coordinator must
1) Coordinate clinical education;
2) Ensure documentation of the evaluation and progression of clinical performance;
3) Ensure orientation to the program’s requirements of the personnel who supervise or
instruct students at clinical and capstone field internship sites; and
4) Coordinate the assignment of students to clinical and field internship sites.</t>
        </r>
      </text>
    </comment>
    <comment ref="B170" authorId="0" shapeId="0" xr:uid="{99F69E24-0829-4E16-ACA3-0D14252758BA}">
      <text>
        <r>
          <rPr>
            <b/>
            <sz val="9"/>
            <color indexed="81"/>
            <rFont val="Tahoma"/>
            <family val="2"/>
          </rPr>
          <t xml:space="preserve">
Standard III.B.7.a. Clinical Coordinator Responsibilities
The clinical coordinator must
1) Coordinate clinical education;
2) Ensure documentation of the evaluation and progression of clinical performance;
3) Ensure orientation to the program’s requirements of the personnel who supervise or
instruct students at clinical and capstone field internship sites; and
4) Coordinate the assignment of students to clinical and field internship sites.</t>
        </r>
      </text>
    </comment>
    <comment ref="B172" authorId="0" shapeId="0" xr:uid="{71F7BF7D-034B-4D53-9CD5-A7E495C11D8B}">
      <text>
        <r>
          <rPr>
            <b/>
            <sz val="9"/>
            <color rgb="FF000000"/>
            <rFont val="Tahoma"/>
            <family val="2"/>
          </rPr>
          <t xml:space="preserve">Standard III.B.7.b. Clinical Coordinator Qualifications
The clinical coordinator must
1) Have documented experience in emergency medical services;
2) Possess knowledge of the curriculum; and
3) Possess knowledge about the program’s evaluation of student learning and
performance.
</t>
        </r>
        <r>
          <rPr>
            <b/>
            <i/>
            <sz val="9"/>
            <color rgb="FF000000"/>
            <rFont val="Tahoma"/>
            <family val="2"/>
          </rPr>
          <t>The Clinical Coordinator may be an EMS faculty member with other teaching responsibilities or
assignments.</t>
        </r>
      </text>
    </comment>
    <comment ref="B173" authorId="0" shapeId="0" xr:uid="{5B9BA73D-71E3-4995-9964-71B3F63F1C11}">
      <text>
        <r>
          <rPr>
            <b/>
            <sz val="9"/>
            <color indexed="81"/>
            <rFont val="Tahoma"/>
            <family val="2"/>
          </rPr>
          <t xml:space="preserve">
Standard III.B.7.b. Clinical Coordinator Qualifications
The clinical coordinator must
1) Have documented experience in emergency medical services;
2) Possess knowledge of the curriculum; and
3) Possess knowledge about the program’s evaluation of student learning and
performance.
</t>
        </r>
        <r>
          <rPr>
            <b/>
            <i/>
            <sz val="9"/>
            <color indexed="81"/>
            <rFont val="Tahoma"/>
            <family val="2"/>
          </rPr>
          <t>The Clinical Coordinator may be an EMS faculty member with other teaching responsibilities or
assignments.</t>
        </r>
      </text>
    </comment>
    <comment ref="B174" authorId="0" shapeId="0" xr:uid="{9FAF2D20-A4CB-4A78-9746-9401CE1B2DF8}">
      <text>
        <r>
          <rPr>
            <b/>
            <sz val="9"/>
            <color indexed="81"/>
            <rFont val="Tahoma"/>
            <family val="2"/>
          </rPr>
          <t xml:space="preserve">Standard III.B.7.b. Clinical Coordinator Qualifications
The clinical coordinator must
1) Have documented experience in emergency medical services;
2) Possess knowledge of the curriculum; and
3) Possess knowledge about the program’s evaluation of student learning and
performance.
</t>
        </r>
        <r>
          <rPr>
            <b/>
            <i/>
            <sz val="9"/>
            <color indexed="81"/>
            <rFont val="Tahoma"/>
            <family val="2"/>
          </rPr>
          <t xml:space="preserve">
The Clinical Coordinator may be an EMS faculty member with other teaching responsibilities or
assignments.</t>
        </r>
      </text>
    </comment>
    <comment ref="B176" authorId="0" shapeId="0" xr:uid="{00000000-0006-0000-0200-000054000000}">
      <text>
        <r>
          <rPr>
            <b/>
            <sz val="9"/>
            <color indexed="81"/>
            <rFont val="Tahoma"/>
            <family val="2"/>
          </rPr>
          <t xml:space="preserve">III.C.  Curriculum  
The curriculum content must ensure that the program goals are achieved.
1. Instruction must be based on clearly written course syllabi that include course description, course objectives, methods of evaluation, topic outline, and competencies required for graduation/program completion.
2. Instruction must be delivered in an appropriate sequence of classroom, laboratory, clinical and field activities.
3. The program must demonstrate that the curriculum offered meets or exceeds the content and competency of the latest edition of the National EMS Education Standards listed in Appendix B of these Standards.
4. The program must set and require minimum student competencies for each of the required patients and conditions listed in these Standards, and at least annually evaluate and document that the established program minimums are adequate to achieve entry-level competency.
5. The capstone field internship must provide the student with an opportunity to serve as team leader in a variety of pre-hospital advanced life support emergency medical situations.
</t>
        </r>
        <r>
          <rPr>
            <b/>
            <i/>
            <sz val="9"/>
            <color indexed="81"/>
            <rFont val="Tahoma"/>
            <family val="2"/>
          </rPr>
          <t>It is recommended that programs establish an on-time graduation date for each cohort and a maximum amount of time to complete all components of the education program.
CAAHEP supports and encourages innovation in the development and delivery of the curriculum.</t>
        </r>
        <r>
          <rPr>
            <sz val="9"/>
            <color indexed="81"/>
            <rFont val="Tahoma"/>
            <family val="2"/>
          </rPr>
          <t xml:space="preserve">
</t>
        </r>
      </text>
    </comment>
    <comment ref="B181" authorId="0" shapeId="0" xr:uid="{00000000-0006-0000-0200-000052000000}">
      <text>
        <r>
          <rPr>
            <b/>
            <sz val="9"/>
            <color indexed="81"/>
            <rFont val="Tahoma"/>
            <family val="2"/>
          </rPr>
          <t xml:space="preserve">III.C.  Curriculum  
The curriculum content must ensure that the program goals are achieved.
1. Instruction must be based on clearly written course syllabi that include course description, course objectives, methods of evaluation, topic outline, and competencies required for graduation/program completion.
2. Instruction must be delivered in an appropriate sequence of classroom, laboratory, clinical and field activities.
3. The program must demonstrate that the curriculum offered meets or exceeds the content and competency of the latest edition of the National EMS Education Standards listed in Appendix B of these Standards.
4. The program must set and require minimum student competencies for each of the required patients and conditions listed in these Standards, and at least annually evaluate and document that the established program minimums are adequate to achieve entry-level competency.
5. The capstone field internship must provide the student with an opportunity to serve as team leader in a variety of pre-hospital advanced life support emergency medical situations.
</t>
        </r>
        <r>
          <rPr>
            <b/>
            <i/>
            <sz val="9"/>
            <color indexed="81"/>
            <rFont val="Tahoma"/>
            <family val="2"/>
          </rPr>
          <t>It is recommended that programs establish an on-time graduation date for each cohort and a maximum amount of time to complete all components of the education program.
CAAHEP supports and encourages innovation in the development and delivery of the curriculum.</t>
        </r>
        <r>
          <rPr>
            <sz val="9"/>
            <color indexed="81"/>
            <rFont val="Tahoma"/>
            <family val="2"/>
          </rPr>
          <t xml:space="preserve">
</t>
        </r>
      </text>
    </comment>
    <comment ref="B186" authorId="0" shapeId="0" xr:uid="{00000000-0006-0000-0200-000055000000}">
      <text>
        <r>
          <rPr>
            <b/>
            <sz val="9"/>
            <color indexed="81"/>
            <rFont val="Tahoma"/>
            <family val="2"/>
          </rPr>
          <t xml:space="preserve">III.C.  Curriculum  
The curriculum content must ensure that the program goals are achieved.
1. Instruction must be based on clearly written course syllabi that include course description, course objectives, methods of evaluation, topic outline, and competencies required for graduation/program completion.
2. Instruction must be delivered in an appropriate sequence of classroom, laboratory, clinical and field activities.
3. The program must demonstrate that the curriculum offered meets or exceeds the content and competency of the latest edition of the National EMS Education Standards listed in Appendix B of these Standards.
4. The program must set and require minimum student competencies for each of the required patients and conditions listed in these Standards, and at least annually evaluate and document that the established program minimums are adequate to achieve entry-level competency.
5. The capstone field internship must provide the student with an opportunity to serve as team leader in a variety of pre-hospital advanced life support emergency medical situations.
</t>
        </r>
        <r>
          <rPr>
            <b/>
            <i/>
            <sz val="9"/>
            <color indexed="81"/>
            <rFont val="Tahoma"/>
            <family val="2"/>
          </rPr>
          <t xml:space="preserve">
It is recommended that programs establish an on-time graduation date for each cohort and a maximum amount of time to complete all components of the education program.
CAAHEP supports and encourages innovation in the development and delivery of the curriculum.</t>
        </r>
        <r>
          <rPr>
            <sz val="9"/>
            <color indexed="81"/>
            <rFont val="Tahoma"/>
            <family val="2"/>
          </rPr>
          <t xml:space="preserve">
</t>
        </r>
      </text>
    </comment>
    <comment ref="B192" authorId="0" shapeId="0" xr:uid="{00000000-0006-0000-0200-000056000000}">
      <text>
        <r>
          <rPr>
            <b/>
            <sz val="9"/>
            <color rgb="FF000000"/>
            <rFont val="Tahoma"/>
            <family val="2"/>
          </rPr>
          <t xml:space="preserve">III.C.  Curriculum 
The curriculum content must ensure that the program goals are achieved.
1. Instruction must be based on clearly written course syllabi that include course description, course objectives, methods of evaluation, topic outline, and competencies required for graduation/program completion.
2. Instruction must be delivered in an appropriate sequence of classroom, laboratory, clinical and field activities.
3. The program must demonstrate that the curriculum offered meets or exceeds the content and competency of the latest edition of the National EMS Education Standards listed in Appendix B of these Standards.
4. The program must set and require minimum student competencies for each of the required patients and conditions listed in these Standards, and at least annually evaluate and document that the established program minimums are adequate to achieve entry-level competency.
5. The capstone field internship must provide the student with an opportunity to serve as team leader in a variety of pre-hospital advanced life support emergency medical situations.
</t>
        </r>
        <r>
          <rPr>
            <b/>
            <i/>
            <sz val="9"/>
            <color rgb="FF000000"/>
            <rFont val="Tahoma"/>
            <family val="2"/>
          </rPr>
          <t>It is recommended that programs establish an on-time graduation date for each cohort and a maximum amount of time to complete all components of the education program.
CAAHEP supports and encourages innovation in the development and delivery of the curriculum.</t>
        </r>
        <r>
          <rPr>
            <sz val="9"/>
            <color rgb="FF000000"/>
            <rFont val="Tahoma"/>
            <family val="2"/>
          </rPr>
          <t xml:space="preserve">
</t>
        </r>
      </text>
    </comment>
    <comment ref="B197" authorId="0" shapeId="0" xr:uid="{00000000-0006-0000-0200-000057000000}">
      <text>
        <r>
          <rPr>
            <b/>
            <sz val="9"/>
            <color rgb="FF000000"/>
            <rFont val="Tahoma"/>
            <family val="2"/>
          </rPr>
          <t xml:space="preserve">III.C.  Curriculum
The curriculum content must ensure that the program goals are achieved.
1. Instruction must be based on clearly written course syllabi that include course description, course objectives, methods of evaluation, topic outline, and competencies required for graduation/program completion.
2. Instruction must be delivered in an appropriate sequence of classroom, laboratory, clinical and field activities.
3. The program must demonstrate that the curriculum offered meets or exceeds the content and competency of the latest edition of the National EMS Education Standards listed in Appendix B of these Standards.
4. The program must set and require minimum student competencies for each of the required patients and conditions listed in these Standards, and at least annually evaluate and document that the established program minimums are adequate to achieve entry-level competency.
5. The capstone field internship must provide the student with an opportunity to serve as team leader in a variety of pre-hospital advanced life support emergency medical situations.
</t>
        </r>
        <r>
          <rPr>
            <b/>
            <i/>
            <sz val="9"/>
            <color rgb="FF000000"/>
            <rFont val="Tahoma"/>
            <family val="2"/>
          </rPr>
          <t xml:space="preserve">
It is recommended that programs establish an on-time graduation date for each cohort and a maximum amount of time to complete all components of the education program.
CAAHEP supports and encourages innovation in the development and delivery of the curriculum.</t>
        </r>
        <r>
          <rPr>
            <sz val="9"/>
            <color rgb="FF000000"/>
            <rFont val="Tahoma"/>
            <family val="2"/>
          </rPr>
          <t xml:space="preserve">
</t>
        </r>
      </text>
    </comment>
    <comment ref="B200" authorId="0" shapeId="0" xr:uid="{00000000-0006-0000-0200-000058000000}">
      <text>
        <r>
          <rPr>
            <b/>
            <sz val="9"/>
            <color indexed="81"/>
            <rFont val="Tahoma"/>
            <family val="2"/>
          </rPr>
          <t>III.D.  Resource Assessment
The program must, at least annually, assess the appropriateness and effectiveness of the resources described in these Standards. The results of the resource assessment must be the basis for ongoing planning and change. An action plan must be developed when needed improvements are identified in the program resources. Implementation of the action plan must be documented, and results measured by ongoing resource assessment.</t>
        </r>
        <r>
          <rPr>
            <sz val="9"/>
            <color indexed="81"/>
            <rFont val="Tahoma"/>
            <family val="2"/>
          </rPr>
          <t xml:space="preserve">
</t>
        </r>
      </text>
    </comment>
    <comment ref="B206" authorId="0" shapeId="0" xr:uid="{00000000-0006-0000-0200-000059000000}">
      <text>
        <r>
          <rPr>
            <b/>
            <sz val="9"/>
            <color indexed="81"/>
            <rFont val="Tahoma"/>
            <family val="2"/>
          </rPr>
          <t>III.D.  Resource Assessment
The program must, at least annually, assess the appropriateness and effectiveness of the resources described in these Standards. The results of the resource assessment must be the basis for ongoing planning and change. An action plan must be developed when needed improvements are identified in the program resources. Implementation of the action plan must be documented, and results measured by ongoing resource assessment.</t>
        </r>
        <r>
          <rPr>
            <sz val="9"/>
            <color indexed="81"/>
            <rFont val="Tahoma"/>
            <family val="2"/>
          </rPr>
          <t xml:space="preserve">
</t>
        </r>
      </text>
    </comment>
    <comment ref="B207" authorId="0" shapeId="0" xr:uid="{00000000-0006-0000-0200-00005A000000}">
      <text>
        <r>
          <rPr>
            <b/>
            <sz val="9"/>
            <color indexed="81"/>
            <rFont val="Tahoma"/>
            <family val="2"/>
          </rPr>
          <t>III.D.  Resource Assessment
The program must, at least annually, assess the appropriateness and effectiveness of the resources described in these Standards. The results of the resource assessment must be the basis for ongoing planning and change. An action plan must be developed when needed improvements are identified in the program resources. Implementation of the action plan must be documented, and results measured by ongoing resource assessment.</t>
        </r>
        <r>
          <rPr>
            <sz val="9"/>
            <color indexed="81"/>
            <rFont val="Tahoma"/>
            <family val="2"/>
          </rPr>
          <t xml:space="preserve">
</t>
        </r>
      </text>
    </comment>
    <comment ref="B208" authorId="0" shapeId="0" xr:uid="{00000000-0006-0000-0200-00005B000000}">
      <text>
        <r>
          <rPr>
            <b/>
            <sz val="9"/>
            <color indexed="81"/>
            <rFont val="Tahoma"/>
            <family val="2"/>
          </rPr>
          <t xml:space="preserve">III.D.  Resource Assessment
The program must, at least annually, assess the appropriateness and effectiveness of the resources described in these Standards. The results of the resource assessment must be the basis for ongoing planning and change. An action plan must be developed when needed improvements are identified in the program resources. Implementation of the action plan must be documented, and results measured by ongoing resource assessment. </t>
        </r>
        <r>
          <rPr>
            <sz val="9"/>
            <color indexed="81"/>
            <rFont val="Tahoma"/>
            <family val="2"/>
          </rPr>
          <t xml:space="preserve">
</t>
        </r>
      </text>
    </comment>
    <comment ref="B213" authorId="0" shapeId="0" xr:uid="{00000000-0006-0000-0200-00005C000000}">
      <text>
        <r>
          <rPr>
            <b/>
            <sz val="9"/>
            <color rgb="FF000000"/>
            <rFont val="Tahoma"/>
            <family val="2"/>
          </rPr>
          <t xml:space="preserve">IV.A.1. Student Evaluation - Frequency and Purpose
Evaluation of students must be conducted on a recurrent basis and with sufficient frequency to provide both the students and program faculty with valid and timely indications of the students’ progress toward and achievement of the curriculum competencies in the required learning domains.
Achievement of the program competencies required for graduation must be assessed by criterionreferenced, summative, comprehensive final evaluations in all learning domains at the completion of the program.
</t>
        </r>
        <r>
          <rPr>
            <b/>
            <i/>
            <sz val="9"/>
            <color rgb="FF000000"/>
            <rFont val="Tahoma"/>
            <family val="2"/>
          </rPr>
          <t>Validity means that the evaluation methods chosen are consistent with the learning and performance objectives being tested.</t>
        </r>
      </text>
    </comment>
    <comment ref="B219" authorId="0" shapeId="0" xr:uid="{00000000-0006-0000-0200-00005D000000}">
      <text>
        <r>
          <rPr>
            <b/>
            <sz val="9"/>
            <color indexed="81"/>
            <rFont val="Tahoma"/>
            <family val="2"/>
          </rPr>
          <t xml:space="preserve">IV.A.1. Student Evaluation - Frequency and Purpose
Evaluation of students must be conducted on a recurrent basis and with sufficient frequency to provide both the students and program faculty with valid and timely indications of the students’ progress toward and achievement of the curriculum competencies in the required learning domains.
Achievement of the program competencies required for graduation must be assessed by criterionreferenced, summative, comprehensive final evaluations in all learning domains at the completion of the program.
</t>
        </r>
        <r>
          <rPr>
            <b/>
            <i/>
            <sz val="9"/>
            <color indexed="81"/>
            <rFont val="Tahoma"/>
            <family val="2"/>
          </rPr>
          <t xml:space="preserve">
Validity means that the evaluation methods chosen are consistent with the learning and performance objectives being tested.</t>
        </r>
        <r>
          <rPr>
            <sz val="9"/>
            <color indexed="81"/>
            <rFont val="Tahoma"/>
            <family val="2"/>
          </rPr>
          <t xml:space="preserve">
</t>
        </r>
      </text>
    </comment>
    <comment ref="B223" authorId="0" shapeId="0" xr:uid="{00000000-0006-0000-0200-00005E000000}">
      <text>
        <r>
          <rPr>
            <b/>
            <sz val="9"/>
            <color indexed="81"/>
            <rFont val="Tahoma"/>
            <family val="2"/>
          </rPr>
          <t xml:space="preserve">IV.A.2. Student Evaluation - Documentation
a. Student evaluations must be maintained in sufficient detail to document learning progress and
achievements.
b. The program must track and document that each student successfully meets each of the program established student minimum competency requirements according to patient ages; conditions, pathologies, or complaints; motor skills; and management in lab, clinical, field experience, and field internship. </t>
        </r>
        <r>
          <rPr>
            <sz val="9"/>
            <color indexed="81"/>
            <rFont val="Tahoma"/>
            <family val="2"/>
          </rPr>
          <t xml:space="preserve">
</t>
        </r>
      </text>
    </comment>
    <comment ref="B224" authorId="0" shapeId="0" xr:uid="{00000000-0006-0000-0200-00005F000000}">
      <text>
        <r>
          <rPr>
            <b/>
            <sz val="9"/>
            <color indexed="81"/>
            <rFont val="Tahoma"/>
            <family val="2"/>
          </rPr>
          <t xml:space="preserve">IV.A.2. Student Evaluation - Documentation
a. Student evaluations must be maintained in sufficient detail to document learning progress and
achievements.
b. The program must track and document that each student successfully meets each of the program established student minimum competency requirements according to patient ages; conditions, pathologies, or complaints; motor skills; and management in lab, clinical, field experience, and field internship. </t>
        </r>
        <r>
          <rPr>
            <sz val="9"/>
            <color indexed="81"/>
            <rFont val="Tahoma"/>
            <family val="2"/>
          </rPr>
          <t xml:space="preserve">
</t>
        </r>
      </text>
    </comment>
    <comment ref="B227" authorId="0" shapeId="0" xr:uid="{00000000-0006-0000-0200-000060000000}">
      <text>
        <r>
          <rPr>
            <sz val="9"/>
            <color indexed="81"/>
            <rFont val="Tahoma"/>
            <family val="2"/>
          </rPr>
          <t xml:space="preserve">
I</t>
        </r>
        <r>
          <rPr>
            <b/>
            <sz val="9"/>
            <color indexed="81"/>
            <rFont val="Tahoma"/>
            <family val="2"/>
          </rPr>
          <t xml:space="preserve">V.B.1. Outcomes Assessment
The program must meet the established outcomes thresholds set by the CoAEMSP.
The program must periodically assess its effectiveness in achieving established outcomes. The results of this assessment must be reflected in the review and timely revision of the program.
Outcomes assessments must include but are not limited to national or state credentialing examination(s) performance, programmatic retention, graduate satisfaction, employer satisfaction, and placement in full or part-time employment or volunteering in the profession or in a related profession.
A related profession is one in which the individual is using cognitive, psychomotor, and affective competencies acquired in the educational program.
Graduates pursuing academic education related to progressing in health professions or serving in the military are counted as placed.
</t>
        </r>
        <r>
          <rPr>
            <b/>
            <i/>
            <sz val="9"/>
            <color indexed="81"/>
            <rFont val="Tahoma"/>
            <family val="2"/>
          </rPr>
          <t>It is recommended that a national certification examination program be accredited by the National Commission for Certifying Agencies (NCCA), American National Standards Institute (ANSI), or under International Organization for Standardization (ISO).
Results from an alternative examination may be accepted as an outcome, if designated as equivalent by the organization whose credentialing examination is so accredited.</t>
        </r>
        <r>
          <rPr>
            <sz val="9"/>
            <color indexed="81"/>
            <rFont val="Tahoma"/>
            <family val="2"/>
          </rPr>
          <t xml:space="preserve">
</t>
        </r>
      </text>
    </comment>
    <comment ref="B229" authorId="0" shapeId="0" xr:uid="{00000000-0006-0000-0200-000061000000}">
      <text>
        <r>
          <rPr>
            <b/>
            <sz val="9"/>
            <color indexed="81"/>
            <rFont val="Tahoma"/>
            <family val="2"/>
          </rPr>
          <t xml:space="preserve">IV.B.1. Outcomes Assessment
The program must meet the established outcomes thresholds set by the CoAEMSP.
The program must periodically assess its effectiveness in achieving established outcomes. The results of this assessment must be reflected in the review and timely revision of the program.
Outcomes assessments must include but are not limited to national or state credentialing examination(s) performance, programmatic retention, graduate satisfaction, employer satisfaction, and placement in full or part-time employment or volunteering in the profession or in a related profession.
A related profession is one in which the individual is using cognitive, psychomotor, and affective competencies acquired in the educational program.
Graduates pursuing academic education related to progressing in health professions or serving in the military are counted as placed.
</t>
        </r>
        <r>
          <rPr>
            <b/>
            <i/>
            <sz val="9"/>
            <color indexed="81"/>
            <rFont val="Tahoma"/>
            <family val="2"/>
          </rPr>
          <t>It is recommended that a national certification examination program be accredited by the National Commission for Certifying Agencies (NCCA), American National Standards Institute (ANSI), or under International Organization for Standardization (ISO).
Results from an alternative examination may be accepted as an outcome, if designated as equivalent by the organization whose credentialing examination is so accredited.</t>
        </r>
        <r>
          <rPr>
            <sz val="9"/>
            <color indexed="81"/>
            <rFont val="Tahoma"/>
            <family val="2"/>
          </rPr>
          <t xml:space="preserve">
</t>
        </r>
      </text>
    </comment>
    <comment ref="B230" authorId="0" shapeId="0" xr:uid="{00000000-0006-0000-0200-000062000000}">
      <text>
        <r>
          <rPr>
            <b/>
            <sz val="9"/>
            <color indexed="81"/>
            <rFont val="Tahoma"/>
            <family val="2"/>
          </rPr>
          <t xml:space="preserve">IV.B.1. Outcomes Assessment
The program must meet the established outcomes thresholds set by the CoAEMSP.
The program must periodically assess its effectiveness in achieving established outcomes. The results of this assessment must be reflected in the review and timely revision of the program.
Outcomes assessments must include but are not limited to national or state credentialing examination(s) performance, programmatic retention, graduate satisfaction, employer satisfaction, and placement in full or part-time employment or volunteering in the profession or in a related profession.
A related profession is one in which the individual is using cognitive, psychomotor, and affective competencies acquired in the educational program.
Graduates pursuing academic education related to progressing in health professions or serving in the military are counted as placed.
</t>
        </r>
        <r>
          <rPr>
            <b/>
            <i/>
            <sz val="9"/>
            <color indexed="81"/>
            <rFont val="Tahoma"/>
            <family val="2"/>
          </rPr>
          <t>It is recommended that a national certification examination program be accredited by the National Commission for Certifying Agencies (NCCA), American National Standards Institute (ANSI), or under International Organization for Standardization (ISO).
Results from an alternative examination may be accepted as an outcome, if designated as equivalent by the organization whose credentialing examination is so accredited.</t>
        </r>
        <r>
          <rPr>
            <sz val="9"/>
            <color indexed="81"/>
            <rFont val="Tahoma"/>
            <family val="2"/>
          </rPr>
          <t xml:space="preserve">
</t>
        </r>
      </text>
    </comment>
    <comment ref="B233" authorId="0" shapeId="0" xr:uid="{00000000-0006-0000-0200-000063000000}">
      <text>
        <r>
          <rPr>
            <b/>
            <sz val="9"/>
            <color indexed="81"/>
            <rFont val="Tahoma"/>
            <family val="2"/>
          </rPr>
          <t xml:space="preserve">
IV.B.2.  Outcomes Reporting
At least annually, the program must periodically submit to the CoAEMSP the program goal(s), outcomes assessment results, and an analysis of the results.
If established outcomes thresholds are not met, the program must participate in a dialogue with and submit an action plan to the CoAEMSP that responds to the identified deficiency(ies). The action plan must include an analysis of any deficiencies, corrective steps, and timeline for implementation. The program must assess the effectiveness of the corrective steps. 
</t>
        </r>
        <r>
          <rPr>
            <sz val="9"/>
            <color indexed="81"/>
            <rFont val="Tahoma"/>
            <family val="2"/>
          </rPr>
          <t xml:space="preserve">
</t>
        </r>
      </text>
    </comment>
    <comment ref="B238" authorId="0" shapeId="0" xr:uid="{00000000-0006-0000-0200-000064000000}">
      <text>
        <r>
          <rPr>
            <b/>
            <sz val="9"/>
            <color indexed="81"/>
            <rFont val="Tahoma"/>
            <family val="2"/>
          </rPr>
          <t xml:space="preserve">V.A.1. Fair Practices-Publications and Disclosure
Announcements, catalogs, publications, advertising, and websites must accurately reflect the program offered. </t>
        </r>
        <r>
          <rPr>
            <sz val="9"/>
            <color indexed="81"/>
            <rFont val="Tahoma"/>
            <family val="2"/>
          </rPr>
          <t xml:space="preserve">
</t>
        </r>
      </text>
    </comment>
    <comment ref="B239" authorId="0" shapeId="0" xr:uid="{00000000-0006-0000-0200-000065000000}">
      <text>
        <r>
          <rPr>
            <b/>
            <sz val="9"/>
            <color indexed="81"/>
            <rFont val="Tahoma"/>
            <family val="2"/>
          </rPr>
          <t>V.A.2. Fair Practices-Publications and Disclosure
At least the following must be made known to all applicants and students:
a. Sponsor’s institutional and programmatic accreditation status;
b. Name and website address of CAAHEP;
c. Admissions policies and practices;
d. Technical standards;
e. Occupational risks;
f. Policies on advanced placement, transfer of credits, and credits for experiential learning;
g. Number of credits required for completion of the program;
h. Availability of articulation agreements for transfer of credits;
i. Tuition/fees and other costs required to complete the program;
j. Policies and processes for withdrawal and for refunds of tuition/fees; and
k. Policies and process for assignment of clinical experiences.</t>
        </r>
        <r>
          <rPr>
            <sz val="9"/>
            <color indexed="81"/>
            <rFont val="Tahoma"/>
            <family val="2"/>
          </rPr>
          <t xml:space="preserve">
</t>
        </r>
      </text>
    </comment>
    <comment ref="B240" authorId="0" shapeId="0" xr:uid="{5655F3B1-2113-4F50-93E2-4FFEC9FB20B4}">
      <text>
        <r>
          <rPr>
            <b/>
            <sz val="9"/>
            <color indexed="81"/>
            <rFont val="Tahoma"/>
            <family val="2"/>
          </rPr>
          <t>V.A.2. Fair Practices-Publications and Disclosure
At least the following must be made known to all applicants and students:
a. Sponsor’s institutional and programmatic accreditation status;
b. Name and website address of CAAHEP;
c. Admissions policies and practices;
d. Technical standards;
e. Occupational risks;
f. Policies on advanced placement, transfer of credits, and credits for experiential learning;
g. Number of credits required for completion of the program;
h. Availability of articulation agreements for transfer of credits;
i. Tuition/fees and other costs required to complete the program;
j. Policies and processes for withdrawal and for refunds of tuition/fees; and
k. Policies and process for assignment of clinical experiences.</t>
        </r>
        <r>
          <rPr>
            <sz val="9"/>
            <color indexed="81"/>
            <rFont val="Tahoma"/>
            <family val="2"/>
          </rPr>
          <t xml:space="preserve">
</t>
        </r>
      </text>
    </comment>
    <comment ref="B241" authorId="0" shapeId="0" xr:uid="{150B0070-1C42-450F-BC8D-C1473F44C555}">
      <text>
        <r>
          <rPr>
            <b/>
            <sz val="9"/>
            <color indexed="81"/>
            <rFont val="Tahoma"/>
            <family val="2"/>
          </rPr>
          <t>V.A.2. Fair Practices-Publications and Disclosure
At least the following must be made known to all applicants and students:
a. Sponsor’s institutional and programmatic accreditation status;
b. Name and website address of CAAHEP;
c. Admissions policies and practices;
d. Technical standards;
e. Occupational risks;
f. Policies on advanced placement, transfer of credits, and credits for experiential learning;
g. Number of credits required for completion of the program;
h. Availability of articulation agreements for transfer of credits;
i. Tuition/fees and other costs required to complete the program;
j. Policies and processes for withdrawal and for refunds of tuition/fees; and
k. Policies and process for assignment of clinical experiences.</t>
        </r>
        <r>
          <rPr>
            <sz val="9"/>
            <color indexed="81"/>
            <rFont val="Tahoma"/>
            <family val="2"/>
          </rPr>
          <t xml:space="preserve">
</t>
        </r>
      </text>
    </comment>
    <comment ref="B242" authorId="0" shapeId="0" xr:uid="{FE624EA5-46C4-4240-80E0-BA4BE8DCCBCE}">
      <text>
        <r>
          <rPr>
            <b/>
            <sz val="9"/>
            <color indexed="81"/>
            <rFont val="Tahoma"/>
            <family val="2"/>
          </rPr>
          <t>V.A.2. Fair Practices-Publications and Disclosure
At least the following must be made known to all applicants and students:
a. Sponsor’s institutional and programmatic accreditation status;
b. Name and website address of CAAHEP;
c. Admissions policies and practices;
d. Technical standards;
e. Occupational risks;
f. Policies on advanced placement, transfer of credits, and credits for experiential learning;
g. Number of credits required for completion of the program;
h. Availability of articulation agreements for transfer of credits;
i. Tuition/fees and other costs required to complete the program;
j. Policies and processes for withdrawal and for refunds of tuition/fees; and
k. Policies and process for assignment of clinical experiences.</t>
        </r>
        <r>
          <rPr>
            <sz val="9"/>
            <color indexed="81"/>
            <rFont val="Tahoma"/>
            <family val="2"/>
          </rPr>
          <t xml:space="preserve">
</t>
        </r>
      </text>
    </comment>
    <comment ref="B243" authorId="0" shapeId="0" xr:uid="{C239DBAE-5396-44B4-BDA0-DCDBFCE922D2}">
      <text>
        <r>
          <rPr>
            <b/>
            <sz val="9"/>
            <color indexed="81"/>
            <rFont val="Tahoma"/>
            <family val="2"/>
          </rPr>
          <t>V.A.2. Fair Practices-Publications and Disclosure
At least the following must be made known to all applicants and students:
a. Sponsor’s institutional and programmatic accreditation status;
b. Name and website address of CAAHEP;
c. Admissions policies and practices;
d. Technical standards;
e. Occupational risks;
f. Policies on advanced placement, transfer of credits, and credits for experiential learning;
g. Number of credits required for completion of the program;
h. Availability of articulation agreements for transfer of credits;
i. Tuition/fees and other costs required to complete the program;
j. Policies and processes for withdrawal and for refunds of tuition/fees; and
k. Policies and process for assignment of clinical experiences.</t>
        </r>
        <r>
          <rPr>
            <sz val="9"/>
            <color indexed="81"/>
            <rFont val="Tahoma"/>
            <family val="2"/>
          </rPr>
          <t xml:space="preserve">
</t>
        </r>
      </text>
    </comment>
    <comment ref="B244" authorId="0" shapeId="0" xr:uid="{CD686C5F-BCCE-41EA-9A24-1E6BBC327487}">
      <text>
        <r>
          <rPr>
            <b/>
            <sz val="9"/>
            <color indexed="81"/>
            <rFont val="Tahoma"/>
            <family val="2"/>
          </rPr>
          <t>V.A.2. Fair Practices-Publications and Disclosure
At least the following must be made known to all applicants and students:
a. Sponsor’s institutional and programmatic accreditation status;
b. Name and website address of CAAHEP;
c. Admissions policies and practices;
d. Technical standards;
e. Occupational risks;
f. Policies on advanced placement, transfer of credits, and credits for experiential learning;
g. Number of credits required for completion of the program;
h. Availability of articulation agreements for transfer of credits;
i. Tuition/fees and other costs required to complete the program;
j. Policies and processes for withdrawal and for refunds of tuition/fees; and
k. Policies and process for assignment of clinical experiences.</t>
        </r>
        <r>
          <rPr>
            <sz val="9"/>
            <color indexed="81"/>
            <rFont val="Tahoma"/>
            <family val="2"/>
          </rPr>
          <t xml:space="preserve">
</t>
        </r>
      </text>
    </comment>
    <comment ref="B245" authorId="0" shapeId="0" xr:uid="{D3650BCF-1168-4EA0-91EE-72229A96E95A}">
      <text>
        <r>
          <rPr>
            <b/>
            <sz val="9"/>
            <color indexed="81"/>
            <rFont val="Tahoma"/>
            <family val="2"/>
          </rPr>
          <t>V.A.2. Fair Practices-Publications and Disclosure
At least the following must be made known to all applicants and students:
a. Sponsor’s institutional and programmatic accreditation status;
b. Name and website address of CAAHEP;
c. Admissions policies and practices;
d. Technical standards;
e. Occupational risks;
f. Policies on advanced placement, transfer of credits, and credits for experiential learning;
g. Number of credits required for completion of the program;
h. Availability of articulation agreements for transfer of credits;
i. Tuition/fees and other costs required to complete the program;
j. Policies and processes for withdrawal and for refunds of tuition/fees; and
k. Policies and process for assignment of clinical experiences.</t>
        </r>
        <r>
          <rPr>
            <sz val="9"/>
            <color indexed="81"/>
            <rFont val="Tahoma"/>
            <family val="2"/>
          </rPr>
          <t xml:space="preserve">
</t>
        </r>
      </text>
    </comment>
    <comment ref="B246" authorId="0" shapeId="0" xr:uid="{6E14B8D6-5581-4763-BE3D-FA7589FA6CBA}">
      <text>
        <r>
          <rPr>
            <b/>
            <sz val="9"/>
            <color indexed="81"/>
            <rFont val="Tahoma"/>
            <family val="2"/>
          </rPr>
          <t>V.A.2. Fair Practices-Publications and Disclosure
At least the following must be made known to all applicants and students:
a. Sponsor’s institutional and programmatic accreditation status;
b. Name and website address of CAAHEP;
c. Admissions policies and practices;
d. Technical standards;
e. Occupational risks;
f. Policies on advanced placement, transfer of credits, and credits for experiential learning;
g. Number of credits required for completion of the program;
h. Availability of articulation agreements for transfer of credits;
i. Tuition/fees and other costs required to complete the program;
j. Policies and processes for withdrawal and for refunds of tuition/fees; and
k. Policies and process for assignment of clinical experiences.</t>
        </r>
        <r>
          <rPr>
            <sz val="9"/>
            <color indexed="81"/>
            <rFont val="Tahoma"/>
            <family val="2"/>
          </rPr>
          <t xml:space="preserve">
</t>
        </r>
      </text>
    </comment>
    <comment ref="B247" authorId="0" shapeId="0" xr:uid="{D6F45CAD-A6B4-41F3-B889-DC9E84AB2605}">
      <text>
        <r>
          <rPr>
            <b/>
            <sz val="9"/>
            <color indexed="81"/>
            <rFont val="Tahoma"/>
            <family val="2"/>
          </rPr>
          <t>V.A.2. Fair Practices-Publications and Disclosure
At least the following must be made known to all applicants and students:
a. Sponsor’s institutional and programmatic accreditation status;
b. Name and website address of CAAHEP;
c. Admissions policies and practices;
d. Technical standards;
e. Occupational risks;
f. Policies on advanced placement, transfer of credits, and credits for experiential learning;
g. Number of credits required for completion of the program;
h. Availability of articulation agreements for transfer of credits;
i. Tuition/fees and other costs required to complete the program;
j. Policies and processes for withdrawal and for refunds of tuition/fees; and
k. Policies and process for assignment of clinical experiences.</t>
        </r>
        <r>
          <rPr>
            <sz val="9"/>
            <color indexed="81"/>
            <rFont val="Tahoma"/>
            <family val="2"/>
          </rPr>
          <t xml:space="preserve">
</t>
        </r>
      </text>
    </comment>
    <comment ref="B248" authorId="0" shapeId="0" xr:uid="{93162A6F-1CB0-4F60-B144-0F7E66501DC2}">
      <text>
        <r>
          <rPr>
            <b/>
            <sz val="9"/>
            <color indexed="81"/>
            <rFont val="Tahoma"/>
            <family val="2"/>
          </rPr>
          <t>V.A.2. Fair Practices-Publications and Disclosure
At least the following must be made known to all applicants and students:
a. Sponsor’s institutional and programmatic accreditation status;
b. Name and website address of CAAHEP;
c. Admissions policies and practices;
d. Technical standards;
e. Occupational risks;
f. Policies on advanced placement, transfer of credits, and credits for experiential learning;
g. Number of credits required for completion of the program;
h. Availability of articulation agreements for transfer of credits;
i. Tuition/fees and other costs required to complete the program;
j. Policies and processes for withdrawal and for refunds of tuition/fees; and
k. Policies and process for assignment of clinical experiences.</t>
        </r>
        <r>
          <rPr>
            <sz val="9"/>
            <color indexed="81"/>
            <rFont val="Tahoma"/>
            <family val="2"/>
          </rPr>
          <t xml:space="preserve">
</t>
        </r>
      </text>
    </comment>
    <comment ref="B249" authorId="0" shapeId="0" xr:uid="{94B4A542-2658-4E7B-B0CD-E64C180C856E}">
      <text>
        <r>
          <rPr>
            <b/>
            <sz val="9"/>
            <color indexed="81"/>
            <rFont val="Tahoma"/>
            <family val="2"/>
          </rPr>
          <t>V.A.2. Fair Practices-Publications and Disclosure
At least the following must be made known to all applicants and students:
a. Sponsor’s institutional and programmatic accreditation status;
b. Name and website address of CAAHEP;
c. Admissions policies and practices;
d. Technical standards;
e. Occupational risks;
f. Policies on advanced placement, transfer of credits, and credits for experiential learning;
g. Number of credits required for completion of the program;
h. Availability of articulation agreements for transfer of credits;
i. Tuition/fees and other costs required to complete the program;
j. Policies and processes for withdrawal and for refunds of tuition/fees; and
k. Policies and process for assignment of clinical experiences.</t>
        </r>
        <r>
          <rPr>
            <sz val="9"/>
            <color indexed="81"/>
            <rFont val="Tahoma"/>
            <family val="2"/>
          </rPr>
          <t xml:space="preserve">
</t>
        </r>
      </text>
    </comment>
    <comment ref="B250" authorId="0" shapeId="0" xr:uid="{97C71E1E-F067-4EB1-B16F-50AEA96BF694}">
      <text>
        <r>
          <rPr>
            <b/>
            <sz val="9"/>
            <color indexed="81"/>
            <rFont val="Tahoma"/>
            <family val="2"/>
          </rPr>
          <t>V.A.2. Fair Practices-Publications and Disclosure
At least the following must be made known to all applicants and students:
a. Sponsor’s institutional and programmatic accreditation status;
b. Name and website address of CAAHEP;
c. Admissions policies and practices;
d. Technical standards;
e. Occupational risks;
f. Policies on advanced placement, transfer of credits, and credits for experiential learning;
g. Number of credits required for completion of the program;
h. Availability of articulation agreements for transfer of credits;
i. Tuition/fees and other costs required to complete the program;
j. Policies and processes for withdrawal and for refunds of tuition/fees; and
k. Policies and process for assignment of clinical experiences.</t>
        </r>
        <r>
          <rPr>
            <sz val="9"/>
            <color indexed="81"/>
            <rFont val="Tahoma"/>
            <family val="2"/>
          </rPr>
          <t xml:space="preserve">
</t>
        </r>
      </text>
    </comment>
    <comment ref="B251" authorId="0" shapeId="0" xr:uid="{00000000-0006-0000-0200-00006F000000}">
      <text>
        <r>
          <rPr>
            <b/>
            <sz val="9"/>
            <color indexed="81"/>
            <rFont val="Tahoma"/>
            <family val="2"/>
          </rPr>
          <t>V.A.3. Fair Practices-Publications and Disclosure
At least the following must be made known to all students:
a. Academic calendar;
b. Student grievance procedure;
c. Appeals process;
d. Criteria for successful completion of each segment of the curriculum and for graduation; and
e. Policies by which students may perform clinical work while enrolled in the program.</t>
        </r>
        <r>
          <rPr>
            <sz val="9"/>
            <color indexed="81"/>
            <rFont val="Tahoma"/>
            <family val="2"/>
          </rPr>
          <t xml:space="preserve">
</t>
        </r>
      </text>
    </comment>
    <comment ref="B252" authorId="0" shapeId="0" xr:uid="{FD5E01D4-C9B7-4F3F-8553-4353D555366C}">
      <text>
        <r>
          <rPr>
            <b/>
            <sz val="9"/>
            <color indexed="81"/>
            <rFont val="Tahoma"/>
            <family val="2"/>
          </rPr>
          <t>V.A.3. Fair Practices-Publications and Disclosure
At least the following must be made known to all students:
a. Academic calendar;
b. Student grievance procedure;
c. Appeals process;
d. Criteria for successful completion of each segment of the curriculum and for graduation; and
e. Policies by which students may perform clinical work while enrolled in the program.</t>
        </r>
        <r>
          <rPr>
            <sz val="9"/>
            <color indexed="81"/>
            <rFont val="Tahoma"/>
            <family val="2"/>
          </rPr>
          <t xml:space="preserve">
</t>
        </r>
      </text>
    </comment>
    <comment ref="B253" authorId="0" shapeId="0" xr:uid="{211C5424-A4B9-48D6-A87D-99F41D0784C7}">
      <text>
        <r>
          <rPr>
            <b/>
            <sz val="9"/>
            <color indexed="81"/>
            <rFont val="Tahoma"/>
            <family val="2"/>
          </rPr>
          <t>V.A.3. Fair Practices-Publications and Disclosure
At least the following must be made known to all students:
a. Academic calendar;
b. Student grievance procedure;
c. Appeals process;
d. Criteria for successful completion of each segment of the curriculum and for graduation; and
e. Policies by which students may perform clinical work while enrolled in the program.</t>
        </r>
        <r>
          <rPr>
            <sz val="9"/>
            <color indexed="81"/>
            <rFont val="Tahoma"/>
            <family val="2"/>
          </rPr>
          <t xml:space="preserve">
</t>
        </r>
      </text>
    </comment>
    <comment ref="B254" authorId="0" shapeId="0" xr:uid="{00000000-0006-0000-0200-000071000000}">
      <text>
        <r>
          <rPr>
            <b/>
            <sz val="9"/>
            <color indexed="81"/>
            <rFont val="Tahoma"/>
            <family val="2"/>
          </rPr>
          <t xml:space="preserve">V.A.3. Fair Practices-Publications and Disclosure
At least the following must be made known to all students:
a. Academic calendar;
b. Student grievance procedure;
c. Appeals process;
d. Criteria for successful completion of each segment of the curriculum and for graduation; and
e. Policies by which students may perform clinical work while enrolled in the program. </t>
        </r>
        <r>
          <rPr>
            <sz val="9"/>
            <color indexed="81"/>
            <rFont val="Tahoma"/>
            <family val="2"/>
          </rPr>
          <t xml:space="preserve">
</t>
        </r>
      </text>
    </comment>
    <comment ref="B256" authorId="0" shapeId="0" xr:uid="{48CF14E8-2FB8-47CC-9FE5-BAFD4FC77423}">
      <text>
        <r>
          <rPr>
            <b/>
            <sz val="9"/>
            <color indexed="81"/>
            <rFont val="Tahoma"/>
            <family val="2"/>
          </rPr>
          <t xml:space="preserve">V.A.3. Fair Practices-Publications and Disclosure
At least the following must be made known to all students:
a. Academic calendar;
b. Student grievance procedure;
c. Appeals process;
d. Criteria for successful completion of each segment of the curriculum and for graduation; and
e. Policies by which students may perform clinical work while enrolled in the program. </t>
        </r>
        <r>
          <rPr>
            <sz val="9"/>
            <color indexed="81"/>
            <rFont val="Tahoma"/>
            <family val="2"/>
          </rPr>
          <t xml:space="preserve">
</t>
        </r>
      </text>
    </comment>
    <comment ref="B260" authorId="0" shapeId="0" xr:uid="{00000000-0006-0000-0200-000074000000}">
      <text>
        <r>
          <rPr>
            <b/>
            <sz val="9"/>
            <color indexed="81"/>
            <rFont val="Tahoma"/>
            <family val="2"/>
          </rPr>
          <t xml:space="preserve">Standard V.A.4. Publications and Disclosures
The sponsor must maintain and make available to the public on its website a current and consistent
summary of student/graduate achievement that includes the results of one or more of these program
outcomes: national or state credentialing examination(s), programmatic retention, and placement in full or
part-time employment or volunteering in the profession or a related profession as established by the
CoAEMSP.
</t>
        </r>
        <r>
          <rPr>
            <b/>
            <i/>
            <sz val="9"/>
            <color indexed="81"/>
            <rFont val="Tahoma"/>
            <family val="2"/>
          </rPr>
          <t>It is recommended that the sponsor develop a suitable means of communicating to the communities of
interest the achievement of students/graduates (e.g., through a website or electronic or printed
documents).</t>
        </r>
        <r>
          <rPr>
            <b/>
            <sz val="9"/>
            <color indexed="81"/>
            <rFont val="Tahoma"/>
            <family val="2"/>
          </rPr>
          <t xml:space="preserve">
</t>
        </r>
        <r>
          <rPr>
            <sz val="9"/>
            <color indexed="81"/>
            <rFont val="Tahoma"/>
            <family val="2"/>
          </rPr>
          <t xml:space="preserve">
</t>
        </r>
      </text>
    </comment>
    <comment ref="B262" authorId="0" shapeId="0" xr:uid="{00000000-0006-0000-0200-000075000000}">
      <text>
        <r>
          <rPr>
            <b/>
            <sz val="9"/>
            <color rgb="FF000000"/>
            <rFont val="Tahoma"/>
            <family val="2"/>
          </rPr>
          <t>V.B. Fair Practices-Lawful and Non-Discriminatory Practices
All activities associated with the program, including student and faculty recruitment, student admission, and faculty employment practices, must be non-discriminatory and in accord with federal and state statutes, rules, and regulations. There must be a faculty grievance procedure made known to all paid faculty.
A program conducting educational activities in other state(s) must provide documentation to CoAEMSP that the program has successfully informed the state Office of EMS that the program has enrolled students in that state.</t>
        </r>
        <r>
          <rPr>
            <sz val="9"/>
            <color rgb="FF000000"/>
            <rFont val="Tahoma"/>
            <family val="2"/>
          </rPr>
          <t xml:space="preserve">
</t>
        </r>
      </text>
    </comment>
    <comment ref="B265" authorId="0" shapeId="0" xr:uid="{00000000-0006-0000-0200-000076000000}">
      <text>
        <r>
          <rPr>
            <b/>
            <sz val="9"/>
            <color indexed="81"/>
            <rFont val="Tahoma"/>
            <family val="2"/>
          </rPr>
          <t>V.B. Fair Practices-Lawful and Non-Discriminatory Practices
All activities associated with the program, including student and faculty recruitment, student admission, and faculty employment practices, must be non-discriminatory and in accord with federal and state statutes, rules, and regulations. There must be a faculty grievance procedure made known to all paid faculty.
A program conducting educational activities in other state(s) must provide documentation to CoAEMSP that the program has successfully informed the state Office of EMS that the program has enrolled students in that state.</t>
        </r>
        <r>
          <rPr>
            <sz val="9"/>
            <color indexed="81"/>
            <rFont val="Tahoma"/>
            <family val="2"/>
          </rPr>
          <t xml:space="preserve">
</t>
        </r>
      </text>
    </comment>
    <comment ref="B267" authorId="0" shapeId="0" xr:uid="{15A22011-3CC7-473A-9CE4-B37A0C86384D}">
      <text>
        <r>
          <rPr>
            <b/>
            <sz val="9"/>
            <color indexed="81"/>
            <rFont val="Tahoma"/>
            <family val="2"/>
          </rPr>
          <t>V.B. Fair Practices-Lawful and Non-Discriminatory Practices
All activities associated with the program, including student and faculty recruitment, student admission, and faculty employment practices, must be non-discriminatory and in accord with federal and state statutes, rules, and regulations. There must be a faculty grievance procedure made known to all paid faculty.
A program conducting educational activities in other state(s) must provide documentation to CoAEMSP that the program has successfully informed the state Office of EMS that the program has enrolled students in that state.</t>
        </r>
        <r>
          <rPr>
            <sz val="9"/>
            <color indexed="81"/>
            <rFont val="Tahoma"/>
            <family val="2"/>
          </rPr>
          <t xml:space="preserve">
</t>
        </r>
      </text>
    </comment>
    <comment ref="B270" authorId="0" shapeId="0" xr:uid="{00000000-0006-0000-0200-000078000000}">
      <text>
        <r>
          <rPr>
            <b/>
            <sz val="9"/>
            <color rgb="FF000000"/>
            <rFont val="Tahoma"/>
            <family val="2"/>
          </rPr>
          <t>V.C. Fair Practices-Safeguards
The health and safety of patients, students, faculty, and other participants associated with the
educational activities of the students must be adequately safeguarded. Emergency medical services students must be readily identifiable as students.
All activities required in the program must be educational and students must not be substituted for staff.</t>
        </r>
        <r>
          <rPr>
            <sz val="9"/>
            <color rgb="FF000000"/>
            <rFont val="Tahoma"/>
            <family val="2"/>
          </rPr>
          <t xml:space="preserve">
</t>
        </r>
      </text>
    </comment>
    <comment ref="B272" authorId="0" shapeId="0" xr:uid="{00000000-0006-0000-0200-000079000000}">
      <text>
        <r>
          <rPr>
            <b/>
            <sz val="9"/>
            <color indexed="81"/>
            <rFont val="Tahoma"/>
            <family val="2"/>
          </rPr>
          <t xml:space="preserve">V.C. Fair Practices-Safeguards
The health and safety of patients, students, faculty, and other participants associated with the educational activities of the students must be adequately safeguarded. Emergency medical services students must be readily identifiable as students.
All activities required in the program must be educational and students must not be substituted for staff. </t>
        </r>
        <r>
          <rPr>
            <sz val="9"/>
            <color indexed="81"/>
            <rFont val="Tahoma"/>
            <family val="2"/>
          </rPr>
          <t xml:space="preserve">
</t>
        </r>
      </text>
    </comment>
    <comment ref="B274" authorId="0" shapeId="0" xr:uid="{00000000-0006-0000-0200-00007A000000}">
      <text>
        <r>
          <rPr>
            <b/>
            <sz val="9"/>
            <color indexed="81"/>
            <rFont val="Tahoma"/>
            <family val="2"/>
          </rPr>
          <t>V.D. Fair Practices-Student Records
Grades and credits for courses must be recorded on the student transcript and permanently maintained by the program sponsor in an accessible and secure location. Students and graduates must be given direction on how to access their records. Records must be maintained for student admission, advisement, and counseling while the student is enrolled in the program.</t>
        </r>
        <r>
          <rPr>
            <sz val="9"/>
            <color indexed="81"/>
            <rFont val="Tahoma"/>
            <family val="2"/>
          </rPr>
          <t xml:space="preserve">
</t>
        </r>
      </text>
    </comment>
    <comment ref="B275" authorId="0" shapeId="0" xr:uid="{AFAAF726-DF93-4BAF-8128-F4C8164CBF2B}">
      <text>
        <r>
          <rPr>
            <b/>
            <sz val="9"/>
            <color indexed="81"/>
            <rFont val="Tahoma"/>
            <family val="2"/>
          </rPr>
          <t>V.D. Fair Practices-Student Records
Grades and credits for courses must be recorded on the student transcript and permanently maintained by the program sponsor in an accessible and secure location. Students and graduates must be given direction on how to access their records. Records must be maintained for student admission, advisement, and counseling while the student is enrolled in the program.</t>
        </r>
        <r>
          <rPr>
            <sz val="9"/>
            <color indexed="81"/>
            <rFont val="Tahoma"/>
            <family val="2"/>
          </rPr>
          <t xml:space="preserve">
</t>
        </r>
      </text>
    </comment>
    <comment ref="B276" authorId="0" shapeId="0" xr:uid="{FA011765-E3EA-4780-86DC-7C3FC9A7B94D}">
      <text>
        <r>
          <rPr>
            <b/>
            <sz val="9"/>
            <color indexed="81"/>
            <rFont val="Tahoma"/>
            <family val="2"/>
          </rPr>
          <t>V.D. Fair Practices-Student Records
Grades and credits for courses must be recorded on the student transcript and permanently maintained by the program sponsor in an accessible and secure location. Students and graduates must be given direction on how to access their records. Records must be maintained for student admission, advisement, and counseling while the student is enrolled in the program.</t>
        </r>
        <r>
          <rPr>
            <sz val="9"/>
            <color indexed="81"/>
            <rFont val="Tahoma"/>
            <family val="2"/>
          </rPr>
          <t xml:space="preserve">
</t>
        </r>
      </text>
    </comment>
    <comment ref="B277" authorId="0" shapeId="0" xr:uid="{14316F25-785E-41CB-8815-54371F6D9E9B}">
      <text>
        <r>
          <rPr>
            <b/>
            <sz val="9"/>
            <color indexed="81"/>
            <rFont val="Tahoma"/>
            <family val="2"/>
          </rPr>
          <t>V.D. Fair Practices-Student Records
Grades and credits for courses must be recorded on the student transcript and permanently maintained by the program sponsor in an accessible and secure location. Students and graduates must be given direction on how to access their records. Records must be maintained for student admission, advisement, and counseling while the student is enrolled in the program.</t>
        </r>
        <r>
          <rPr>
            <sz val="9"/>
            <color indexed="81"/>
            <rFont val="Tahoma"/>
            <family val="2"/>
          </rPr>
          <t xml:space="preserve">
</t>
        </r>
      </text>
    </comment>
    <comment ref="B278" authorId="0" shapeId="0" xr:uid="{00000000-0006-0000-0200-00007E000000}">
      <text>
        <r>
          <rPr>
            <b/>
            <sz val="9"/>
            <color indexed="81"/>
            <rFont val="Tahoma"/>
            <family val="2"/>
          </rPr>
          <t>V.D. Fair Practices-Student Records
Grades and credits for courses must be recorded on the student transcript and permanently maintained by the program sponsor in an accessible and secure location. Students and graduates must be given direction on how to access their records. Records must be maintained for student admission, advisement, and counseling while the student is enrolled in the program.</t>
        </r>
        <r>
          <rPr>
            <sz val="9"/>
            <color indexed="81"/>
            <rFont val="Tahoma"/>
            <family val="2"/>
          </rPr>
          <t xml:space="preserve">
</t>
        </r>
      </text>
    </comment>
    <comment ref="B284" authorId="0" shapeId="0" xr:uid="{00000000-0006-0000-0200-00007F000000}">
      <text>
        <r>
          <rPr>
            <b/>
            <sz val="9"/>
            <color indexed="81"/>
            <rFont val="Tahoma"/>
            <family val="2"/>
          </rPr>
          <t>V.E. Fair Practices-Substantive Change
The sponsor must report substantive change(s) as described in Appendix A to the CAAHEP/CoAEMSP in a timely manner. Additional substantive changes to be reported to CoAEMSP within the time limits prescribed include:
1. Change in sponsorship;
2. Change in location;
3. Addition of a satellite location;
4. Addition of an alternate location; and
5. Addition of a distance learning program</t>
        </r>
      </text>
    </comment>
    <comment ref="B289" authorId="0" shapeId="0" xr:uid="{00000000-0006-0000-0200-000080000000}">
      <text>
        <r>
          <rPr>
            <b/>
            <sz val="9"/>
            <color indexed="81"/>
            <rFont val="Tahoma"/>
            <family val="2"/>
          </rPr>
          <t>V.F. Fair Practices-Agreements
There must be a formal affiliation agreement or memorandum of understanding between the program sponsor and all other entities that participate in the education of the students describing the relationship, roles, and responsibilities of the program sponsor and that entity.</t>
        </r>
        <r>
          <rPr>
            <sz val="9"/>
            <color indexed="81"/>
            <rFont val="Tahoma"/>
            <family val="2"/>
          </rPr>
          <t xml:space="preserve">
</t>
        </r>
      </text>
    </comment>
    <comment ref="B309" authorId="0" shapeId="0" xr:uid="{00000000-0006-0000-0200-000081000000}">
      <text>
        <r>
          <rPr>
            <b/>
            <sz val="9"/>
            <color indexed="81"/>
            <rFont val="Tahoma"/>
            <family val="2"/>
          </rPr>
          <t>Standard I.A. Sponsoring Institution 
A sponsoring institution must be at least one of the following, and must either award credit for the program or have an articulation agreement with an accredited post-secondary institution:
1. A post-secondary academic institution accredited by an institutional accrediting agency that is recognized by the U.S. Department of Education, and authorized under applicable law or other acceptable authority to provide a post-secondary program, which awards a minimum of a diploma/certificate at the completion of the program. 
2. A foreign post-secondary academic institution acceptable to CAAHEP, which is authorized under applicable law or other acceptable authority to provide a postsecondary program, which awards a minimum of a certificate/diploma at the completion of the academic program.
3. A hospital, clinic or medical center accredited by a healthcare accrediting agency or equivalent that is recognized by the U.S. Department of Health and Human Services, and authorized under applicable law or other acceptable authority to provide healthcare, and authorized under applicable law or other acceptable authority to provide the post-secondary program, which awards a minimum of a diploma/certificate at the completion of the program.
4. A governmental (i.e., state, county, or municipal) educational or governmental medical service, and which is authorized by the State to provide initial educational programs, and authorized under applicable law or other acceptable authority to provide the post-secondary program, which awards a minimum of a diploma/certificate at the completion of the program.
5. A branch of the United States Armed Forces or other Federal agency, which awards a minimum of a certificate/diploma at the completion of the program.
  For a distance education program, the location of program is the mailing address of the sponsor.</t>
        </r>
        <r>
          <rPr>
            <sz val="9"/>
            <color indexed="81"/>
            <rFont val="Tahoma"/>
            <family val="2"/>
          </rPr>
          <t xml:space="preserve">
</t>
        </r>
      </text>
    </comment>
    <comment ref="L309" authorId="0" shapeId="0" xr:uid="{00000000-0006-0000-0200-000082000000}">
      <text>
        <r>
          <rPr>
            <b/>
            <sz val="9"/>
            <color indexed="81"/>
            <rFont val="Tahoma"/>
            <family val="2"/>
          </rPr>
          <t>Standard I.A. Sponsoring Institution 
A sponsoring institution must be at least one of the following, and must either award credit for the program or have an articulation agreement with an accredited post-secondary institution:
1. A post-secondary academic institution accredited by an institutional accrediting agency that is recognized by the U.S. Department of Education, and authorized under applicable law or other acceptable authority to provide a post-secondary program, which awards a minimum of a diploma/certificate at the completion of the program. 
2. A foreign post-secondary academic institution acceptable to CAAHEP, which is authorized under applicable law or other acceptable authority to provide a postsecondary program, which awards a minimum of a certificate/diploma at the completion of the academic program.
3. A hospital, clinic or medical center accredited by a healthcare accrediting agency or equivalent that is recognized by the U.S. Department of Health and Human Services, and authorized under applicable law or other acceptable authority to provide healthcare, and authorized under applicable law or other acceptable authority to provide the post-secondary program, which awards a minimum of a diploma/certificate at the completion of the program.
4. A governmental (i.e., state, county, or municipal) educational or governmental medical service, and which is authorized by the State to provide initial educational programs, and authorized under applicable law or other acceptable authority to provide the post-secondary program, which awards a minimum of a diploma/certificate at the completion of the program.
5. A branch of the United States Armed Forces or other Federal agency, which awards a minimum of a certificate/diploma at the completion of the program.
  For a distance education program, the location of program is the mailing address of the sponsor.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<sst xmlns="http://schemas.openxmlformats.org/spreadsheetml/2006/main" count="1378" uniqueCount="801">
  <si>
    <t>Staff:</t>
  </si>
  <si>
    <t>Committee on Accreditation of Educational Programs for the EMS Professions (CoAEMSP), in cooperation with the Commission on Accreditation of Allied Health Education Programs (CAAHEP)</t>
  </si>
  <si>
    <t>State:</t>
  </si>
  <si>
    <t>Names of the Site Visit Team Members:</t>
  </si>
  <si>
    <t>Team Captain:</t>
  </si>
  <si>
    <t>Team Member:</t>
  </si>
  <si>
    <t>(if applicable)</t>
  </si>
  <si>
    <t>INSTRUCTIONS TO THE SITE VISIT TEAM</t>
  </si>
  <si>
    <t>NOTE: Email completed report to Jennifer Anderson Warwick.</t>
  </si>
  <si>
    <t>QUESTIONS?      Call Jennifer at 214-703-8445 x114</t>
  </si>
  <si>
    <t>Standard Reference</t>
  </si>
  <si>
    <t>Standard</t>
  </si>
  <si>
    <t>Met/
Not Met</t>
  </si>
  <si>
    <t>I. Sponsorship</t>
  </si>
  <si>
    <t>II. Program Goals</t>
  </si>
  <si>
    <t>II.B.</t>
  </si>
  <si>
    <t>III. Resources</t>
  </si>
  <si>
    <t>A. Type and Amount</t>
  </si>
  <si>
    <t>1. Program Resources</t>
  </si>
  <si>
    <r>
      <t xml:space="preserve">2015 CAAHEP </t>
    </r>
    <r>
      <rPr>
        <b/>
        <i/>
        <sz val="24"/>
        <color theme="0"/>
        <rFont val="Arial"/>
        <family val="2"/>
      </rPr>
      <t>Standards &amp; Guidelines</t>
    </r>
  </si>
  <si>
    <t>I.A.</t>
  </si>
  <si>
    <t>Andrew Stern, MPA, MA, NRP</t>
  </si>
  <si>
    <t>Arthur Hsieh, MA, NRP</t>
  </si>
  <si>
    <t>Bryan Ericson, MEd, RN, NRP</t>
  </si>
  <si>
    <t>Debra Cason, MS, RN, EMT-P</t>
  </si>
  <si>
    <t>Denise Wilfong, PhD,  NRP</t>
  </si>
  <si>
    <t>Glen Mayhew, DHSc, NRP</t>
  </si>
  <si>
    <t>Gordon Kokx, PhD, NRP</t>
  </si>
  <si>
    <t>Greg Mullen, MS, NRP</t>
  </si>
  <si>
    <t>Gregg Lander, BS, NRP</t>
  </si>
  <si>
    <t>Jeff Grunow, MSN, NRP, NCEE</t>
  </si>
  <si>
    <t>Jeff McDonald, MEd, NRP</t>
  </si>
  <si>
    <t>Patricia Rand, MA, NRP</t>
  </si>
  <si>
    <t>Paul Berlin, MS, NRP</t>
  </si>
  <si>
    <t>Rick Foehr, BA, MICP</t>
  </si>
  <si>
    <t>Rod Hackwith, MSEd, NRP</t>
  </si>
  <si>
    <t>Seth Izenberg, MD, FACS</t>
  </si>
  <si>
    <t>Suzann Schmidt, BA, NRP</t>
  </si>
  <si>
    <t>Thomas Platt, EdD, NRP</t>
  </si>
  <si>
    <t>III.A.1.</t>
  </si>
  <si>
    <t>Faculty</t>
  </si>
  <si>
    <t>Curriculum</t>
  </si>
  <si>
    <t>Finances</t>
  </si>
  <si>
    <t>Ancillary student facilities</t>
  </si>
  <si>
    <t>III.A.2.</t>
  </si>
  <si>
    <t>III.B.</t>
  </si>
  <si>
    <t>The sponsor must appoint sufficient faculty and staff with the necessary qualifications to perform the functions identified in documented job descriptions and to achieve the program's stated goals and outcomes.</t>
  </si>
  <si>
    <t xml:space="preserve">    a. Responsibilities
    The Program Director must be responsible for all aspects of the program, including but not limited to:</t>
  </si>
  <si>
    <t>III.B.1.a.1)</t>
  </si>
  <si>
    <t>III.B.1.a.2)</t>
  </si>
  <si>
    <t>III.B.1.a.3)</t>
  </si>
  <si>
    <t>III.B.1.a.4)</t>
  </si>
  <si>
    <t xml:space="preserve">    b. Qualifications    </t>
  </si>
  <si>
    <t>III.B.1.b.1)</t>
  </si>
  <si>
    <t>III.B.1.b.2)</t>
  </si>
  <si>
    <t>III.B.1.b.3)</t>
  </si>
  <si>
    <t>III.B.1.b.4)</t>
  </si>
  <si>
    <t>III.B.1.b.5)</t>
  </si>
  <si>
    <t>III.B.2.a.1)</t>
  </si>
  <si>
    <t>III.B.2.a.2)</t>
  </si>
  <si>
    <t>III.B.2.a.3)</t>
  </si>
  <si>
    <t>III.B.2.a.4)</t>
  </si>
  <si>
    <t>III.B.2.a.5)</t>
  </si>
  <si>
    <t>III.B.2.a.6)</t>
  </si>
  <si>
    <t xml:space="preserve">    a. Responsibilities   </t>
  </si>
  <si>
    <t xml:space="preserve">    c. Curriculum    </t>
  </si>
  <si>
    <t>III.C.1.</t>
  </si>
  <si>
    <t>III.C.2.</t>
  </si>
  <si>
    <t>III.C.3.</t>
  </si>
  <si>
    <t>III.D.</t>
  </si>
  <si>
    <t>Annually assess appropriateness &amp; effectiveness of required resources</t>
  </si>
  <si>
    <t>Action plan developed when deficiencies identified</t>
  </si>
  <si>
    <t>Documentation of action plan and measurement of results</t>
  </si>
  <si>
    <t>IV. Student and Graduate Evaluation / Assessment</t>
  </si>
  <si>
    <t>A. Student Evaluation</t>
  </si>
  <si>
    <t>1. Frequency &amp; Purpose</t>
  </si>
  <si>
    <t>IV.A.1.</t>
  </si>
  <si>
    <t>Evaluation conducted on a recurrent basis, sufficient frequency to provide students &amp; faculty with valid &amp; timely indications of progress of toward achievement of competencies &amp; learning domains</t>
  </si>
  <si>
    <t xml:space="preserve">    2. Documentation</t>
  </si>
  <si>
    <t>IV.B.1.</t>
  </si>
  <si>
    <t xml:space="preserve">    B. Outcomes          </t>
  </si>
  <si>
    <t>IV.B.2.</t>
  </si>
  <si>
    <t>V. Fair Practices</t>
  </si>
  <si>
    <t>A. Publications &amp; Disclosure</t>
  </si>
  <si>
    <t>V.A.1.</t>
  </si>
  <si>
    <t>V.A.2.</t>
  </si>
  <si>
    <t>V.A.3.</t>
  </si>
  <si>
    <t>V.B.</t>
  </si>
  <si>
    <t>Faculty grievance procedure known to all paid faculty</t>
  </si>
  <si>
    <t>C. Safeguards</t>
  </si>
  <si>
    <t>V.C.</t>
  </si>
  <si>
    <t>Students are not substituted for paid staff</t>
  </si>
  <si>
    <t>D. Student Records</t>
  </si>
  <si>
    <t>V.D.</t>
  </si>
  <si>
    <t xml:space="preserve">          Advisement</t>
  </si>
  <si>
    <t xml:space="preserve">          Counseling</t>
  </si>
  <si>
    <t xml:space="preserve">          Evaluation</t>
  </si>
  <si>
    <t xml:space="preserve">          Student grievance procedure</t>
  </si>
  <si>
    <t xml:space="preserve">          Admissions policies &amp; practices</t>
  </si>
  <si>
    <t>E. Substantive Change</t>
  </si>
  <si>
    <t>V.E.</t>
  </si>
  <si>
    <t>F. Agreements</t>
  </si>
  <si>
    <t>V.F.</t>
  </si>
  <si>
    <t>Hyperlinks =&gt;</t>
  </si>
  <si>
    <t>Hover to see standard</t>
  </si>
  <si>
    <t>Program-specific statements of goals and learning domains provide the basis for program planning, implementation, and evaluation.</t>
  </si>
  <si>
    <t>Inspection of labs</t>
  </si>
  <si>
    <t xml:space="preserve">Reviewed schedule   </t>
  </si>
  <si>
    <t>Committee on Accreditation of Educational Programs
for the Emergency Medical Services Professions</t>
  </si>
  <si>
    <t>SSR Type:</t>
  </si>
  <si>
    <t>2015 Standards</t>
  </si>
  <si>
    <t>1st Submsn</t>
  </si>
  <si>
    <t>2nd Submsn</t>
  </si>
  <si>
    <t>Program ID#:</t>
  </si>
  <si>
    <t>EA Tracking</t>
  </si>
  <si>
    <t>Dates</t>
  </si>
  <si>
    <t>Sponsor Name:</t>
  </si>
  <si>
    <t>Yes</t>
  </si>
  <si>
    <t>No</t>
  </si>
  <si>
    <t>N/A</t>
  </si>
  <si>
    <t>PROGRAM INFORMATION</t>
  </si>
  <si>
    <t xml:space="preserve"> STANDARD I: SPONSORSHIP</t>
  </si>
  <si>
    <t>Lead Instructor(s)</t>
  </si>
  <si>
    <t>[if applicable]</t>
  </si>
  <si>
    <t xml:space="preserve">Associate MD(s) </t>
  </si>
  <si>
    <t>Other Reader Comments:</t>
  </si>
  <si>
    <t>Reader Review Completed by:</t>
  </si>
  <si>
    <t>For CoAEMSP Use Only-Administrative Requirements</t>
  </si>
  <si>
    <t xml:space="preserve">Fees paid </t>
  </si>
  <si>
    <t>Date</t>
  </si>
  <si>
    <t>Comments</t>
  </si>
  <si>
    <t>Final Review/Approval by Dr. Hatch</t>
  </si>
  <si>
    <t xml:space="preserve">For questions, contact: </t>
  </si>
  <si>
    <t>George W Hatch, Jr, EdD, LP, EMT-P</t>
  </si>
  <si>
    <t>Executive Director</t>
  </si>
  <si>
    <t>george@coaemsp.org</t>
  </si>
  <si>
    <t>214-703-8445 ext 112</t>
  </si>
  <si>
    <t>City:</t>
  </si>
  <si>
    <t>Anthony Conrardy, MBA, MA, EMT-P, CIC</t>
  </si>
  <si>
    <t>Azeemuddin Ahmed, MD, MBA</t>
  </si>
  <si>
    <t>Beth Natter, RN, BSN, EMT</t>
  </si>
  <si>
    <t>Bill Drees, EdD, NRP</t>
  </si>
  <si>
    <t>Carl Voskamp, MBA, NRP, LP</t>
  </si>
  <si>
    <t>Charles Foat, PhD, NRP</t>
  </si>
  <si>
    <t>Chris Hainsworth, MS, NRP</t>
  </si>
  <si>
    <t>Chris Nollette, EdD, NRP, LP</t>
  </si>
  <si>
    <t>Craig Davis, MEd, BS, EMT-P</t>
  </si>
  <si>
    <t>David Hunt, MPA, NRP</t>
  </si>
  <si>
    <t>Diane Flint, MS, NRP, CCEMTP</t>
  </si>
  <si>
    <t>Donald Locasto, MD</t>
  </si>
  <si>
    <t>Douglas Paris, MEd, NRP</t>
  </si>
  <si>
    <t>Edward Lee, EdS, NRP, CCEMT-P</t>
  </si>
  <si>
    <t>Elliot Carhart, EdD, RRT, NRP</t>
  </si>
  <si>
    <t>Eric Bentley, MD, FACS</t>
  </si>
  <si>
    <t>Gary Bonewald, MEd, LP</t>
  </si>
  <si>
    <t>Gina Riggs, MEd, CCEMTP</t>
  </si>
  <si>
    <t>Gregory Chapman, BS, RRT, EMT-P</t>
  </si>
  <si>
    <t>James DiClemente, BS, NRP, NCEE</t>
  </si>
  <si>
    <t>James Jones, BAS, NRP</t>
  </si>
  <si>
    <t>Jon Berryman, BS, EMT-P</t>
  </si>
  <si>
    <t>Joshua Stilley, MD</t>
  </si>
  <si>
    <t>Kelli Sears, BS, NRP</t>
  </si>
  <si>
    <t>Kenneth Williams, MDiv, BS, NRP</t>
  </si>
  <si>
    <t>Leaugeay Barnes, MS, NRP, CCEMPT</t>
  </si>
  <si>
    <t>Lindi Holt, PhD, NCEE, NRP</t>
  </si>
  <si>
    <t>Lindsay Eakes, BS, NRP</t>
  </si>
  <si>
    <t>Megan Corry, EdD, NRP</t>
  </si>
  <si>
    <t>Paul Arens, MEd, NRP</t>
  </si>
  <si>
    <t>Randolph Spies, BA, NRP</t>
  </si>
  <si>
    <t>Rebecca Brock, BAAS, LP</t>
  </si>
  <si>
    <t>Rebecca Burke, BS, NRP, RN</t>
  </si>
  <si>
    <t>Robert Henderson, MS, NRP, CCEMTP</t>
  </si>
  <si>
    <t>Rodney McGinnes, MPH, BS, EMT-P</t>
  </si>
  <si>
    <t>Ronald Feller, MBA, NRP</t>
  </si>
  <si>
    <t>Sharon Hollingsworth, BS, NRP</t>
  </si>
  <si>
    <t>Steven Kolar, MBA, RN, LP</t>
  </si>
  <si>
    <t>Thomas Rothrock, RN, MSN, NRP</t>
  </si>
  <si>
    <t>William Fritz, BBA, NRP</t>
  </si>
  <si>
    <t xml:space="preserve">          Standard II. 
        Program Goals</t>
  </si>
  <si>
    <t xml:space="preserve">     Standard III.
     Resources</t>
  </si>
  <si>
    <t xml:space="preserve">          Standard IV. 
          Evaluation/Assessment</t>
  </si>
  <si>
    <t>&lt;=== Hovering your cursor over a cell with 
         a red triangle in upper right corner
         reveals text.  Try it.</t>
  </si>
  <si>
    <t>CoAEMSP 
Program #:</t>
  </si>
  <si>
    <t>Program Director (PD)</t>
  </si>
  <si>
    <t>Evidence of documentation of implemented changes</t>
  </si>
  <si>
    <t xml:space="preserve">Periodically assesses effectiveness in achieving stated goals &amp; learning domains  </t>
  </si>
  <si>
    <t>Associate Medical Director(s)</t>
  </si>
  <si>
    <t xml:space="preserve">B. Personnel </t>
  </si>
  <si>
    <t>III.B.2.b.1)</t>
  </si>
  <si>
    <t>III.B.2.b.2)</t>
  </si>
  <si>
    <t>III.B.2.b.3)</t>
  </si>
  <si>
    <t>III.B.2.b.4)</t>
  </si>
  <si>
    <t>III.B.5.a.</t>
  </si>
  <si>
    <t>III.B.5.b.</t>
  </si>
  <si>
    <t xml:space="preserve">    b. Qualifications (PD)    </t>
  </si>
  <si>
    <t xml:space="preserve">    b. Qualifications (MD)    </t>
  </si>
  <si>
    <t>1. Program Director (PD)</t>
  </si>
  <si>
    <t>2. Medical Director (MD)</t>
  </si>
  <si>
    <t>3. Associate Medical Director (Assoc MD)</t>
  </si>
  <si>
    <t>Written statement of program’s goals and learning domains</t>
  </si>
  <si>
    <t>Consistent with and responsive to demonstrated needs and expectations of the various communities of interest served by the educational program</t>
  </si>
  <si>
    <t>Regularly assesses goals and learning domains</t>
  </si>
  <si>
    <t>Program personnel identify and respond to changes in the needs and/or expectations of its communities of interest</t>
  </si>
  <si>
    <t>Review &amp; approval of required minimum numbers for each of the required patient contacts and procedures</t>
  </si>
  <si>
    <t>Ensures the competence of each graduate in cognitive, psychomotor, &amp; affective domains</t>
  </si>
  <si>
    <t>Engages in cooperative involvement with Program Director</t>
  </si>
  <si>
    <t>III.B.2.a.7)</t>
  </si>
  <si>
    <t>4. Assistant Medical Director (Assist MD)</t>
  </si>
  <si>
    <t>5. Faculty / Instructional Staff</t>
  </si>
  <si>
    <t xml:space="preserve">6. Lead Instructor </t>
  </si>
  <si>
    <t>Instruction based on clearly written course syllabi that include course description, course objectives, methods of evaluation, topic outline, &amp; competencies required for graduation</t>
  </si>
  <si>
    <t>Assessment results are the basis for planning &amp; change</t>
  </si>
  <si>
    <t>Assessment of the achievement of required competencies through criterion-referenced, summative, comprehensive final evaluations in all learning domains</t>
  </si>
  <si>
    <t>Records maintained in sufficient detail to document learning progress &amp; achievements, including all program required minimum competencies in all learning domains in the didactic, laboratory, clinical and field experience/internship phases</t>
  </si>
  <si>
    <t>IV.A.2.a.</t>
  </si>
  <si>
    <t>IV.A.2.b.</t>
  </si>
  <si>
    <t>Tracks and documents each student successfully meets each established minimum patient/skill requirements for the appropriate exit point according to patient age-range, chief complaint, and interventions</t>
  </si>
  <si>
    <t>Periodically submits goal(s), learning domains, evaluation systems, outcomes, analysis of outcomes &amp; appropriate action plan based on the analysis</t>
  </si>
  <si>
    <t>V.A.4.</t>
  </si>
  <si>
    <t>Maintains and makes available current &amp; consistent summary information about student/graduate achievements on required outcomes assessments</t>
  </si>
  <si>
    <t>B. Lawful &amp; Non-discriminatory Practices</t>
  </si>
  <si>
    <t>Notification to State Office(s) of EMS for all states the program has educational activities</t>
  </si>
  <si>
    <t>Reports substantive changes in a timely manner: 
change in sponsorship, change in location, addition of a satellite location, or addition of a distance learning program</t>
  </si>
  <si>
    <t>Formal affiliation agreements or MOUs exist between the sponsor and all other entities that participate in education of students describing relationship, role, and responsibilities of sponsor and entity</t>
  </si>
  <si>
    <t>Disclaimer For Exit Summation
Site Visitors, you must read the following disclaimer statement at the beginning of the Exit Summation:</t>
  </si>
  <si>
    <t>“Site visitors do not make an accreditation recommendation nor do they imply what CoAEMSP’s recommendation might be. The program will be required to respond to the accuracy of the findings of the site visit at a later date. The CoAEMSP Board may add, delete, modify or request clarification to the site visit summation in its Findings Letter, which is sent to the program following this site visit. CoAEMSP bases its recommendation to CAAHEP on the accreditation record of the program compiled during this review, which includes the Self Study Report, the Site Visit Report, the Findings Letter, and the program’s response to the Findings Letter. The Commission on Accreditation of Allied Health Education Programs (CAAHEP) determines the final status of public recognition. These are our [site visitors’] impressions of the strengths and potential Standards violations of the program…”</t>
  </si>
  <si>
    <t>a.</t>
  </si>
  <si>
    <t>c.</t>
  </si>
  <si>
    <t>d.</t>
  </si>
  <si>
    <t>e.</t>
  </si>
  <si>
    <t>f.</t>
  </si>
  <si>
    <t>g.</t>
  </si>
  <si>
    <t>h.</t>
  </si>
  <si>
    <t>i.</t>
  </si>
  <si>
    <t>j.</t>
  </si>
  <si>
    <t>k.</t>
  </si>
  <si>
    <t>l.</t>
  </si>
  <si>
    <t>m.</t>
  </si>
  <si>
    <t>n.</t>
  </si>
  <si>
    <t>o.</t>
  </si>
  <si>
    <t>Rationale</t>
  </si>
  <si>
    <t>PRESENT AT EXIT SUMMATION</t>
  </si>
  <si>
    <t>List the names and their titles of those present at the summation conference</t>
  </si>
  <si>
    <t>Title</t>
  </si>
  <si>
    <t>SIGNATURES OF SITE VISIT TEAM MEMBERS</t>
  </si>
  <si>
    <t>Printed Name</t>
  </si>
  <si>
    <t>Phone Number</t>
  </si>
  <si>
    <t>Email</t>
  </si>
  <si>
    <t>Standard I.A.1. Post-secondary Inst</t>
  </si>
  <si>
    <t>Standard III.B.5.a. Faculty/Inst Staff Responsibilities</t>
  </si>
  <si>
    <t>Standard III.B.6.a. Lead Instructor Responsibilities</t>
  </si>
  <si>
    <t>Standard III.D. Resource Assessment</t>
  </si>
  <si>
    <t>Standard IV.A.1. Stud Eval - Frequency &amp; Purpose</t>
  </si>
  <si>
    <t>Standard IV.B.1. Outcomes Assessment</t>
  </si>
  <si>
    <t>Standard V.B. Lawful &amp; Non-discrim Practices</t>
  </si>
  <si>
    <t>Standard V.C. Safeguards</t>
  </si>
  <si>
    <t>Standard V.D. Student Records</t>
  </si>
  <si>
    <t>Standard V.E. Substantive Change</t>
  </si>
  <si>
    <t>Standard V.F. Agreements</t>
  </si>
  <si>
    <t>Additional Comments</t>
  </si>
  <si>
    <t>SUMMARY OF FINDINGS</t>
  </si>
  <si>
    <t>Continuous quality review and improvement of the educational program</t>
  </si>
  <si>
    <t xml:space="preserve">Administration, organization, supervision of the educational program </t>
  </si>
  <si>
    <t>Standard III.B.5.b. Faculty/Inst Staff Responsibilities</t>
  </si>
  <si>
    <t>Walt Stoy, PhD, EMT-P</t>
  </si>
  <si>
    <t>Lance Villers, PhD, LP</t>
  </si>
  <si>
    <t>Douglas K York, NRP, PS</t>
  </si>
  <si>
    <t>Brian Hendrickson, MS, EMT-P</t>
  </si>
  <si>
    <t>Donna G Tidwell, MS, RN, EMT-P</t>
  </si>
  <si>
    <t>Frank Mineo, PhD, EMT-P</t>
  </si>
  <si>
    <t>Joseph Mistovich, MEd, NRP</t>
  </si>
  <si>
    <t>Linda V Anderson, BSN, RN</t>
  </si>
  <si>
    <t>Patricia Tritt, RN, MA</t>
  </si>
  <si>
    <t>Tammy Samarripa, MPH, EMT-P</t>
  </si>
  <si>
    <t>William Raynovich, EdD, MPH, NRP</t>
  </si>
  <si>
    <t>Charles Sowerbrower, MEd, NRP, CCP-C</t>
  </si>
  <si>
    <t>David Cauthen, PsyD, EMT-P, IC</t>
  </si>
  <si>
    <t>Jackilyn E Williams, RN, MSN</t>
  </si>
  <si>
    <t>Jason Hemler, MS, EMT-P</t>
  </si>
  <si>
    <t>Nerina J Stepanovsky, PhD, MSN, RN, EMT-P</t>
  </si>
  <si>
    <t>Scott Corcoran, MS, CIC, AEMT-P</t>
  </si>
  <si>
    <t>Vincent Parker, MSEd, EMT-P</t>
  </si>
  <si>
    <t>Checking this box constitutes an electronic signature</t>
  </si>
  <si>
    <t xml:space="preserve">          Criteria for successful completion of each 
          program segment &amp; graduation</t>
  </si>
  <si>
    <t>David Page, MS, NRP</t>
  </si>
  <si>
    <t>Ronald Lawler, BUS, NRP</t>
  </si>
  <si>
    <t>Thomas Brazelton III, MD, MPH, FAAP</t>
  </si>
  <si>
    <t>Results reflected in the reviews &amp; timely revision of program</t>
  </si>
  <si>
    <t xml:space="preserve">          Technical standards</t>
  </si>
  <si>
    <t>b.</t>
  </si>
  <si>
    <t>Appropriate sequence of classroom, laboratory, clinical, &amp; field internship experience, and capstone field internship activities</t>
  </si>
  <si>
    <t>Team Member (if applicable):</t>
  </si>
  <si>
    <t>Possible Evidence May Include - OR -
Additional Evidence Reviewed</t>
  </si>
  <si>
    <t>Rationale for "Not Met" OR Comment if 
Consideration - OR - Clarification is Needed</t>
  </si>
  <si>
    <t>Teaching and administrative workload assignments</t>
  </si>
  <si>
    <t>Please Select</t>
  </si>
  <si>
    <t>I.A.1-Post-secondary</t>
  </si>
  <si>
    <t xml:space="preserve">                 For empty rows, highlight them, right click, and choose hide.  Do not delete any rows.  </t>
  </si>
  <si>
    <t>I.A.4-Governmental</t>
  </si>
  <si>
    <t>Inactive</t>
  </si>
  <si>
    <t>Eve Kwiatkowski, BS, NRP</t>
  </si>
  <si>
    <t>Joey Thompson, MEd, EMT-P</t>
  </si>
  <si>
    <t>Jonathan Willoughby, MEd, NRP</t>
  </si>
  <si>
    <t>Karen Barker, EdD, RN, EMT-P</t>
  </si>
  <si>
    <t>Maia Dorsett, MD, PhD</t>
  </si>
  <si>
    <t>Tracey Franklin, BA, NRP</t>
  </si>
  <si>
    <t>Standard III.B. Personnel</t>
  </si>
  <si>
    <t>Standard III.B.1.a.1. PD Responsibilities</t>
  </si>
  <si>
    <t>Standard III.B.1.a.2. PD Responsibilities</t>
  </si>
  <si>
    <t>Standard III.B.1.a.3. PD Responsibilities</t>
  </si>
  <si>
    <t>Standard III.B.1.a.4. PD Responsibilities</t>
  </si>
  <si>
    <t>Standard III.B.1.b.1. PD Qualifications</t>
  </si>
  <si>
    <t>Standard III.B.1.b.2. PD Qualifications</t>
  </si>
  <si>
    <t>Standard III.B.1.b.3. PD Qualifications</t>
  </si>
  <si>
    <t>Standard III.B.1.b.4. PD Qualifications</t>
  </si>
  <si>
    <t>Standard III.B.1.b.5. PD Qualifications</t>
  </si>
  <si>
    <t>Standard III.B.2.a.1. MD Responsibilities</t>
  </si>
  <si>
    <t>Standard III.B.2.a.2. MD Responsibilities</t>
  </si>
  <si>
    <t>Standard III.B.2.a.3. MD Responsibilities</t>
  </si>
  <si>
    <t>Standard III.B.2.a.4. MD Responsibilities</t>
  </si>
  <si>
    <t>Standard III.B.2.a.5. MD Responsibilities</t>
  </si>
  <si>
    <t>Standard III.B.2.a.6. MD Responsibilities</t>
  </si>
  <si>
    <t>Standard III.B.2.a.7. MD Responsibilities</t>
  </si>
  <si>
    <t>Standard III.B.2.b.1. MD Qualifications</t>
  </si>
  <si>
    <t>Standard III.B.2.b.2. MD Qualifications</t>
  </si>
  <si>
    <t>Standard III.B.2.b.3. MD Qualifications</t>
  </si>
  <si>
    <t>Standard III.B.2.b.4. MD Qualifications</t>
  </si>
  <si>
    <t>Standard III.B.3.a.1. Associate MD Responsibilities</t>
  </si>
  <si>
    <t>Standard III.B.3.b.1. Associate MD Qualifications</t>
  </si>
  <si>
    <t>Standard III.B.3.b.2. Associate MD Qualifications</t>
  </si>
  <si>
    <t>Standard III.B.3.b.3. Associate MD Qualifications</t>
  </si>
  <si>
    <t>Standard III.B.4.a.1. Assistant MD Responsibilities</t>
  </si>
  <si>
    <t>Standard III.B.4.b.1. Assistant MD Qualifications</t>
  </si>
  <si>
    <t>Standard III.B.4.b.2. Assistant MD Qualifications</t>
  </si>
  <si>
    <t>Standard III.B.4.b.3. Assistant MD Qualifications</t>
  </si>
  <si>
    <t>Standard III.B.6.b.1. Lead Instructor Qualifications</t>
  </si>
  <si>
    <t>Standard III.B.6.b.2. Lead Instructor Qualifications</t>
  </si>
  <si>
    <t>Standard III.B.6.b.3. Lead Instructor Qualifications</t>
  </si>
  <si>
    <t>Standard III.B.6.b.4. Lead Instructor Qualifications</t>
  </si>
  <si>
    <t>Standard III.B.6.b.5. Lead Instructor Qualifications</t>
  </si>
  <si>
    <t>Standard IV.A.2.a. Stud Eval - Documentation</t>
  </si>
  <si>
    <t>Standard IV.A.2.b. Stud Eval - Documentation</t>
  </si>
  <si>
    <t>Standard V.A.1. Publications &amp; Disclosure</t>
  </si>
  <si>
    <t>Standard V.A.2. Publications &amp; Disclosure</t>
  </si>
  <si>
    <t>Standard V.A.3. Publications &amp; Disclosure</t>
  </si>
  <si>
    <t>Standard V.A.4. Publications &amp; Disclosure</t>
  </si>
  <si>
    <t>Rick Ellis, MSEDM, NRP</t>
  </si>
  <si>
    <t>Ritu Sahni, MD, MPH, FACEP, FAEM</t>
  </si>
  <si>
    <t>Bill Young, EdD, NRP</t>
  </si>
  <si>
    <t>Bradley E Dean, MA, NRP</t>
  </si>
  <si>
    <t>Chris Caulkins, EdD, MPH, MA, NRP</t>
  </si>
  <si>
    <t>Christopher DeMorse, DHSc, NRP</t>
  </si>
  <si>
    <t>Christopher Metsgar, MBA, MS, NRP, CCEMTP</t>
  </si>
  <si>
    <t>Daniel Benard, MBA, EMT-P, I/C</t>
  </si>
  <si>
    <t>David Becker, MA, EMT-P, EFO</t>
  </si>
  <si>
    <t>Dennis Allin, MD, FACEP, FAAEM</t>
  </si>
  <si>
    <t>Dewey Eric Anderson, MHA, EMT-P</t>
  </si>
  <si>
    <t>Eric Allmon, MSEd, NRP, NCEE</t>
  </si>
  <si>
    <t>Gregory Frailey, DO, FACOEP</t>
  </si>
  <si>
    <t>James Dinsch, MS, NRP, CCEMTP</t>
  </si>
  <si>
    <t>Jerry Findley, MA, LP</t>
  </si>
  <si>
    <t>John Brown, MD, MPA, FACEP, FAEMS</t>
  </si>
  <si>
    <t>John C Cook, EdD, MBA, NRP</t>
  </si>
  <si>
    <t>Kim McKenna, PhD, RN, EMT-P</t>
  </si>
  <si>
    <t>Kristina Long, MPA, NRP</t>
  </si>
  <si>
    <t>Mark Branon, MA, NRP</t>
  </si>
  <si>
    <t>Mark Simpson, MSN, NRP, RN, PHIC</t>
  </si>
  <si>
    <t>Michael Miller, EdD, MS, BSEMS, RN</t>
  </si>
  <si>
    <t>Paul Blusys, MD, FACEP, FAAFP</t>
  </si>
  <si>
    <t>Steven Moyers, EdD, NRP</t>
  </si>
  <si>
    <t>Taylor Ratcliff, MD, FACEP, EMT-P, LP</t>
  </si>
  <si>
    <t>Timothy Reitz, BS, NRP, NCEE</t>
  </si>
  <si>
    <t>Assistant MD(s)</t>
  </si>
  <si>
    <t>STANDARD III: PERSONNEL</t>
  </si>
  <si>
    <t>Sponsor Type</t>
  </si>
  <si>
    <t>Ambulance Services</t>
  </si>
  <si>
    <t>Community College</t>
  </si>
  <si>
    <t>Consortium</t>
  </si>
  <si>
    <t>Fire Services</t>
  </si>
  <si>
    <t>Hospital Based</t>
  </si>
  <si>
    <t>Junior College</t>
  </si>
  <si>
    <t>Military</t>
  </si>
  <si>
    <t>Technical College</t>
  </si>
  <si>
    <t>University</t>
  </si>
  <si>
    <t>Vocational School</t>
  </si>
  <si>
    <t>Sponsor Status</t>
  </si>
  <si>
    <t>Federal Government</t>
  </si>
  <si>
    <t>State OEMS Approval</t>
  </si>
  <si>
    <t>Sponsor Award College Credit</t>
  </si>
  <si>
    <t>Articulation Agreement(s)</t>
  </si>
  <si>
    <t>CoAEMSP Personnel Verification</t>
  </si>
  <si>
    <t>Complete</t>
  </si>
  <si>
    <t>Answer
/Evidence Provided</t>
  </si>
  <si>
    <t>County/
Municipality</t>
  </si>
  <si>
    <t>State, Cty, or Local Gov't</t>
  </si>
  <si>
    <t>Private - 
For Profit</t>
  </si>
  <si>
    <t>Private - 
Not For Profit</t>
  </si>
  <si>
    <t>Public - 
Not For Profit</t>
  </si>
  <si>
    <t>Type of Completion Award(s)</t>
  </si>
  <si>
    <t>AS Degree</t>
  </si>
  <si>
    <t>BS Degree</t>
  </si>
  <si>
    <t>MS Degree</t>
  </si>
  <si>
    <t>Cert/Diploma</t>
  </si>
  <si>
    <t>AS &amp; BS</t>
  </si>
  <si>
    <t>AS, BS, &amp; MS</t>
  </si>
  <si>
    <t>BS &amp; MS</t>
  </si>
  <si>
    <t>Cert/Diploma 
&amp; AS</t>
  </si>
  <si>
    <t>Cert/Diploma 
&amp; BS</t>
  </si>
  <si>
    <t>Cert/Diploma 
&amp; MS</t>
  </si>
  <si>
    <t>Cert/Diploma, 
AS, &amp; BS</t>
  </si>
  <si>
    <t>Cert/Diploma, 
AS, BS, &amp; MS</t>
  </si>
  <si>
    <t>ACAOM</t>
  </si>
  <si>
    <t>ABHES</t>
  </si>
  <si>
    <t>ACCJC</t>
  </si>
  <si>
    <t>ACCSC</t>
  </si>
  <si>
    <t>ACICS</t>
  </si>
  <si>
    <t>ACGME</t>
  </si>
  <si>
    <t>AHC-USA-NIAHO</t>
  </si>
  <si>
    <t>CAAS</t>
  </si>
  <si>
    <t>COE</t>
  </si>
  <si>
    <t>DEAC</t>
  </si>
  <si>
    <t>HFAP</t>
  </si>
  <si>
    <t>HLC</t>
  </si>
  <si>
    <t>MIEMSS</t>
  </si>
  <si>
    <t>MSCHE</t>
  </si>
  <si>
    <t>MSACS</t>
  </si>
  <si>
    <t>NEASC</t>
  </si>
  <si>
    <t>NCA</t>
  </si>
  <si>
    <t>NWCCU</t>
  </si>
  <si>
    <t>OK Board</t>
  </si>
  <si>
    <t>SACS</t>
  </si>
  <si>
    <t>State - OEMS</t>
  </si>
  <si>
    <t>Joint 
Commission</t>
  </si>
  <si>
    <t>WASC</t>
  </si>
  <si>
    <t>WSCUSC</t>
  </si>
  <si>
    <t>DNV 
Healthcare</t>
  </si>
  <si>
    <t>Reader Returned</t>
  </si>
  <si>
    <t>Exec Dir Returned</t>
  </si>
  <si>
    <t>Staff Sent to Program</t>
  </si>
  <si>
    <t xml:space="preserve">   Inst. Accreditation Cycle       (i.e., year to year)                </t>
  </si>
  <si>
    <t>CAAHEP Sponsorship Category
(according to Standard IA)</t>
  </si>
  <si>
    <t>Forwarded to Program Director:</t>
  </si>
  <si>
    <t xml:space="preserve">PD Approved </t>
  </si>
  <si>
    <t>MD Approved</t>
  </si>
  <si>
    <t xml:space="preserve">LI(s) Approved </t>
  </si>
  <si>
    <t>Associate MD(s) Approved</t>
  </si>
  <si>
    <t>Assistant MD(s) Approved [out of state]</t>
  </si>
  <si>
    <t>Pending</t>
  </si>
  <si>
    <t>Faculty  (Full time)</t>
  </si>
  <si>
    <t>PD Curriculum Vitae</t>
  </si>
  <si>
    <t>MD Curriculum Vitae</t>
  </si>
  <si>
    <r>
      <t xml:space="preserve">      </t>
    </r>
    <r>
      <rPr>
        <sz val="11"/>
        <rFont val="Arial"/>
        <family val="2"/>
        <scheme val="minor"/>
      </rPr>
      <t>Responsibilities Form</t>
    </r>
  </si>
  <si>
    <r>
      <t xml:space="preserve">        </t>
    </r>
    <r>
      <rPr>
        <sz val="11"/>
        <rFont val="Arial"/>
        <family val="2"/>
        <scheme val="minor"/>
      </rPr>
      <t>Responsibilities Form</t>
    </r>
  </si>
  <si>
    <t xml:space="preserve">Medical Director (MD)         </t>
  </si>
  <si>
    <t xml:space="preserve">        Curriculum Vitae(s)</t>
  </si>
  <si>
    <t>Full Time Faculty Table</t>
  </si>
  <si>
    <t>Part Time Faculty Table</t>
  </si>
  <si>
    <t>Additional Reader/Executive Director Comment (if any)</t>
  </si>
  <si>
    <t xml:space="preserve">   Total # of Credits/Contact Hours Required </t>
  </si>
  <si>
    <t xml:space="preserve">   Overall Length of Program (in months)</t>
  </si>
  <si>
    <t xml:space="preserve">   Maximum Class Size</t>
  </si>
  <si>
    <t>Brief History and Development</t>
  </si>
  <si>
    <t>Title Page Information</t>
  </si>
  <si>
    <t>Both Release Boxes Answered</t>
  </si>
  <si>
    <t>Job Descriptions</t>
  </si>
  <si>
    <t xml:space="preserve">      Workload Table</t>
  </si>
  <si>
    <t>Baxter Larmon, PhD, MICP</t>
  </si>
  <si>
    <t>Cissy Matthews, EdD, MS, MHSM, NREMTP</t>
  </si>
  <si>
    <t>Jeff McDonald, Med, NRP</t>
  </si>
  <si>
    <t>Walt Stoy, PhD, EMTP</t>
  </si>
  <si>
    <t xml:space="preserve">Reader Review Reminders: 
</t>
  </si>
  <si>
    <t>* A copy of this completed form is sent to the program and used as basis for follow-up communication.</t>
  </si>
  <si>
    <t>* Row heights should auto adjust; however, if they do not then the row height can be adjusted to show
   all text by "pulling" the row down.</t>
  </si>
  <si>
    <t>* Review the avaliable selections and their meaning by hovering over the Answer/Evidence Provided 
   column title and Additional Reader/Executive Director Comment (if any) column title below.</t>
  </si>
  <si>
    <t xml:space="preserve">   Number of Cohorts each Calendar Year</t>
  </si>
  <si>
    <t xml:space="preserve">Verified by CoAEMSP          </t>
  </si>
  <si>
    <t>Sufficient number</t>
  </si>
  <si>
    <t xml:space="preserve">Verified by CoAEMSP     </t>
  </si>
  <si>
    <t>Completed Program Course Requirements Table</t>
  </si>
  <si>
    <t>Capstone field internship provides opportunity to serve as team leader in a variety of ALS situations</t>
  </si>
  <si>
    <t>Out-of-state EMS office notification(s)</t>
  </si>
  <si>
    <t>Sets and requires minimum numbers of patient/skill contacts for each of the required patients and conditions listed and at least annually evaluates and documents that the established program minimums are sufficient to achieve entry-level competency</t>
  </si>
  <si>
    <t>Resubmit</t>
  </si>
  <si>
    <t>Standard IV.B.2. Outcomes Reporting</t>
  </si>
  <si>
    <t>Satellite Locations</t>
  </si>
  <si>
    <t>Alex Stadthagen, MS, NRP, LP</t>
  </si>
  <si>
    <t>Braiden Green, MPA, CCP, NCEE</t>
  </si>
  <si>
    <t>Clary Mole MSEM, NRP</t>
  </si>
  <si>
    <t>Corey Bryan Grayson EdD, NRP</t>
  </si>
  <si>
    <t>Daniel Media MA, RN, EMTP/IC, PEM</t>
  </si>
  <si>
    <t>Elaine Karr Remington, MS, EMTP</t>
  </si>
  <si>
    <t>Jesse Davis Med, NRP</t>
  </si>
  <si>
    <t>Karen Pickard MS, RN, LP</t>
  </si>
  <si>
    <t>Kimberly Miller, MEd, LP</t>
  </si>
  <si>
    <t>Lauren Maloney MD, NRP, FP-C, NCEE</t>
  </si>
  <si>
    <t>Louis Mallory, MBA, PMD</t>
  </si>
  <si>
    <t>Kelly Weller, EdD, RN, LP</t>
  </si>
  <si>
    <t>Manuel Ramirez, BAT, LP</t>
  </si>
  <si>
    <t>Melissa Stuive MEd, LP</t>
  </si>
  <si>
    <t>Nicole Cecchini, BS, NRP</t>
  </si>
  <si>
    <t>Phillip Merck, MBA, NRP</t>
  </si>
  <si>
    <t>Robert Fontaine, MA</t>
  </si>
  <si>
    <t>Ryan Batenhorst, MEd, NRP, EMSI</t>
  </si>
  <si>
    <t>George W. Hatch Jr., EdD, LP, EMT-P</t>
  </si>
  <si>
    <t>Complete the “Reader” information below, then email the completed form to:</t>
  </si>
  <si>
    <t xml:space="preserve">lisa@coaemsp.org </t>
  </si>
  <si>
    <t>Executive Analysis of Letter of Review (LoR) Application</t>
  </si>
  <si>
    <t>LoR Application</t>
  </si>
  <si>
    <t>LoR Application TABS</t>
  </si>
  <si>
    <t>LSSR</t>
  </si>
  <si>
    <t>Items 1 thru 13</t>
  </si>
  <si>
    <t>~ Please Select ~</t>
  </si>
  <si>
    <t>Addition of a distance learning program</t>
  </si>
  <si>
    <t>Changes in sponsorship since submission of self-study report</t>
  </si>
  <si>
    <t>NECHE</t>
  </si>
  <si>
    <t xml:space="preserve">Verified by conversation          </t>
  </si>
  <si>
    <t xml:space="preserve">Verified by conversation    </t>
  </si>
  <si>
    <t xml:space="preserve">Verified by conversation      </t>
  </si>
  <si>
    <t xml:space="preserve">Verified by conversation   </t>
  </si>
  <si>
    <t>Based on evidence presented during the SV, 
select the sponsor type in the cell below:</t>
  </si>
  <si>
    <t>© 2022 by the Committee on Accreditation of Educational Program for the Emergency Medical Services Professions, Inc., Rowlett, TX. 
CAAHEP accredited and CoAEMSP approved LOR programs may use for program educational purposes. 
All other uses prohibited without express written permission.</t>
  </si>
  <si>
    <t xml:space="preserve">   Preliminary Site Visit</t>
  </si>
  <si>
    <r>
      <rPr>
        <i/>
        <sz val="12"/>
        <color theme="1"/>
        <rFont val="Arial"/>
        <family val="2"/>
        <scheme val="minor"/>
      </rPr>
      <t>"Good morning. We/I represent the Committee on Accreditation of Educational Programs for the EMS Professions (CoAEMSP), which operates under the auspices of the Commission on Accreditation of Allied Health Education Programs (CAAHEP). CAAHEP is the accreditor. We are here to gather information through observation, interview, and review of documentation to verify, clarify, and amplify the contents of the self-study report prepared by the program. We will objectively report our findings to the CoAEMSP relative to the CAAHEP Standards and Guidelines for the Accreditation of Educational Programs in the Emergency Medical Services Professions.  In addition, we are a consultative and facilitative team for the accreditation process.
As site visitors for CoAEMSP, a Committee on Accreditation of CAAHEP, we understand that information has been made available to us about the program, institution, and faculty.  We agree to respect and protect this information. All discussions and written information provided prior to, during, and after the site visit will remain confidential.
While the Family Educational Rights and Privacy Act (FERPA) generally requires written permission from the parent or eligible student in order to release any information from a student's education record, FERPA allows disclosure without consent to accrediting organizations carrying out their accrediting function (34 CFR § 99.31). 
To ensure the confidentiality of the site visit, the CoAEMSP prohibits the use of audio or video recording/monitoring of any portion of the evaluation including interviews with students and staff, team meetings, deliberations, or the closing summation except for the purposes of security. The CoAEMSP reserves the right to take disciplinary action against sponsoring institutions/programs whose representatives knowingly violate this policy, including cancellation of a site visit scheduled or in progress, or withhold of the CoAEMSP Letter of Review.
We will share our findings with you at the end of this review visit during the Closing Summation."</t>
    </r>
    <r>
      <rPr>
        <sz val="12"/>
        <color theme="1"/>
        <rFont val="Arial"/>
        <family val="2"/>
        <scheme val="minor"/>
      </rPr>
      <t xml:space="preserve">
</t>
    </r>
  </si>
  <si>
    <t>* Introductions of everyone and their role (not just the site visitors).
* Say a word about the Self-Study Report (thorough, helpful, clear, informative, interesting, etc.), if appropriate.
* Explain you are representing the CoAEMSP.
* Explain your purpose is to obtain info for the CoAEMSP by talking with different groups of people and looking at records, etc. and to provide 
   feedback to the program.
* Evaluation of the program is against the CAAHEP Standards; we would like to be a helpful consult to them.
* Explain you will collect information, draft the Site Visit Report, and present the site visit team’s findings during the Closing Summation at the 
   end of the site visit.
* This site visit is part of a CoAEMSP letter of review process, which begins with writing a Self-Study Report; other steps include an Executive 
   Analysis and Site Visit. 
* Possible next steps: The authority to issue the LoR is delegated to the Executive Director, subject to approval by the Chair of the CoAEMSP 
   Board of Directors. Allow two weeks for the formal notification.</t>
  </si>
  <si>
    <t xml:space="preserve">     - If it is determined the program is in substantial compliance with the CAAHEP Standards, the LoR will be issued. 
     - If it is determined the program is not in substantial compliance with the CAAHEP Standards, the LoR will be withheld. Programs may request 
       reconsideration and will be placed on the next scheduled CoAEMSP Board of Directors meeting. The CoAEMSP Board of Directors will make 
       the final determination.</t>
  </si>
  <si>
    <t>* For the Dean or Leadership, ask a question to verify what the self-study report states.</t>
  </si>
  <si>
    <t xml:space="preserve">      - I understand from the self-study report that you are accredited by [insert institutional accreditor] and are due for reaffirmation [insert 
        date], is that correct? (or something similar that verifies what the self-study report has said.)
      - It appears from the self-study report that the program has some challenges with [insert example(s)] (e.g., enrollment challenges, 
        inadequate faculty, lacking adequate resources or insufficient budget). Is that something that you feel can be managed and is being 
        addressed? Or something similar. If the challenge is medical direction and the medical director is present, this would best be explored 
        during the interview with the medical director.</t>
  </si>
  <si>
    <t>Script for Opening General Session
[Please read the opening script at the beginning of the site visit]</t>
  </si>
  <si>
    <t>Script for Closing General Session
[Please read the Closing Summation following your thank you for the hospitality and consideration shown to the site visit team]</t>
  </si>
  <si>
    <r>
      <rPr>
        <i/>
        <sz val="12"/>
        <color theme="1"/>
        <rFont val="Arial"/>
        <family val="2"/>
        <scheme val="minor"/>
      </rPr>
      <t xml:space="preserve">"As site visitors for the CoAEMSP, a Committee on Accreditation of CAAHEP, we understand that information has been made available to us about the program, institution, and faculty. We agree to respect and protect this information. All discussions and written information provided prior to, during, and after the site visit will remain confidential.
Based on the information gathered during this site visit, we have identified the following program strengths:
</t>
    </r>
    <r>
      <rPr>
        <i/>
        <sz val="12"/>
        <color rgb="FF0070C0"/>
        <rFont val="Arial"/>
        <family val="2"/>
        <scheme val="minor"/>
      </rPr>
      <t>[Read/summarize the Strengths listed.]</t>
    </r>
    <r>
      <rPr>
        <i/>
        <sz val="12"/>
        <color theme="1"/>
        <rFont val="Arial"/>
        <family val="2"/>
        <scheme val="minor"/>
      </rPr>
      <t xml:space="preserve">
Based on the information gathered during this site visit, we have identified the following areas not meeting the standard:
</t>
    </r>
    <r>
      <rPr>
        <i/>
        <sz val="12"/>
        <color rgb="FF0070C0"/>
        <rFont val="Arial"/>
        <family val="2"/>
        <scheme val="minor"/>
      </rPr>
      <t>[State the Standard and the Rationale for each of the program’s areas of non-compliance.]</t>
    </r>
    <r>
      <rPr>
        <i/>
        <sz val="12"/>
        <color theme="1"/>
        <rFont val="Arial"/>
        <family val="2"/>
        <scheme val="minor"/>
      </rPr>
      <t xml:space="preserve">
We have noted the following suggestions for enhancement:
</t>
    </r>
    <r>
      <rPr>
        <i/>
        <sz val="12"/>
        <color rgb="FF0070C0"/>
        <rFont val="Arial"/>
        <family val="2"/>
        <scheme val="minor"/>
      </rPr>
      <t xml:space="preserve">[Read/summarize the Suggestions for Enhancement listed.] </t>
    </r>
    <r>
      <rPr>
        <i/>
        <sz val="12"/>
        <color theme="1"/>
        <rFont val="Arial"/>
        <family val="2"/>
        <scheme val="minor"/>
      </rPr>
      <t xml:space="preserve">
I will submit the Site Visit Report to the CoAEMSP within five working days. The authority to issue the LoR is delegated to the Executive Director, subject to approval by the Chair of the CoAEMSP Board of Directors. 
      a. If it is determined the program is in substantial compliance with the CAAHEP Standards, the LoR will be issued. 
      b. If it is determined the program is not in substantial compliance with the CAAHEP Standards, the LoR will be withheld. Programs may request reconsideration and 
          will be placed on the next scheduled CoAEMSP Board of Directors meeting. The CoAEMSP Board of Directors will make the final determination.
Do you have any questions regarding the process?"</t>
    </r>
  </si>
  <si>
    <t xml:space="preserve">Talking points to cover (opening session): </t>
  </si>
  <si>
    <t xml:space="preserve">Talking points to cover (closing summation): </t>
  </si>
  <si>
    <t>* Thank program for hospitality, openness to the thorough evaluation and to your suggestions, etc., if appropriate. Usually, it is!
* Briefly review the process and tell them where we are: giving the unofficial report. Explain the unofficial Site Visit Report will be sent to the 
   CoAEMSP within the next week.
* Read the closing statement on the Site Visit Report
* Give the unofficial report—both strengths (and elaborate, this is the time for the program personnel to be complimented, if appropriate) and 
   potential citations. If there are specific statements that are particularly complimentary from students or others, pass that on. Hopefully you 
   will have had time previously to go over the potential citations thoroughly with Program Director and show them the Standard and discuss 
   methods of correcting. If you have done that then you won’t need to go over all that in the group meeting.
* If there are numerous citations, you can mention that some of them are fairly simple to correct while others may take more time to address.
* Also present the other recommendations briefly and explain if needed.</t>
  </si>
  <si>
    <t>John C. Cook, EdD, MBA, NRP</t>
  </si>
  <si>
    <r>
      <t xml:space="preserve">This is an </t>
    </r>
    <r>
      <rPr>
        <b/>
        <i/>
        <sz val="11"/>
        <rFont val="Arial"/>
        <family val="2"/>
      </rPr>
      <t>UNOFFICIAL</t>
    </r>
    <r>
      <rPr>
        <i/>
        <sz val="11"/>
        <rFont val="Arial"/>
        <family val="2"/>
      </rPr>
      <t xml:space="preserve"> copy of the report, nothing is left with the program. The program will be receive the </t>
    </r>
    <r>
      <rPr>
        <b/>
        <i/>
        <sz val="11"/>
        <rFont val="Arial"/>
        <family val="2"/>
      </rPr>
      <t>OFFICIAL</t>
    </r>
    <r>
      <rPr>
        <i/>
        <sz val="11"/>
        <rFont val="Arial"/>
        <family val="2"/>
      </rPr>
      <t xml:space="preserve"> copy of the Site Visit Report and Findings Letter.  The Findings Letter will be the official document listing the strengths, citations, and recommendations that the program must respond to for factual accuary.</t>
    </r>
  </si>
  <si>
    <t>Evidence that Advisory Committee reviews program goals and required minimum patient contacts</t>
  </si>
  <si>
    <t>Based on the current National EMS Education Standards</t>
  </si>
  <si>
    <t>Local enhancements as appropriate</t>
  </si>
  <si>
    <t>Adequate size &amp; number for enrolled 
students</t>
  </si>
  <si>
    <t xml:space="preserve">Adequate facilities to support students </t>
  </si>
  <si>
    <t>Adequate number and variety to meet 
experience requirements</t>
  </si>
  <si>
    <t>Adequate quantity, quality, &amp; type</t>
  </si>
  <si>
    <t>Adequate access to internet &amp; LMS</t>
  </si>
  <si>
    <t xml:space="preserve">Adequate technology resources when using distance education methodologies </t>
  </si>
  <si>
    <t>Reviewed student texts and resources</t>
  </si>
  <si>
    <t>Sponsor support for participation in professional development</t>
  </si>
  <si>
    <t>Clinical, field experience, and capstone field internship sites demonstrate adequate volume</t>
  </si>
  <si>
    <t>Program Director 
(on file with CoAEMSP)</t>
  </si>
  <si>
    <t>Medical Director
(on file with CoAEMSP)</t>
  </si>
  <si>
    <t>Lead Instructor(s) 
Satellite Lead Instructor(s)*
*(on file with CoaEMSP)</t>
  </si>
  <si>
    <t>Faculty (full or part-time)</t>
  </si>
  <si>
    <t>Confirmed adequate time allotted to each aspect of the program</t>
  </si>
  <si>
    <t>Evidence that Program Director is responsible for: 
  • Course scheduling
  • Teaching assignments
  • Evaluations
  • Testing
  • Curriculum review &amp; revision
  • Evaluation of faculty &amp; instructors</t>
  </si>
  <si>
    <t>Review of schedules for assignments and teaching load</t>
  </si>
  <si>
    <t>Verified by conversation with personnel</t>
  </si>
  <si>
    <t>Documentation of compliance with the latest National EMS Education Standards</t>
  </si>
  <si>
    <t>Completed Student Minimum Competency (SMC) document</t>
  </si>
  <si>
    <t>Conversation with employers</t>
  </si>
  <si>
    <t>Conversation with students &amp; graduates, if applicable, regarding team  lead opportunities</t>
  </si>
  <si>
    <t>Resource assessment surveys administered to all students and personnel at least annually</t>
  </si>
  <si>
    <t>Evidence of action taken</t>
  </si>
  <si>
    <t>Advisory Committee meeting minutes or other evidence</t>
  </si>
  <si>
    <t>Evidence of the summative evaluation at the end of the course including cognitive, psychomotor, and affective evaluations</t>
  </si>
  <si>
    <t xml:space="preserve">Reviewed process for grading and remediation           </t>
  </si>
  <si>
    <t>Note:  All of  V.A.2. and V.A.3. items may appear in one or more of the following documents</t>
  </si>
  <si>
    <t xml:space="preserve">Reviewed student handbook  </t>
  </si>
  <si>
    <t>Reviewed catalog</t>
  </si>
  <si>
    <t>Reviewed faculty handbook</t>
  </si>
  <si>
    <t xml:space="preserve">Conversations with paid faculty </t>
  </si>
  <si>
    <t>Written faculty grievance policy</t>
  </si>
  <si>
    <t>Reviewed grading documentation or other records</t>
  </si>
  <si>
    <t>Addition of satellite location(s)
Addition of alternate location(s)</t>
  </si>
  <si>
    <t>Changes in location since submission of self-study report</t>
  </si>
  <si>
    <t xml:space="preserve">Reviewed that all agreements are current with appropriate signatures     </t>
  </si>
  <si>
    <t>Have there been any satellite locations approved 
since the SSR was submitted or are there 
any satellite locations not CoAEMSP approved?</t>
  </si>
  <si>
    <t>Number of CoAEMSP Approved Same State Locations 
(according to the Executive Analysis [EA])</t>
  </si>
  <si>
    <t xml:space="preserve">        Standard I. 
      Sponsorship</t>
  </si>
  <si>
    <t>Reviewed course syllabi which include the following elements:
  • course description
  • description of prerequisites or preparatory work
  • course objectives
  • methods of evaluation
  • topic outline (as applicable)</t>
  </si>
  <si>
    <r>
      <rPr>
        <b/>
        <sz val="14"/>
        <color theme="1"/>
        <rFont val="Arial"/>
        <family val="2"/>
      </rPr>
      <t xml:space="preserve">    d. Resource Assessment</t>
    </r>
    <r>
      <rPr>
        <b/>
        <sz val="11"/>
        <color theme="1"/>
        <rFont val="Arial"/>
        <family val="2"/>
      </rPr>
      <t xml:space="preserve">   </t>
    </r>
  </si>
  <si>
    <r>
      <t xml:space="preserve">Strengths, Potential </t>
    </r>
    <r>
      <rPr>
        <b/>
        <i/>
        <sz val="14"/>
        <color theme="0"/>
        <rFont val="Arial"/>
        <family val="2"/>
      </rPr>
      <t>Standards</t>
    </r>
    <r>
      <rPr>
        <b/>
        <sz val="14"/>
        <color theme="0"/>
        <rFont val="Arial"/>
        <family val="2"/>
      </rPr>
      <t xml:space="preserve"> Violation &amp; Recommendations</t>
    </r>
  </si>
  <si>
    <t xml:space="preserve">Name </t>
  </si>
  <si>
    <r>
      <t xml:space="preserve">Ensure provisions of </t>
    </r>
    <r>
      <rPr>
        <i/>
        <sz val="11"/>
        <color rgb="FF000000"/>
        <rFont val="Arial"/>
        <family val="2"/>
        <scheme val="minor"/>
      </rPr>
      <t>Standards</t>
    </r>
    <r>
      <rPr>
        <sz val="11"/>
        <color rgb="FF000000"/>
        <rFont val="Arial"/>
        <family val="2"/>
        <scheme val="minor"/>
      </rPr>
      <t xml:space="preserve"> are met.</t>
    </r>
  </si>
  <si>
    <r>
      <t xml:space="preserve">a. Responsibilities
</t>
    </r>
    <r>
      <rPr>
        <b/>
        <sz val="11"/>
        <color theme="1"/>
        <rFont val="Arial"/>
        <family val="2"/>
      </rPr>
      <t>The Medical Director must be responsible for medical oversight of the program, and must:</t>
    </r>
  </si>
  <si>
    <r>
      <rPr>
        <b/>
        <sz val="11"/>
        <color rgb="FF000000"/>
        <rFont val="Arial"/>
        <family val="2"/>
      </rPr>
      <t>Make known to students:</t>
    </r>
    <r>
      <rPr>
        <sz val="11"/>
        <color rgb="FF000000"/>
        <rFont val="Arial"/>
        <family val="2"/>
      </rPr>
      <t xml:space="preserve">
          Academic calendar</t>
    </r>
  </si>
  <si>
    <r>
      <rPr>
        <b/>
        <sz val="11"/>
        <color rgb="FF000000"/>
        <rFont val="Arial"/>
        <family val="2"/>
      </rPr>
      <t>Satisfactory records must be maintained for:</t>
    </r>
    <r>
      <rPr>
        <sz val="11"/>
        <color rgb="FF000000"/>
        <rFont val="Arial"/>
        <family val="2"/>
      </rPr>
      <t xml:space="preserve">
          Student admission</t>
    </r>
  </si>
  <si>
    <t>Please Note:  When the site visitors' names do not appear below, the 'Cover Page' worksheet has not been completed.
Please complete the 'Cover Page'.</t>
  </si>
  <si>
    <t>Site Visitors:
The CoAEMSP Site Visit Team does not leave a copy of the SV Report with the program and under no circumtances is the report to be emailed to the program.</t>
  </si>
  <si>
    <r>
      <t xml:space="preserve">List all strenghts and potential </t>
    </r>
    <r>
      <rPr>
        <i/>
        <sz val="11"/>
        <color rgb="FF000000"/>
        <rFont val="Arial"/>
        <family val="2"/>
      </rPr>
      <t>Standards</t>
    </r>
    <r>
      <rPr>
        <sz val="11"/>
        <color rgb="FF000000"/>
        <rFont val="Arial"/>
        <family val="2"/>
      </rPr>
      <t xml:space="preserve"> violations.  Potential </t>
    </r>
    <r>
      <rPr>
        <i/>
        <sz val="11"/>
        <color rgb="FF000000"/>
        <rFont val="Arial"/>
        <family val="2"/>
      </rPr>
      <t>Standards</t>
    </r>
    <r>
      <rPr>
        <sz val="11"/>
        <color rgb="FF000000"/>
        <rFont val="Arial"/>
        <family val="2"/>
      </rPr>
      <t xml:space="preserve"> violations include any areas listed as "Not Met".  All potential </t>
    </r>
    <r>
      <rPr>
        <i/>
        <sz val="11"/>
        <color rgb="FF000000"/>
        <rFont val="Arial"/>
        <family val="2"/>
      </rPr>
      <t>Standards</t>
    </r>
    <r>
      <rPr>
        <sz val="11"/>
        <color rgb="FF000000"/>
        <rFont val="Arial"/>
        <family val="2"/>
      </rPr>
      <t xml:space="preserve"> violations must be identified by the appropriate </t>
    </r>
    <r>
      <rPr>
        <i/>
        <sz val="11"/>
        <color rgb="FF000000"/>
        <rFont val="Arial"/>
        <family val="2"/>
      </rPr>
      <t>Standard</t>
    </r>
    <r>
      <rPr>
        <sz val="11"/>
        <color rgb="FF000000"/>
        <rFont val="Arial"/>
        <family val="2"/>
      </rPr>
      <t xml:space="preserve">.  Include all potential </t>
    </r>
    <r>
      <rPr>
        <i/>
        <sz val="11"/>
        <color rgb="FF000000"/>
        <rFont val="Arial"/>
        <family val="2"/>
      </rPr>
      <t>Standards</t>
    </r>
    <r>
      <rPr>
        <sz val="11"/>
        <color rgb="FF000000"/>
        <rFont val="Arial"/>
        <family val="2"/>
      </rPr>
      <t xml:space="preserve"> violations identified in the body of the report.  The Summary of Findings tab is the only documentation that will be left with the program at the Exit Summation. </t>
    </r>
  </si>
  <si>
    <t>List the STRENGTHS of the Program</t>
  </si>
  <si>
    <r>
      <rPr>
        <b/>
        <i/>
        <sz val="12"/>
        <color rgb="FF000000"/>
        <rFont val="Arial"/>
        <family val="2"/>
      </rPr>
      <t>Standard</t>
    </r>
    <r>
      <rPr>
        <b/>
        <sz val="12"/>
        <color rgb="FF000000"/>
        <rFont val="Arial"/>
        <family val="2"/>
      </rPr>
      <t xml:space="preserve"> Reference</t>
    </r>
  </si>
  <si>
    <t>Type of Site Visit:</t>
  </si>
  <si>
    <t>Are students currently enrolled:</t>
  </si>
  <si>
    <t xml:space="preserve">        Zoom Tech Host:</t>
  </si>
  <si>
    <t>SV Observer:</t>
  </si>
  <si>
    <t>Type of SV Observer:</t>
  </si>
  <si>
    <t>Site Visit Dates:</t>
  </si>
  <si>
    <t>Jennifer
Anderson Warwick</t>
  </si>
  <si>
    <r>
      <t xml:space="preserve">2023 CAAHEP </t>
    </r>
    <r>
      <rPr>
        <b/>
        <i/>
        <sz val="24"/>
        <color theme="0"/>
        <rFont val="Arial"/>
        <family val="2"/>
      </rPr>
      <t>Standards &amp; Guidelines</t>
    </r>
  </si>
  <si>
    <r>
      <t xml:space="preserve">2023 CAAHEP </t>
    </r>
    <r>
      <rPr>
        <b/>
        <i/>
        <sz val="24"/>
        <color theme="8"/>
        <rFont val="Arial"/>
        <family val="2"/>
      </rPr>
      <t>Standards &amp; Guidelines</t>
    </r>
  </si>
  <si>
    <r>
      <t xml:space="preserve">2023 CAAHEP </t>
    </r>
    <r>
      <rPr>
        <b/>
        <i/>
        <sz val="20"/>
        <color theme="0"/>
        <rFont val="Arial"/>
        <family val="2"/>
      </rPr>
      <t>Standards &amp; Guidelines</t>
    </r>
  </si>
  <si>
    <t xml:space="preserve"> Standard V.       
Fair Practices</t>
  </si>
  <si>
    <t>A. Program Sponsor</t>
  </si>
  <si>
    <t>Standard I.A.5 Consortium Program Sponsor</t>
  </si>
  <si>
    <t>I.A.4-Branch of US Armed Forces</t>
  </si>
  <si>
    <t>I.A.5 -Consortium-w/(I.A) College</t>
  </si>
  <si>
    <t>I.A.3-Hospital,  Clinic or Medical Center</t>
  </si>
  <si>
    <t>I.A.2-Post-secondary outside U.S.</t>
  </si>
  <si>
    <t>I.A.5-Consortium-w/(I.A) Hospital</t>
  </si>
  <si>
    <t>I.A.5-Consortium-w/(I.A) Government</t>
  </si>
  <si>
    <t>B. Responsibilities of Program Sponsor</t>
  </si>
  <si>
    <t>I.B.1</t>
  </si>
  <si>
    <t>I.B.2</t>
  </si>
  <si>
    <t>I.B.3</t>
  </si>
  <si>
    <t>Awards academic credit for the program or has an articulation agreement with an accredited post-secondary institution.</t>
  </si>
  <si>
    <t>Standard I.B.1 Resposibilities of Program Sponsor</t>
  </si>
  <si>
    <t>Standard I.B.2 Resposibilities of Program Sponsor</t>
  </si>
  <si>
    <t>Standard I.B.3 Resposibilities of Program Sponsor</t>
  </si>
  <si>
    <t>A. Program Goals and Minimum Expectations</t>
  </si>
  <si>
    <t>Program Level:</t>
  </si>
  <si>
    <t>B. Program Advisory Committee</t>
  </si>
  <si>
    <t>Standard II.B. Program Advisory Committee</t>
  </si>
  <si>
    <t>Standard III.A.1. Resources - Type and Amount</t>
  </si>
  <si>
    <t>Faculty and staff workspace</t>
  </si>
  <si>
    <t>Support for faculty professional development</t>
  </si>
  <si>
    <t>Instructional materials</t>
  </si>
  <si>
    <t>Information technology</t>
  </si>
  <si>
    <t>Supplies</t>
  </si>
  <si>
    <t>Equipment</t>
  </si>
  <si>
    <t>Field experience and capstone field internship affiliates</t>
  </si>
  <si>
    <t>Clinical affiliates</t>
  </si>
  <si>
    <t>Classroom and laboratory (physical or virtual)</t>
  </si>
  <si>
    <t>Space for confidential interactions</t>
  </si>
  <si>
    <t>Number of approved same state locations according to the EA:</t>
  </si>
  <si>
    <t>Number of approved out-of-state locations as according to the EA:</t>
  </si>
  <si>
    <t>Standard III.A.2. Clinical, Field Experience, and Capstone Field Internship Affiliates</t>
  </si>
  <si>
    <t xml:space="preserve">7. Clinical Coordinator </t>
  </si>
  <si>
    <t xml:space="preserve">         Does the program utilize the clinical coordinator position?</t>
  </si>
  <si>
    <t>III.C.5.</t>
  </si>
  <si>
    <t>III.C.4.</t>
  </si>
  <si>
    <t xml:space="preserve">    1.  Assessment</t>
  </si>
  <si>
    <t xml:space="preserve">    2. Reporting</t>
  </si>
  <si>
    <t>Announcements, catalogs, publications, advertising, and website accurately reflect the program offered.</t>
  </si>
  <si>
    <r>
      <rPr>
        <b/>
        <sz val="11"/>
        <color rgb="FF000000"/>
        <rFont val="Arial"/>
        <family val="2"/>
      </rPr>
      <t>Make known to applicants and students:</t>
    </r>
    <r>
      <rPr>
        <sz val="11"/>
        <color rgb="FF000000"/>
        <rFont val="Arial"/>
        <family val="2"/>
      </rPr>
      <t xml:space="preserve">
          Sponsor's accreditation status 
          (institutional &amp; programmatic)</t>
    </r>
  </si>
  <si>
    <t xml:space="preserve">          Name and website address of CAAHEP</t>
  </si>
  <si>
    <t xml:space="preserve">          Occupational risks</t>
  </si>
  <si>
    <t xml:space="preserve">          Tuition / fees and other costs required
          to complete the program</t>
  </si>
  <si>
    <t xml:space="preserve">          Policies &amp; process for assignment 
          of clinical experiences</t>
  </si>
  <si>
    <t xml:space="preserve">          Policies regarding perfoming clinical work
          while enrolled in the program</t>
  </si>
  <si>
    <t xml:space="preserve">          Appeals process</t>
  </si>
  <si>
    <t xml:space="preserve">Faculty workspace </t>
  </si>
  <si>
    <t>Assistant Medical Director(s) 
(Only for out-of-state sites)</t>
  </si>
  <si>
    <t>Documented education or experience in instructional methodology</t>
  </si>
  <si>
    <t>Academic training and experience equivalent to that of a paramedic</t>
  </si>
  <si>
    <t>Review progress of each student throughout the program and assist in the determination of appropriate corrective measures</t>
  </si>
  <si>
    <t>Experience in the delivery of prehospital emergency care</t>
  </si>
  <si>
    <t>Knowledgeable about the current versions: National EMS Scope of Practice and National EMS Education Standards, and about evidence-informed clinical practice</t>
  </si>
  <si>
    <t>Review and approval of the educational content of the program to include didactic, laboratory, clinical experience, field experience, and capstone field internship to ensure it meets current standards of medical practice</t>
  </si>
  <si>
    <t>Review and approval of the instruments and processes used to evaluate students in didactic, laboratory, clinical, field experience, and capstone field internship</t>
  </si>
  <si>
    <t>Knowledge about EMS education including professional, legislative, regulatory issues regarding the education of the Emergency Medical Services Professions</t>
  </si>
  <si>
    <t>III.B.2.b.5)</t>
  </si>
  <si>
    <t>Area for confidential interactions</t>
  </si>
  <si>
    <t>Number of CoAEMSP Approved Out-of-State Locations
(according to the Executive Analysis [EA])</t>
  </si>
  <si>
    <t>Academic oversight, including curriculum planning and development</t>
  </si>
  <si>
    <t>Conversation with faculty or program staff</t>
  </si>
  <si>
    <t>Orientation/training and supervision of clinical and capstone field internship preceptors</t>
  </si>
  <si>
    <t>Communication with Associate/Assistant Medical Director(s)</t>
  </si>
  <si>
    <t>Conversation with Program Director, Medical Director, and faculty</t>
  </si>
  <si>
    <t>Conversation with Advisory Committee and employers</t>
  </si>
  <si>
    <t>Standard III.B.7.a.1. Clinical Coordinator Responsibilities</t>
  </si>
  <si>
    <t>Standard III.B.7.a.2. Clinical Coordinator Responsibilities</t>
  </si>
  <si>
    <t>Standard III.B.7.a.3. Clinical Coordinator Responsibilities</t>
  </si>
  <si>
    <t>Standard III.B.7.a.4. Clinical Coordinator Responsibilities</t>
  </si>
  <si>
    <t>Standard III.B.7.b.1. Clinical Coordinator Qualifications</t>
  </si>
  <si>
    <t>Standard III.B.7.b.2. Clinical Coordinator Qualifications</t>
  </si>
  <si>
    <t>Standard III.B.7.b.3. Clinical Coordinator Qualifications</t>
  </si>
  <si>
    <t>Effective in teaching and knowledgeable in subject matter as documented by appropriate professional credential(s)/certification(s), education, and experience in the designated content area</t>
  </si>
  <si>
    <t>Knowledgeable in teaching the subjects assigned, when applicable</t>
  </si>
  <si>
    <t>Requisite knowledge and skills to advise the program leadership about the clinical/academic aspects of the program</t>
  </si>
  <si>
    <t>Adequate training or experience in the delivery of out-of-hospital emergency care, including the proper care and transport of patients, medical direction, and quality improvement in out-of-hospital care</t>
  </si>
  <si>
    <t>Currently licensed and authorized to practice in the state in which the program is located, and board certified or the equivalent</t>
  </si>
  <si>
    <t>Standard III.B.2.b.5. MD Qualifications</t>
  </si>
  <si>
    <t>Ensures effectiveness and quality of any Medical Director responsibilities delegated to an Associate or Assistant Medical Director</t>
  </si>
  <si>
    <t>Administration, organization, and supervision of the program
Continuous quality review and improvement of the educational program
Academic oversight, including curriculum planning and development</t>
  </si>
  <si>
    <t xml:space="preserve">Compatible with the mission of the sponsoring institution(s), the expectations of the communities of interest, and nationally accepted standards of roles and functions </t>
  </si>
  <si>
    <t>Based upon the substantiated needs of health care providers and employers, and the educational needs of the students served by the educational program.</t>
  </si>
  <si>
    <t>Preparedness plan in place that assures continuity of education services in the event of an unanticipated interruption.</t>
  </si>
  <si>
    <t>Communities of interest served by the program include, but are not limited to, students, graduates, faculty members, sponsor administrators, employers, physicians, clinical and capstone field internship representatives, and the public.</t>
  </si>
  <si>
    <t>The program advisory committee meets at least annually, advises the program regarding revisions to curriculum and program goals based on the changing needs and expectations of the program’s communities of interest, and an assessment of program effectiveness, including the outcomes.</t>
  </si>
  <si>
    <t>2. Clinical, Field Experience, and Capstone Field Internship Affiliations</t>
  </si>
  <si>
    <t>Students have access to adequate numbers of patients, proportionally distributed by age-range,  chief complaint and interventions in the delivery of emergency care appropriate to the level of the EMS Profession(s) for which training is being offered</t>
  </si>
  <si>
    <t>Clinical/field experience and capstone field internship resources ensure exposure to, and assess and manage the following patients and conditions: adult trauma and medical emergencies; pediatric trauma and medical emergencies; and geriatric trauma and medical emergencies</t>
  </si>
  <si>
    <t>Qualified individual(s) clearly designated by the program to provide instruction, supervision, and timely assessments of the student’s progress in meeting program requirements</t>
  </si>
  <si>
    <t>Standard III.B.1.a.1-3.)</t>
  </si>
  <si>
    <t>Standard III.B.1.a.4.)</t>
  </si>
  <si>
    <t xml:space="preserve">Qualifications verified by review of CVs/Resumes: </t>
  </si>
  <si>
    <t xml:space="preserve">
5. Examples listed in the evidence column are common ways that Standards may be demonstrated as 'Complete' (Met). Other " &amp;"mechanisms may be acceptable, and if present, describe in the Rationale/Comments column.","3. Check the evidence that was presented. (Not all evidence listed for a given Standard is required to consider it 'Met'.)" &amp;"
4. Provide a detailed rationale if a Standard is marked as SVT Review or FSV Item.  The team must state the reason(s) why that element of the Standard is not in compliance." &amp;"
5. Examples listed in the evidence column are common ways that Standards may be demonstrated as 'Complete' (Met). Other" &amp;" mechanisms may be acceptable, and if present, describe in the Rationale/Comments column.")</t>
  </si>
  <si>
    <r>
      <t xml:space="preserve">1. Review Site Visit Report prior to submitting to the CoAEMSP
2. Confirm that the rationale identifies how the program is in not compliance with the </t>
    </r>
    <r>
      <rPr>
        <i/>
        <sz val="11"/>
        <rFont val="Arial"/>
        <family val="2"/>
      </rPr>
      <t>Standard</t>
    </r>
    <r>
      <rPr>
        <sz val="11"/>
        <rFont val="Arial"/>
        <family val="2"/>
      </rPr>
      <t>.</t>
    </r>
  </si>
  <si>
    <t>Communicates with Program Director on a regular basis which may include:
  • Verified by conversation
  • Communication log
  • Email
  • Meeting notes</t>
  </si>
  <si>
    <t>List of current Advisory Committee members identifying at least one representative from each required group
Verify the public member qualifications/bio</t>
  </si>
  <si>
    <t>Administrative and support staff</t>
  </si>
  <si>
    <t>Conversation of operating &amp; capital budget</t>
  </si>
  <si>
    <t>Opportunity for professional development for staff (internal or external)</t>
  </si>
  <si>
    <t>Conversation with Medical Director</t>
  </si>
  <si>
    <t>Conversation with clinical and field internship preceptors</t>
  </si>
  <si>
    <t>Conversation with students and graduates, if applicable</t>
  </si>
  <si>
    <t>Conversation with Program Director, Medical Director, faculty, students and  graduates
Review of student documentation</t>
  </si>
  <si>
    <t>Conversation regarding program activities</t>
  </si>
  <si>
    <t>Program Sponsor:</t>
  </si>
  <si>
    <t>Team Member &amp; Credentials:</t>
  </si>
  <si>
    <t>Permanent storage for grades &amp; credits</t>
  </si>
  <si>
    <t>Reviewed a sample of components of student records</t>
  </si>
  <si>
    <t>Policy that students are always identified as students and not substituted for paid staff (i.e., are a student 3rd rider)</t>
  </si>
  <si>
    <t xml:space="preserve">Plan/policy to address injury and post exposure       </t>
  </si>
  <si>
    <t>Health &amp; safety of patients, students, faculty, &amp; other associated participants is sufficiently safeguarded</t>
  </si>
  <si>
    <t>Policy on the health and safety of all participants</t>
  </si>
  <si>
    <t>Student &amp; faculty recruitment, student admission, and faculty employment practices are non-discriminatory &amp; in accordance with federal &amp; state statutes, rules, and regulations</t>
  </si>
  <si>
    <t xml:space="preserve">          Policy on advanced placement 
          (program-specific)</t>
  </si>
  <si>
    <t xml:space="preserve">          Policy on transfer of credits (sponsor)</t>
  </si>
  <si>
    <t xml:space="preserve">Row heights should auto adjust; however if they do not, the row height can be manually adjusted by 'pulling' the row down.   For empty rows, highlight them, right click, and choose hide.  Do not delete any rows because they cannot be reinserted. </t>
  </si>
  <si>
    <t>RECOMMENDATIONS that may not reflect Standards violations, but the program is encouraged to consider</t>
  </si>
  <si>
    <t>Assessments include: national/state credentialing examination results, programmatic retention, placement, graduate satisfaction, employer satisfaction</t>
  </si>
  <si>
    <t>Reviewed summary tracking for the required minimum competencies (SMC)</t>
  </si>
  <si>
    <t>Standard III.C.5. Curriculum (team leads)</t>
  </si>
  <si>
    <t>Verified with preceptors</t>
  </si>
  <si>
    <t>Standard III.C.4. Curriculum (minimum numbers)</t>
  </si>
  <si>
    <t>Standard III.C.3. Curriculum (sequence)</t>
  </si>
  <si>
    <t>Standard III.C.1. Curriculum (syllabi)</t>
  </si>
  <si>
    <t>Standard III.C.2. Curriculum (sequence)</t>
  </si>
  <si>
    <t>Verified appropriate sequence that demonstrates progression of learning</t>
  </si>
  <si>
    <t>Evidence of State EMS Office approval</t>
  </si>
  <si>
    <t>Standard III.A.1. Resources - Type and Amount
[same state satellite location(s)]</t>
  </si>
  <si>
    <t>Standard III.A.1. Resources - Type and Amount 
[out-of-state satellite location(s)]</t>
  </si>
  <si>
    <t>Standard III.A.1. Resources - Type and Amount 
[not approved satellite location(s)]</t>
  </si>
  <si>
    <t>Standard III.A.1. Resources - Type and Amount
[out-of-state satellite location(s)]</t>
  </si>
  <si>
    <t>Standard III.A.1. Resources - Type and Amount
[not approved satellite location(s)]</t>
  </si>
  <si>
    <t>Standard III.A.2. Clinical, Field Experience, and Capstone Field Internship Affiliates
[same state satellite location(s)]</t>
  </si>
  <si>
    <t>Standard III.A.2. Clinical, Field Experience, and Capstone Field Internship Affiliates
[out-of-state satellite location(s)]</t>
  </si>
  <si>
    <t>Standard III.A.2. Clinical, Field Experience, and Capstone Field Internship Affiliates
[not approved satellite location(s)]</t>
  </si>
  <si>
    <t>Standard III.B.1.a.1-3. PD Responsibilities 
[same state satellite location(s)]</t>
  </si>
  <si>
    <t>Standard III.B.1.a.1-3. PD Responsibilities 
[out-of-state satellite location(s)]</t>
  </si>
  <si>
    <t>Standard III.B.1.a.1-3. PD Responsibilities 
[not approved satellite location(s)]</t>
  </si>
  <si>
    <t>Standard III.B.1.a.4. PD Responsibilities 
[same state satellite location(s)]</t>
  </si>
  <si>
    <t>Standard III.B.1.a.4. PD Responsibilities 
[out-of-state satellite location(s)]</t>
  </si>
  <si>
    <t>Standard III.B.1.a.4. PD Responsibilities 
[not approved satellite location(s)]</t>
  </si>
  <si>
    <t>Standard III.B.5.a. Faculty/Inst Staff Responsibilities 
[same state satellite location(s)]</t>
  </si>
  <si>
    <t>Standard III.B.5.a. Faculty/Inst Staff Responsibilities 
[out-of-state satellite location(s)]</t>
  </si>
  <si>
    <t>Standard III.B.5.a. Faculty/Inst Staff Responsibilities 
[not approved satellite location(s)]</t>
  </si>
  <si>
    <t>Standard III.C.1. Curriculum (syllabi) 
[same state satellite location(s)]</t>
  </si>
  <si>
    <t>Standard III.C.1. Curriculum (syllabi) 
[out-of-state satellite location(s)]</t>
  </si>
  <si>
    <t>Standard III.C.1. Curriculum (syllabi) 
[not approved satellite location(s)]</t>
  </si>
  <si>
    <t>Standard III.C.2. Curriculum (sequence) 
[same state satellite location(s)]</t>
  </si>
  <si>
    <t>Standard III.C.2. Curriculum (sequence) 
[out-of-state satellite location(s)]</t>
  </si>
  <si>
    <t>Standard III.C.2. Curriculum (sequence) 
[not approved satellite location(s)]</t>
  </si>
  <si>
    <t>Standard III.C.3. Curriculum (sequence)
[same state satellite location(s)]</t>
  </si>
  <si>
    <t>Standard III.C.3. Curriculum (Sequence) 
[out-of-state satellite location(s)]</t>
  </si>
  <si>
    <t>Standard III.C.3. Curriculum (Sequence) 
[not approved satellite location(s)]</t>
  </si>
  <si>
    <t>Standard III.C.4. Curriculum (Tracking) 
[same state satellite location(s)]</t>
  </si>
  <si>
    <t>Standard III.C.4. Curriculum (Tracking) 
[out-of-state satellite location(s)]</t>
  </si>
  <si>
    <t>Standard III.C.4. Curriculum (Tracking) 
[not approved satellite location(s)]</t>
  </si>
  <si>
    <t>Standard III.D. Resource Assessment 
[same state satellite location(s)]</t>
  </si>
  <si>
    <t>Standard III.D. Resource Assessment 
[out-of-state satellite location(s)]</t>
  </si>
  <si>
    <t>Standard III.D. Resource Assessment 
[not approved satellite location(s)]</t>
  </si>
  <si>
    <t>Standard IV.A.1. Stud Eval - Frequency &amp; Purpose 
[same state satellite location(s)]</t>
  </si>
  <si>
    <t>Standard IV.A.1. Stud Eval - Frequency &amp; Purpose 
[out-of-state satellite location(s)]</t>
  </si>
  <si>
    <t>Standard IV.A.1. Stud Eval - Frequency &amp; Purpose 
[not approved satellite location(s)]</t>
  </si>
  <si>
    <t>Standard V.A.1-3. Publications &amp; Disclosure 
[same state satellite location(s)]</t>
  </si>
  <si>
    <t>Standard V.A.1-3. Publications &amp; Disclosure 
[out-of-state satellite location(s)]</t>
  </si>
  <si>
    <t>Standard V.A.1-3. Publications &amp; Disclosure 
[not approved satellite location(s)]</t>
  </si>
  <si>
    <t>Standard V.D. Student Records 
[same state satellite location(s)]</t>
  </si>
  <si>
    <t>Standard V.D. Student Records 
[out-of-state satellite location(s)]</t>
  </si>
  <si>
    <t>Standard V.D. Student Records 
[not approved satellite location(s)]</t>
  </si>
  <si>
    <t>The site visit team attests the Executive Analysis (EA) has been reviewed</t>
  </si>
  <si>
    <t>POTENTIAL STANDARDS VIOLATIONS</t>
  </si>
  <si>
    <t>Team Captain &amp; Credentials:</t>
  </si>
  <si>
    <t>Reviewed published minimum expectations statement in student handbook, webpage, or other program materials (must be verbatim).</t>
  </si>
  <si>
    <t>Optional additional goals beyond the II.A minimum expectation verbatim statement</t>
  </si>
  <si>
    <t>Employer survey results</t>
  </si>
  <si>
    <t>Orientation/training and supervision of clinical liaisons and capstone field internship preceptors</t>
  </si>
  <si>
    <t>A separate syllabus must clearly define the expectations and requirements for each course: didactic, laboratory, clinical, field experience, and capstone field internship.</t>
  </si>
  <si>
    <t>Meets or exceeds content &amp; competency of the latest edition of the National EMS Education Standards</t>
  </si>
  <si>
    <t>Resource Assessment Matrix (RAM) completed annually and reviewed with the Advisory Committee</t>
  </si>
  <si>
    <t xml:space="preserve">          Policy on credits for experiential learning
          (sponsor)</t>
  </si>
  <si>
    <t xml:space="preserve">          Number of credits required for completion 
          of the program if applicable</t>
  </si>
  <si>
    <t xml:space="preserve">          Policies &amp; processes for withdrawal &amp; 
          refund of tuition</t>
  </si>
  <si>
    <t>Conversation regarding permanent storage and transcripts</t>
  </si>
  <si>
    <t>Verified by conversation and review of MD Responsibilities form and supporting documentation</t>
  </si>
  <si>
    <t>Verified by the program Student Minimum Competency (SMC) requirements</t>
  </si>
  <si>
    <t>III.B.7.a.1)</t>
  </si>
  <si>
    <t>Coordinates clinical education</t>
  </si>
  <si>
    <t>Ensures documentation of the evaluation and progression of clinical performance</t>
  </si>
  <si>
    <t>III.B.7.a.2)</t>
  </si>
  <si>
    <t>III.B.7.a.3)</t>
  </si>
  <si>
    <t>III.B.7.a.4)</t>
  </si>
  <si>
    <t xml:space="preserve">         Does the program utilize the Associate MD position 
         or is there an Associate MD not currently CoAEMSP 
         approved and on file?</t>
  </si>
  <si>
    <t xml:space="preserve">         Does the program utilize the Assistant MD position 
         or is there an Assistant MD not currently CoAEMSP 
         approved and on file?</t>
  </si>
  <si>
    <t xml:space="preserve">         Does the program utilize the Lead Instructor position
         or is there an Associate MD not currently CoAEMSP 
         approved and on file?</t>
  </si>
  <si>
    <t>Documented preparedness plan</t>
  </si>
  <si>
    <t>Documented evidence of a pathway for credit or an articulation agreement</t>
  </si>
  <si>
    <t>DNE</t>
  </si>
  <si>
    <t>Met</t>
  </si>
  <si>
    <t>Not 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</si>
</sst>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lt;=9999999]###\-####;\(###\)\ ###\-####"/>
  </numFmts>
  <fonts count="123">
    <font>
      <sz val="11"/>
      <color theme="1"/>
      <name val="Arial"/>
      <family val="2"/>
      <scheme val="minor"/>
    </font>
    <font>
      <sz val="12"/>
      <color theme="1"/>
      <name val="Arial"/>
      <family val="2"/>
      <scheme val="minor"/>
    </font>
    <font>
      <b/>
      <sz val="11"/>
      <color theme="1"/>
      <name val="Arial"/>
      <family val="2"/>
      <scheme val="minor"/>
    </font>
    <font>
      <b/>
      <sz val="14"/>
      <color theme="1"/>
      <name val="Arial"/>
      <family val="2"/>
      <scheme val="minor"/>
    </font>
    <font>
      <b/>
      <sz val="11"/>
      <color theme="0"/>
      <name val="Arial"/>
      <family val="2"/>
      <scheme val="minor"/>
    </font>
    <font>
      <u/>
      <sz val="11"/>
      <color theme="10"/>
      <name val="Arial"/>
      <family val="2"/>
      <scheme val="minor"/>
    </font>
    <font>
      <sz val="10"/>
      <color theme="1"/>
      <name val="Arial"/>
      <family val="2"/>
    </font>
    <font>
      <sz val="11"/>
      <color rgb="FF008000"/>
      <name val="Arial"/>
      <family val="2"/>
    </font>
    <font>
      <sz val="10"/>
      <color indexed="53"/>
      <name val="Arial"/>
      <family val="2"/>
    </font>
    <font>
      <sz val="10"/>
      <name val="Arial"/>
      <family val="2"/>
    </font>
    <font>
      <b/>
      <sz val="8"/>
      <color indexed="81"/>
      <name val="Tahoma"/>
      <family val="2"/>
    </font>
    <font>
      <b/>
      <sz val="24"/>
      <color theme="0"/>
      <name val="Arial"/>
      <family val="2"/>
    </font>
    <font>
      <b/>
      <i/>
      <sz val="24"/>
      <color theme="0"/>
      <name val="Arial"/>
      <family val="2"/>
    </font>
    <font>
      <b/>
      <sz val="14"/>
      <name val="Arial"/>
      <family val="2"/>
      <scheme val="minor"/>
    </font>
    <font>
      <sz val="9"/>
      <color indexed="81"/>
      <name val="Tahoma"/>
      <family val="2"/>
    </font>
    <font>
      <b/>
      <sz val="9"/>
      <color indexed="81"/>
      <name val="Tahoma"/>
      <family val="2"/>
    </font>
    <font>
      <b/>
      <sz val="10"/>
      <color theme="1"/>
      <name val="Arial"/>
      <family val="2"/>
    </font>
    <font>
      <sz val="11"/>
      <name val="Arial"/>
      <family val="2"/>
    </font>
    <font>
      <i/>
      <sz val="11"/>
      <name val="Arial"/>
      <family val="2"/>
    </font>
    <font>
      <b/>
      <sz val="36"/>
      <color theme="8"/>
      <name val="Arial"/>
      <family val="2"/>
      <scheme val="minor"/>
    </font>
    <font>
      <b/>
      <sz val="11"/>
      <color theme="9" tint="-0.249977111117893"/>
      <name val="Arial"/>
      <family val="2"/>
      <scheme val="minor"/>
    </font>
    <font>
      <sz val="11"/>
      <color rgb="FFFF0000"/>
      <name val="Arial"/>
      <family val="2"/>
      <scheme val="minor"/>
    </font>
    <font>
      <b/>
      <sz val="11"/>
      <color rgb="FFC00000"/>
      <name val="Arial"/>
      <family val="2"/>
      <scheme val="minor"/>
    </font>
    <font>
      <b/>
      <sz val="11"/>
      <name val="Arial"/>
      <family val="2"/>
      <scheme val="minor"/>
    </font>
    <font>
      <sz val="11"/>
      <name val="Arial"/>
      <family val="2"/>
      <scheme val="minor"/>
    </font>
    <font>
      <sz val="14"/>
      <color theme="1"/>
      <name val="Arial"/>
      <family val="2"/>
      <scheme val="minor"/>
    </font>
    <font>
      <sz val="11"/>
      <color theme="0"/>
      <name val="Arial"/>
      <family val="2"/>
      <scheme val="minor"/>
    </font>
    <font>
      <b/>
      <sz val="12"/>
      <color theme="1"/>
      <name val="Arial"/>
      <family val="2"/>
      <scheme val="minor"/>
    </font>
    <font>
      <b/>
      <sz val="12"/>
      <color theme="0"/>
      <name val="Arial"/>
      <family val="2"/>
      <scheme val="minor"/>
    </font>
    <font>
      <sz val="11"/>
      <color theme="0" tint="-0.249977111117893"/>
      <name val="Arial"/>
      <family val="2"/>
      <scheme val="minor"/>
    </font>
    <font>
      <sz val="9"/>
      <color theme="1"/>
      <name val="Arial"/>
      <family val="2"/>
      <scheme val="minor"/>
    </font>
    <font>
      <b/>
      <sz val="11"/>
      <color theme="5" tint="-0.249977111117893"/>
      <name val="Arial"/>
      <family val="2"/>
      <scheme val="minor"/>
    </font>
    <font>
      <sz val="11"/>
      <color rgb="FFC00000"/>
      <name val="Arial"/>
      <family val="2"/>
      <scheme val="minor"/>
    </font>
    <font>
      <sz val="10"/>
      <color rgb="FF002060"/>
      <name val="Arial"/>
      <family val="2"/>
    </font>
    <font>
      <b/>
      <sz val="11"/>
      <color rgb="FF002060"/>
      <name val="Arial"/>
      <family val="2"/>
      <scheme val="minor"/>
    </font>
    <font>
      <b/>
      <sz val="10"/>
      <color rgb="FF002060"/>
      <name val="Arial"/>
      <family val="2"/>
    </font>
    <font>
      <b/>
      <i/>
      <sz val="9"/>
      <color indexed="81"/>
      <name val="Tahoma"/>
      <family val="2"/>
    </font>
    <font>
      <b/>
      <sz val="14"/>
      <color theme="0"/>
      <name val="Arial"/>
      <family val="2"/>
      <scheme val="minor"/>
    </font>
    <font>
      <sz val="14"/>
      <color theme="0"/>
      <name val="Arial"/>
      <family val="2"/>
      <scheme val="minor"/>
    </font>
    <font>
      <sz val="11"/>
      <color rgb="FF0070C0"/>
      <name val="Arial"/>
      <family val="2"/>
      <scheme val="minor"/>
    </font>
    <font>
      <b/>
      <sz val="20"/>
      <name val="Arial"/>
      <family val="2"/>
    </font>
    <font>
      <sz val="10"/>
      <color rgb="FF0070C0"/>
      <name val="Arial"/>
      <family val="2"/>
    </font>
    <font>
      <b/>
      <sz val="10"/>
      <color rgb="FF0070C0"/>
      <name val="Arial"/>
      <family val="2"/>
      <scheme val="minor"/>
    </font>
    <font>
      <sz val="10"/>
      <color theme="1"/>
      <name val="Arial"/>
      <family val="2"/>
      <scheme val="minor"/>
    </font>
    <font>
      <sz val="8"/>
      <color theme="1"/>
      <name val="Arial"/>
      <family val="2"/>
      <scheme val="minor"/>
    </font>
    <font>
      <b/>
      <sz val="9"/>
      <name val="Arial"/>
      <family val="2"/>
      <scheme val="minor"/>
    </font>
    <font>
      <sz val="8"/>
      <color indexed="81"/>
      <name val="Tahoma"/>
      <family val="2"/>
    </font>
    <font>
      <i/>
      <sz val="8"/>
      <color indexed="81"/>
      <name val="Tahoma"/>
      <family val="2"/>
    </font>
    <font>
      <sz val="10"/>
      <color theme="0"/>
      <name val="Arial"/>
      <family val="2"/>
    </font>
    <font>
      <sz val="8"/>
      <color theme="0"/>
      <name val="Arial"/>
      <family val="2"/>
      <scheme val="minor"/>
    </font>
    <font>
      <sz val="10"/>
      <color theme="9" tint="-0.249977111117893"/>
      <name val="Arial"/>
      <family val="2"/>
      <scheme val="minor"/>
    </font>
    <font>
      <sz val="12"/>
      <color theme="1"/>
      <name val="Arial"/>
      <family val="2"/>
      <scheme val="minor"/>
    </font>
    <font>
      <b/>
      <sz val="20"/>
      <color theme="1"/>
      <name val="Arial"/>
      <family val="2"/>
      <scheme val="minor"/>
    </font>
    <font>
      <sz val="8"/>
      <color rgb="FFFF0000"/>
      <name val="Arial"/>
      <family val="2"/>
      <scheme val="minor"/>
    </font>
    <font>
      <b/>
      <i/>
      <sz val="11"/>
      <name val="Arial"/>
      <family val="2"/>
    </font>
    <font>
      <sz val="9"/>
      <color rgb="FF003080"/>
      <name val="Arial"/>
      <family val="2"/>
    </font>
    <font>
      <b/>
      <sz val="16"/>
      <color theme="0"/>
      <name val="Arial"/>
      <family val="2"/>
      <scheme val="minor"/>
    </font>
    <font>
      <sz val="16"/>
      <color theme="1"/>
      <name val="Arial"/>
      <family val="2"/>
      <scheme val="minor"/>
    </font>
    <font>
      <i/>
      <sz val="14"/>
      <color theme="1"/>
      <name val="Arial"/>
      <family val="2"/>
      <scheme val="minor"/>
    </font>
    <font>
      <b/>
      <sz val="14"/>
      <color rgb="FF0070C0"/>
      <name val="Arial"/>
      <family val="2"/>
      <scheme val="minor"/>
    </font>
    <font>
      <i/>
      <sz val="12"/>
      <color theme="1"/>
      <name val="Arial"/>
      <family val="2"/>
      <scheme val="minor"/>
    </font>
    <font>
      <i/>
      <sz val="12"/>
      <color rgb="FF0070C0"/>
      <name val="Arial"/>
      <family val="2"/>
      <scheme val="minor"/>
    </font>
    <font>
      <b/>
      <sz val="10"/>
      <color rgb="FF0070C0"/>
      <name val="Arial"/>
      <family val="2"/>
    </font>
    <font>
      <b/>
      <sz val="11"/>
      <color theme="0"/>
      <name val="Arial"/>
      <family val="2"/>
    </font>
    <font>
      <sz val="11"/>
      <color theme="1"/>
      <name val="Arial"/>
      <family val="2"/>
    </font>
    <font>
      <b/>
      <sz val="14"/>
      <color theme="1"/>
      <name val="Arial"/>
      <family val="2"/>
    </font>
    <font>
      <sz val="11"/>
      <color theme="0"/>
      <name val="Arial"/>
      <family val="2"/>
    </font>
    <font>
      <b/>
      <sz val="11"/>
      <color theme="1"/>
      <name val="Arial"/>
      <family val="2"/>
    </font>
    <font>
      <b/>
      <sz val="12"/>
      <color theme="1"/>
      <name val="Arial"/>
      <family val="2"/>
    </font>
    <font>
      <b/>
      <sz val="11"/>
      <name val="Arial"/>
      <family val="2"/>
    </font>
    <font>
      <b/>
      <sz val="18"/>
      <color theme="1"/>
      <name val="Arial"/>
      <family val="2"/>
    </font>
    <font>
      <sz val="11"/>
      <color rgb="FF0070C0"/>
      <name val="Arial"/>
      <family val="2"/>
    </font>
    <font>
      <b/>
      <sz val="18"/>
      <name val="Arial"/>
      <family val="2"/>
    </font>
    <font>
      <b/>
      <sz val="11"/>
      <color rgb="FF0070C0"/>
      <name val="Arial"/>
      <family val="2"/>
    </font>
    <font>
      <sz val="9"/>
      <color rgb="FF0070C0"/>
      <name val="Arial"/>
      <family val="2"/>
    </font>
    <font>
      <b/>
      <sz val="14"/>
      <color theme="0"/>
      <name val="Arial"/>
      <family val="2"/>
    </font>
    <font>
      <b/>
      <i/>
      <sz val="14"/>
      <color theme="0"/>
      <name val="Arial"/>
      <family val="2"/>
    </font>
    <font>
      <b/>
      <sz val="36"/>
      <color theme="0"/>
      <name val="Arial"/>
      <family val="2"/>
    </font>
    <font>
      <sz val="14"/>
      <color theme="0"/>
      <name val="Arial"/>
      <family val="2"/>
    </font>
    <font>
      <b/>
      <sz val="16"/>
      <color theme="9"/>
      <name val="Arial"/>
      <family val="2"/>
    </font>
    <font>
      <b/>
      <sz val="8"/>
      <color rgb="FF000000"/>
      <name val="Tahoma"/>
      <family val="2"/>
    </font>
    <font>
      <b/>
      <sz val="10"/>
      <color theme="5"/>
      <name val="Arial"/>
      <family val="2"/>
    </font>
    <font>
      <b/>
      <sz val="28"/>
      <color theme="0"/>
      <name val="Arial (Body)"/>
    </font>
    <font>
      <b/>
      <sz val="14"/>
      <color theme="0"/>
      <name val="Arial (Body)"/>
    </font>
    <font>
      <b/>
      <sz val="10"/>
      <color theme="9"/>
      <name val="Arial"/>
      <family val="2"/>
    </font>
    <font>
      <b/>
      <sz val="9"/>
      <color rgb="FF000000"/>
      <name val="Tahoma"/>
      <family val="2"/>
    </font>
    <font>
      <sz val="9"/>
      <color rgb="FF000000"/>
      <name val="Tahoma"/>
      <family val="2"/>
    </font>
    <font>
      <sz val="11"/>
      <color rgb="FF000000"/>
      <name val="Arial"/>
      <family val="2"/>
    </font>
    <font>
      <b/>
      <sz val="11"/>
      <color rgb="FF000000"/>
      <name val="Arial"/>
      <family val="2"/>
    </font>
    <font>
      <sz val="11"/>
      <color rgb="FF000000"/>
      <name val="Arial"/>
      <family val="2"/>
      <scheme val="minor"/>
    </font>
    <font>
      <sz val="11"/>
      <color theme="9"/>
      <name val="Arial"/>
      <family val="2"/>
    </font>
    <font>
      <b/>
      <sz val="14"/>
      <color rgb="FF000000"/>
      <name val="Arial"/>
      <family val="2"/>
    </font>
    <font>
      <b/>
      <sz val="14"/>
      <color theme="9"/>
      <name val="Arial"/>
      <family val="2"/>
    </font>
    <font>
      <sz val="10"/>
      <color rgb="FF000000"/>
      <name val="Arial"/>
      <family val="2"/>
    </font>
    <font>
      <b/>
      <sz val="11"/>
      <color rgb="FF000000"/>
      <name val="Arial"/>
      <family val="2"/>
      <scheme val="minor"/>
    </font>
    <font>
      <i/>
      <sz val="11"/>
      <color rgb="FF000000"/>
      <name val="Arial"/>
      <family val="2"/>
      <scheme val="minor"/>
    </font>
    <font>
      <b/>
      <sz val="11"/>
      <color rgb="FF000000"/>
      <name val="Arial (Body)"/>
    </font>
    <font>
      <sz val="11"/>
      <color rgb="FF000000"/>
      <name val="Arial (Body)"/>
    </font>
    <font>
      <sz val="11"/>
      <color theme="0"/>
      <name val="Arial (Body)"/>
    </font>
    <font>
      <b/>
      <i/>
      <sz val="9"/>
      <color rgb="FF000000"/>
      <name val="Tahoma"/>
      <family val="2"/>
    </font>
    <font>
      <b/>
      <sz val="12"/>
      <color rgb="FF000000"/>
      <name val="Arial"/>
      <family val="2"/>
    </font>
    <font>
      <sz val="12"/>
      <color rgb="FF000000"/>
      <name val="Arial"/>
      <family val="2"/>
    </font>
    <font>
      <sz val="12"/>
      <color rgb="FF000000"/>
      <name val="Arial (Body)"/>
    </font>
    <font>
      <b/>
      <sz val="12"/>
      <color rgb="FF000000"/>
      <name val="Arial (Body)"/>
    </font>
    <font>
      <b/>
      <sz val="24"/>
      <color theme="8"/>
      <name val="Arial"/>
      <family val="2"/>
    </font>
    <font>
      <b/>
      <i/>
      <sz val="24"/>
      <color theme="8"/>
      <name val="Arial"/>
      <family val="2"/>
    </font>
    <font>
      <sz val="14"/>
      <color rgb="FF000000"/>
      <name val="Arial"/>
      <family val="2"/>
    </font>
    <font>
      <sz val="10"/>
      <color rgb="FF000000"/>
      <name val="Arial (Body)"/>
    </font>
    <font>
      <b/>
      <sz val="14"/>
      <color rgb="FF000000"/>
      <name val="Arial (Body)"/>
    </font>
    <font>
      <b/>
      <sz val="12"/>
      <color theme="0"/>
      <name val="Arial"/>
      <family val="2"/>
    </font>
    <font>
      <sz val="14"/>
      <color theme="9"/>
      <name val="Arial"/>
      <family val="2"/>
    </font>
    <font>
      <i/>
      <sz val="11"/>
      <color rgb="FF000000"/>
      <name val="Arial"/>
      <family val="2"/>
    </font>
    <font>
      <sz val="11"/>
      <color theme="9"/>
      <name val="Arial"/>
      <family val="2"/>
      <scheme val="minor"/>
    </font>
    <font>
      <b/>
      <i/>
      <sz val="12"/>
      <color rgb="FF000000"/>
      <name val="Arial"/>
      <family val="2"/>
    </font>
    <font>
      <b/>
      <sz val="10"/>
      <color rgb="FF000000"/>
      <name val="Arial (Body)"/>
    </font>
    <font>
      <u/>
      <sz val="11"/>
      <color rgb="FF000000"/>
      <name val="Arial (Body)"/>
    </font>
    <font>
      <b/>
      <sz val="10"/>
      <color rgb="FF000000"/>
      <name val="Arial"/>
      <family val="2"/>
      <scheme val="minor"/>
    </font>
    <font>
      <b/>
      <sz val="20"/>
      <color theme="0"/>
      <name val="Arial"/>
      <family val="2"/>
    </font>
    <font>
      <b/>
      <i/>
      <sz val="20"/>
      <color theme="0"/>
      <name val="Arial"/>
      <family val="2"/>
    </font>
    <font>
      <sz val="11"/>
      <color rgb="FFFF0000"/>
      <name val="Arial"/>
      <family val="2"/>
    </font>
    <font>
      <sz val="11"/>
      <color rgb="FFFF0000"/>
      <name val="Arial (Body)"/>
    </font>
    <font>
      <sz val="14"/>
      <color rgb="FFFF0000"/>
      <name val="Arial"/>
      <family val="2"/>
      <scheme val="minor"/>
    </font>
    <font>
      <b/>
      <sz val="12"/>
      <name val="Arial"/>
      <family val="2"/>
    </font>
  </fonts>
  <fills count="30">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rgb="FFCCFFCC"/>
        <bgColor indexed="64"/>
      </patternFill>
    </fill>
    <fill>
      <patternFill patternType="solid">
        <fgColor theme="5" tint="0.79998168889431442"/>
        <bgColor indexed="64"/>
      </patternFill>
    </fill>
    <fill>
      <patternFill patternType="solid">
        <fgColor rgb="FFFFFF99"/>
        <bgColor indexed="64"/>
      </patternFill>
    </fill>
    <fill>
      <patternFill patternType="solid">
        <fgColor rgb="FFD8BEEC"/>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A3A3"/>
        <bgColor indexed="64"/>
      </patternFill>
    </fill>
    <fill>
      <patternFill patternType="solid">
        <fgColor rgb="FFC7A1E3"/>
        <bgColor indexed="64"/>
      </patternFill>
    </fill>
    <fill>
      <patternFill patternType="solid">
        <fgColor rgb="FF2DAFC1"/>
        <bgColor indexed="64"/>
      </patternFill>
    </fill>
    <fill>
      <patternFill patternType="solid">
        <fgColor rgb="FF7BD5E1"/>
        <bgColor indexed="64"/>
      </patternFill>
    </fill>
    <fill>
      <patternFill patternType="solid">
        <fgColor rgb="FF92DCE6"/>
        <bgColor indexed="64"/>
      </patternFill>
    </fill>
    <fill>
      <patternFill patternType="solid">
        <fgColor rgb="FFC1EBF1"/>
        <bgColor indexed="64"/>
      </patternFill>
    </fill>
    <fill>
      <patternFill patternType="solid">
        <fgColor rgb="FFFFF8E5"/>
        <bgColor indexed="64"/>
      </patternFill>
    </fill>
    <fill>
      <patternFill patternType="solid">
        <fgColor rgb="FF609ED6"/>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bgColor indexed="64"/>
      </patternFill>
    </fill>
    <fill>
      <patternFill patternType="solid">
        <fgColor theme="7"/>
        <bgColor indexed="64"/>
      </patternFill>
    </fill>
    <fill>
      <patternFill patternType="solid">
        <fgColor theme="4" tint="0.59999389629810485"/>
        <bgColor indexed="64"/>
      </patternFill>
    </fill>
    <fill>
      <patternFill patternType="solid">
        <fgColor rgb="FFC198E0"/>
        <bgColor indexed="64"/>
      </patternFill>
    </fill>
    <fill>
      <patternFill patternType="solid">
        <fgColor rgb="FFE1CCF0"/>
        <bgColor indexed="64"/>
      </patternFill>
    </fill>
    <fill>
      <patternFill patternType="solid">
        <fgColor rgb="FFCCFF9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0" fontId="5" fillId="0" borderId="0" applyNumberFormat="0" applyFill="0" applyBorder="0" applyAlignment="0" applyProtection="0"/>
  </cellStyleXfs>
  <cellXfs count="854">
    <xf numFmtId="0" fontId="0" fillId="0" borderId="0" xfId="0"/>
    <xf numFmtId="0" fontId="0" fillId="0" borderId="0" xfId="0" applyAlignment="1">
      <alignment wrapText="1"/>
    </xf>
    <xf numFmtId="0" fontId="0" fillId="0" borderId="0" xfId="0" applyProtection="1">
      <protection locked="0"/>
    </xf>
    <xf numFmtId="0" fontId="6" fillId="0" borderId="0" xfId="0" applyFont="1"/>
    <xf numFmtId="0" fontId="8" fillId="0" borderId="0" xfId="0" applyFont="1" applyAlignment="1">
      <alignment horizontal="left" vertical="center" wrapText="1" indent="1"/>
    </xf>
    <xf numFmtId="0" fontId="0" fillId="0" borderId="0" xfId="0" applyAlignment="1">
      <alignment horizontal="center" vertical="center"/>
    </xf>
    <xf numFmtId="0" fontId="0" fillId="6" borderId="0" xfId="0" applyFill="1"/>
    <xf numFmtId="0" fontId="0" fillId="0" borderId="0" xfId="0" applyAlignment="1">
      <alignment vertical="center"/>
    </xf>
    <xf numFmtId="0" fontId="25" fillId="0" borderId="0" xfId="0" applyFont="1"/>
    <xf numFmtId="0" fontId="0" fillId="0" borderId="0" xfId="0" applyAlignment="1">
      <alignment horizontal="left" vertical="center"/>
    </xf>
    <xf numFmtId="0" fontId="13" fillId="3" borderId="8" xfId="0" applyFont="1" applyFill="1" applyBorder="1" applyAlignment="1">
      <alignment horizontal="left"/>
    </xf>
    <xf numFmtId="0" fontId="24" fillId="0" borderId="0" xfId="0" applyFont="1"/>
    <xf numFmtId="0" fontId="27" fillId="0" borderId="0" xfId="0" applyFont="1" applyAlignment="1">
      <alignment horizontal="center"/>
    </xf>
    <xf numFmtId="0" fontId="0" fillId="0" borderId="0" xfId="0" applyAlignment="1">
      <alignment vertical="top"/>
    </xf>
    <xf numFmtId="0" fontId="0" fillId="10" borderId="1" xfId="0" applyFill="1" applyBorder="1" applyAlignment="1">
      <alignment horizontal="center"/>
    </xf>
    <xf numFmtId="0" fontId="26" fillId="0" borderId="0" xfId="0" applyFont="1" applyAlignment="1">
      <alignment horizontal="center"/>
    </xf>
    <xf numFmtId="14" fontId="0" fillId="8" borderId="1" xfId="0" applyNumberFormat="1" applyFill="1" applyBorder="1" applyProtection="1">
      <protection locked="0"/>
    </xf>
    <xf numFmtId="0" fontId="29" fillId="0" borderId="0" xfId="0" applyFont="1" applyAlignment="1">
      <alignment horizontal="center"/>
    </xf>
    <xf numFmtId="0" fontId="0" fillId="8" borderId="1" xfId="0" applyFill="1" applyBorder="1" applyProtection="1">
      <protection locked="0"/>
    </xf>
    <xf numFmtId="0" fontId="26" fillId="0" borderId="0" xfId="0" applyFont="1"/>
    <xf numFmtId="0" fontId="2" fillId="0" borderId="0" xfId="0" applyFont="1"/>
    <xf numFmtId="0" fontId="0" fillId="0" borderId="0" xfId="0" applyAlignment="1">
      <alignment horizontal="center"/>
    </xf>
    <xf numFmtId="0" fontId="0" fillId="0" borderId="0" xfId="0" applyAlignment="1" applyProtection="1">
      <alignment horizontal="center"/>
      <protection locked="0"/>
    </xf>
    <xf numFmtId="0" fontId="0" fillId="0" borderId="4" xfId="0" applyBorder="1" applyAlignment="1">
      <alignment horizontal="left"/>
    </xf>
    <xf numFmtId="0" fontId="32" fillId="0" borderId="0" xfId="0" applyFont="1"/>
    <xf numFmtId="0" fontId="0" fillId="0" borderId="7" xfId="0" applyBorder="1"/>
    <xf numFmtId="0" fontId="27" fillId="0" borderId="0" xfId="0" applyFont="1" applyAlignment="1">
      <alignment horizontal="right"/>
    </xf>
    <xf numFmtId="0" fontId="22" fillId="0" borderId="0" xfId="0" applyFont="1"/>
    <xf numFmtId="14" fontId="30" fillId="8" borderId="1" xfId="0" applyNumberFormat="1" applyFont="1" applyFill="1" applyBorder="1" applyProtection="1">
      <protection locked="0"/>
    </xf>
    <xf numFmtId="14" fontId="0" fillId="8" borderId="1" xfId="0" applyNumberFormat="1" applyFill="1" applyBorder="1" applyAlignment="1" applyProtection="1">
      <alignment wrapText="1"/>
      <protection locked="0"/>
    </xf>
    <xf numFmtId="0" fontId="33" fillId="0" borderId="0" xfId="0" applyFont="1"/>
    <xf numFmtId="0" fontId="34" fillId="0" borderId="0" xfId="0" applyFont="1"/>
    <xf numFmtId="0" fontId="35" fillId="0" borderId="0" xfId="0" applyFont="1"/>
    <xf numFmtId="0" fontId="0" fillId="0" borderId="4" xfId="0" applyBorder="1" applyAlignment="1">
      <alignment horizontal="left" vertical="top"/>
    </xf>
    <xf numFmtId="0" fontId="31" fillId="0" borderId="4" xfId="0" applyFont="1" applyBorder="1" applyAlignment="1">
      <alignment horizontal="right" vertical="center"/>
    </xf>
    <xf numFmtId="0" fontId="0" fillId="0" borderId="2" xfId="0" applyBorder="1" applyAlignment="1">
      <alignment horizontal="left" vertical="center" indent="2"/>
    </xf>
    <xf numFmtId="0" fontId="0" fillId="6" borderId="2" xfId="0" applyFill="1" applyBorder="1" applyAlignment="1">
      <alignment horizontal="left" vertical="center" indent="2"/>
    </xf>
    <xf numFmtId="0" fontId="0" fillId="0" borderId="4" xfId="0" applyBorder="1" applyAlignment="1">
      <alignment horizontal="right" vertical="center"/>
    </xf>
    <xf numFmtId="0" fontId="19" fillId="3" borderId="14" xfId="0" applyFont="1" applyFill="1" applyBorder="1" applyAlignment="1">
      <alignment vertical="center"/>
    </xf>
    <xf numFmtId="0" fontId="19" fillId="3" borderId="12" xfId="0" applyFont="1" applyFill="1" applyBorder="1" applyAlignment="1">
      <alignment vertical="center"/>
    </xf>
    <xf numFmtId="0" fontId="19" fillId="3" borderId="16" xfId="0" applyFont="1" applyFill="1" applyBorder="1" applyAlignment="1">
      <alignment vertical="center"/>
    </xf>
    <xf numFmtId="0" fontId="21" fillId="0" borderId="0" xfId="0" applyFont="1"/>
    <xf numFmtId="0" fontId="0" fillId="2" borderId="14" xfId="0" applyFill="1" applyBorder="1"/>
    <xf numFmtId="0" fontId="0" fillId="2" borderId="12" xfId="0" applyFill="1" applyBorder="1"/>
    <xf numFmtId="0" fontId="0" fillId="2" borderId="16" xfId="0" applyFill="1" applyBorder="1"/>
    <xf numFmtId="0" fontId="5" fillId="0" borderId="0" xfId="1"/>
    <xf numFmtId="0" fontId="0" fillId="2" borderId="0" xfId="0" applyFill="1" applyAlignment="1" applyProtection="1">
      <alignment horizontal="left" vertical="center"/>
      <protection locked="0"/>
    </xf>
    <xf numFmtId="0" fontId="5" fillId="2" borderId="5" xfId="1" applyFill="1" applyBorder="1" applyAlignment="1" applyProtection="1">
      <alignment horizontal="center" vertical="center" wrapText="1"/>
      <protection locked="0"/>
    </xf>
    <xf numFmtId="0" fontId="5" fillId="2" borderId="15" xfId="1" applyFill="1" applyBorder="1" applyAlignment="1" applyProtection="1">
      <alignment vertical="center"/>
      <protection locked="0"/>
    </xf>
    <xf numFmtId="0" fontId="24" fillId="0" borderId="0" xfId="0" applyFont="1" applyProtection="1">
      <protection locked="0"/>
    </xf>
    <xf numFmtId="0" fontId="38" fillId="0" borderId="0" xfId="0" applyFont="1"/>
    <xf numFmtId="0" fontId="26" fillId="0" borderId="0" xfId="0" applyFont="1" applyAlignment="1">
      <alignment horizontal="left" vertical="center"/>
    </xf>
    <xf numFmtId="0" fontId="26" fillId="0" borderId="0" xfId="0" applyFont="1" applyAlignment="1">
      <alignment vertical="center"/>
    </xf>
    <xf numFmtId="0" fontId="26" fillId="0" borderId="0" xfId="0" applyFont="1" applyProtection="1">
      <protection locked="0"/>
    </xf>
    <xf numFmtId="0" fontId="0" fillId="0" borderId="15" xfId="0" applyBorder="1" applyAlignment="1">
      <alignment horizontal="right" vertical="center"/>
    </xf>
    <xf numFmtId="0" fontId="26" fillId="0" borderId="0" xfId="0" applyFont="1" applyAlignment="1">
      <alignment horizontal="center" vertical="center"/>
    </xf>
    <xf numFmtId="0" fontId="21" fillId="0" borderId="0" xfId="0" applyFont="1" applyAlignment="1">
      <alignment horizontal="center" vertical="center"/>
    </xf>
    <xf numFmtId="0" fontId="0" fillId="0" borderId="0" xfId="0" applyAlignment="1" applyProtection="1">
      <alignment vertical="center"/>
      <protection locked="0"/>
    </xf>
    <xf numFmtId="0" fontId="0" fillId="6" borderId="0" xfId="0" applyFill="1" applyProtection="1">
      <protection locked="0"/>
    </xf>
    <xf numFmtId="0" fontId="39" fillId="0" borderId="0" xfId="0" applyFont="1" applyAlignment="1">
      <alignment horizontal="center" vertical="center"/>
    </xf>
    <xf numFmtId="0" fontId="39" fillId="0" borderId="0" xfId="0" applyFont="1" applyAlignment="1" applyProtection="1">
      <alignment horizontal="center" vertical="center"/>
      <protection locked="0"/>
    </xf>
    <xf numFmtId="0" fontId="6" fillId="0" borderId="0" xfId="0" applyFont="1" applyAlignment="1">
      <alignment vertical="center" wrapText="1"/>
    </xf>
    <xf numFmtId="1" fontId="22" fillId="0" borderId="0" xfId="0" applyNumberFormat="1" applyFont="1"/>
    <xf numFmtId="0" fontId="26" fillId="6" borderId="0" xfId="0" applyFont="1" applyFill="1"/>
    <xf numFmtId="1" fontId="22" fillId="0" borderId="0" xfId="0" applyNumberFormat="1" applyFont="1" applyProtection="1">
      <protection locked="0"/>
    </xf>
    <xf numFmtId="0" fontId="39" fillId="0" borderId="0" xfId="0" applyFont="1"/>
    <xf numFmtId="0" fontId="27" fillId="0" borderId="0" xfId="0" applyFont="1" applyAlignment="1">
      <alignment vertical="center" wrapText="1"/>
    </xf>
    <xf numFmtId="0" fontId="0" fillId="2" borderId="5" xfId="0" applyFill="1" applyBorder="1" applyAlignment="1" applyProtection="1">
      <alignment vertical="center" wrapText="1"/>
      <protection locked="0"/>
    </xf>
    <xf numFmtId="0" fontId="0" fillId="2" borderId="7" xfId="0" applyFill="1" applyBorder="1" applyAlignment="1" applyProtection="1">
      <alignment vertical="center" wrapText="1"/>
      <protection locked="0"/>
    </xf>
    <xf numFmtId="0" fontId="26" fillId="0" borderId="0" xfId="0" applyFont="1" applyAlignment="1">
      <alignment wrapText="1"/>
    </xf>
    <xf numFmtId="0" fontId="44" fillId="0" borderId="0" xfId="0" applyFont="1" applyAlignment="1" applyProtection="1">
      <alignment horizontal="center"/>
      <protection locked="0"/>
    </xf>
    <xf numFmtId="0" fontId="2" fillId="6" borderId="2" xfId="0" applyFont="1" applyFill="1" applyBorder="1" applyAlignment="1">
      <alignment horizontal="left" vertical="center"/>
    </xf>
    <xf numFmtId="0" fontId="32" fillId="0" borderId="0" xfId="0" applyFont="1" applyAlignment="1">
      <alignment horizontal="right"/>
    </xf>
    <xf numFmtId="0" fontId="27" fillId="6" borderId="0" xfId="0" applyFont="1" applyFill="1" applyAlignment="1">
      <alignment vertical="center" wrapText="1"/>
    </xf>
    <xf numFmtId="0" fontId="41" fillId="0" borderId="0" xfId="0" applyFont="1" applyAlignment="1">
      <alignment wrapText="1"/>
    </xf>
    <xf numFmtId="0" fontId="2" fillId="0" borderId="2" xfId="0" applyFont="1" applyBorder="1" applyAlignment="1">
      <alignment horizontal="left" vertical="center"/>
    </xf>
    <xf numFmtId="0" fontId="2" fillId="0" borderId="5" xfId="0" applyFont="1" applyBorder="1" applyAlignment="1">
      <alignment vertical="center"/>
    </xf>
    <xf numFmtId="0" fontId="23" fillId="0" borderId="2" xfId="0" applyFont="1" applyBorder="1" applyAlignment="1">
      <alignment horizontal="left" vertical="center"/>
    </xf>
    <xf numFmtId="0" fontId="24" fillId="6" borderId="2" xfId="0" applyFont="1" applyFill="1" applyBorder="1" applyAlignment="1">
      <alignment vertical="center"/>
    </xf>
    <xf numFmtId="0" fontId="23" fillId="6" borderId="2" xfId="0" applyFont="1" applyFill="1" applyBorder="1" applyAlignment="1">
      <alignment vertical="center"/>
    </xf>
    <xf numFmtId="0" fontId="23" fillId="0" borderId="2" xfId="0" applyFont="1" applyBorder="1" applyAlignment="1">
      <alignment vertical="center"/>
    </xf>
    <xf numFmtId="0" fontId="0" fillId="2" borderId="1" xfId="0" applyFill="1" applyBorder="1" applyAlignment="1" applyProtection="1">
      <alignment horizontal="center"/>
      <protection locked="0"/>
    </xf>
    <xf numFmtId="0" fontId="2" fillId="2" borderId="1" xfId="0" applyFont="1" applyFill="1" applyBorder="1" applyAlignment="1" applyProtection="1">
      <alignment horizontal="left" vertical="center"/>
      <protection locked="0"/>
    </xf>
    <xf numFmtId="0" fontId="43" fillId="13" borderId="1" xfId="0" applyFont="1" applyFill="1" applyBorder="1" applyAlignment="1" applyProtection="1">
      <alignment horizontal="center" vertical="center" wrapText="1"/>
      <protection locked="0"/>
    </xf>
    <xf numFmtId="0" fontId="44" fillId="13" borderId="1" xfId="0" applyFont="1" applyFill="1" applyBorder="1" applyAlignment="1" applyProtection="1">
      <alignment horizontal="center" vertical="center" wrapText="1"/>
      <protection locked="0"/>
    </xf>
    <xf numFmtId="0" fontId="42" fillId="2" borderId="1" xfId="0" applyFont="1" applyFill="1" applyBorder="1" applyAlignment="1" applyProtection="1">
      <alignment horizontal="center" vertical="center" wrapText="1"/>
      <protection locked="0"/>
    </xf>
    <xf numFmtId="0" fontId="26" fillId="6" borderId="0" xfId="0" applyFont="1" applyFill="1" applyAlignment="1">
      <alignment horizontal="center" vertical="center"/>
    </xf>
    <xf numFmtId="0" fontId="48" fillId="0" borderId="0" xfId="0" applyFont="1" applyAlignment="1">
      <alignment wrapText="1"/>
    </xf>
    <xf numFmtId="0" fontId="49" fillId="0" borderId="0" xfId="0" applyFont="1" applyAlignment="1">
      <alignment wrapText="1"/>
    </xf>
    <xf numFmtId="0" fontId="49" fillId="0" borderId="0" xfId="0" applyFont="1" applyAlignment="1" applyProtection="1">
      <alignment horizontal="center" vertical="center"/>
      <protection locked="0"/>
    </xf>
    <xf numFmtId="0" fontId="49" fillId="0" borderId="0" xfId="0" applyFont="1"/>
    <xf numFmtId="0" fontId="26" fillId="0" borderId="0" xfId="0" applyFont="1" applyAlignment="1" applyProtection="1">
      <alignment wrapText="1"/>
      <protection locked="0"/>
    </xf>
    <xf numFmtId="0" fontId="28" fillId="6" borderId="0" xfId="0" applyFont="1" applyFill="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wrapText="1"/>
    </xf>
    <xf numFmtId="0" fontId="49" fillId="0" borderId="0" xfId="0" applyFont="1" applyProtection="1">
      <protection locked="0"/>
    </xf>
    <xf numFmtId="1" fontId="4" fillId="0" borderId="0" xfId="0" applyNumberFormat="1" applyFont="1" applyProtection="1">
      <protection locked="0"/>
    </xf>
    <xf numFmtId="0" fontId="26" fillId="0" borderId="0" xfId="0" applyFont="1" applyAlignment="1" applyProtection="1">
      <alignment horizontal="center"/>
      <protection locked="0"/>
    </xf>
    <xf numFmtId="0" fontId="49" fillId="6" borderId="0" xfId="0" applyFont="1" applyFill="1" applyAlignment="1">
      <alignment vertical="center"/>
    </xf>
    <xf numFmtId="0" fontId="49" fillId="6" borderId="0" xfId="0" applyFont="1" applyFill="1" applyAlignment="1">
      <alignment vertical="center" wrapText="1"/>
    </xf>
    <xf numFmtId="1" fontId="4" fillId="0" borderId="0" xfId="0" applyNumberFormat="1" applyFont="1"/>
    <xf numFmtId="0" fontId="49" fillId="0" borderId="0" xfId="0" applyFont="1" applyAlignment="1">
      <alignment vertical="center"/>
    </xf>
    <xf numFmtId="0" fontId="49" fillId="0" borderId="0" xfId="0" applyFont="1" applyAlignment="1">
      <alignment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49" fillId="0" borderId="0" xfId="0" applyFont="1" applyAlignment="1" applyProtection="1">
      <alignment wrapText="1"/>
      <protection locked="0"/>
    </xf>
    <xf numFmtId="1" fontId="49" fillId="0" borderId="0" xfId="0" applyNumberFormat="1" applyFont="1" applyAlignment="1">
      <alignment wrapText="1"/>
    </xf>
    <xf numFmtId="0" fontId="49" fillId="0" borderId="0" xfId="0" applyFont="1" applyAlignment="1" applyProtection="1">
      <alignment horizontal="center" wrapText="1"/>
      <protection locked="0"/>
    </xf>
    <xf numFmtId="0" fontId="49" fillId="0" borderId="0" xfId="0" applyFont="1" applyAlignment="1" applyProtection="1">
      <alignment horizontal="center"/>
      <protection locked="0"/>
    </xf>
    <xf numFmtId="0" fontId="49" fillId="0" borderId="0" xfId="0" applyFont="1" applyAlignment="1">
      <alignment horizontal="center"/>
    </xf>
    <xf numFmtId="0" fontId="22" fillId="0" borderId="0" xfId="0" applyFont="1" applyAlignment="1">
      <alignment horizontal="center" vertical="center"/>
    </xf>
    <xf numFmtId="0" fontId="49" fillId="6" borderId="0" xfId="0" applyFont="1" applyFill="1" applyAlignment="1">
      <alignment horizontal="center" wrapText="1"/>
    </xf>
    <xf numFmtId="0" fontId="49" fillId="0" borderId="0" xfId="0" applyFont="1" applyAlignment="1">
      <alignment horizontal="center" wrapText="1"/>
    </xf>
    <xf numFmtId="0" fontId="43" fillId="13" borderId="1" xfId="0" applyFont="1" applyFill="1" applyBorder="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lignment vertical="center" wrapText="1"/>
    </xf>
    <xf numFmtId="0" fontId="27" fillId="0" borderId="0" xfId="0" applyFont="1" applyAlignment="1">
      <alignment horizontal="right" vertical="center" wrapText="1"/>
    </xf>
    <xf numFmtId="0" fontId="32" fillId="0" borderId="0" xfId="0" applyFont="1" applyAlignment="1">
      <alignment horizontal="center" vertical="center"/>
    </xf>
    <xf numFmtId="0" fontId="24" fillId="0" borderId="2" xfId="0" applyFont="1" applyBorder="1" applyAlignment="1">
      <alignment horizontal="left" vertical="center"/>
    </xf>
    <xf numFmtId="0" fontId="0" fillId="0" borderId="4" xfId="0" applyBorder="1" applyAlignment="1">
      <alignment horizontal="left" vertical="center"/>
    </xf>
    <xf numFmtId="0" fontId="0" fillId="0" borderId="0" xfId="0" applyAlignment="1">
      <alignment horizontal="right"/>
    </xf>
    <xf numFmtId="0" fontId="0" fillId="0" borderId="0" xfId="0" applyAlignment="1">
      <alignment vertical="center" wrapText="1"/>
    </xf>
    <xf numFmtId="0" fontId="0" fillId="0" borderId="0" xfId="0" applyAlignment="1">
      <alignment horizontal="right" vertical="center"/>
    </xf>
    <xf numFmtId="0" fontId="24" fillId="0" borderId="4" xfId="0" applyFont="1" applyBorder="1" applyAlignment="1">
      <alignment horizontal="right" vertical="center"/>
    </xf>
    <xf numFmtId="0" fontId="0" fillId="0" borderId="2" xfId="0" applyBorder="1" applyAlignment="1">
      <alignment horizontal="left" vertical="center"/>
    </xf>
    <xf numFmtId="0" fontId="53" fillId="0" borderId="0" xfId="0" applyFont="1" applyAlignment="1">
      <alignment wrapText="1"/>
    </xf>
    <xf numFmtId="0" fontId="45" fillId="17" borderId="1" xfId="0" applyFont="1" applyFill="1" applyBorder="1" applyAlignment="1">
      <alignment horizontal="center" vertical="center" wrapText="1"/>
    </xf>
    <xf numFmtId="0" fontId="2" fillId="18" borderId="2" xfId="0" applyFont="1" applyFill="1" applyBorder="1"/>
    <xf numFmtId="0" fontId="31" fillId="18" borderId="3" xfId="0" applyFont="1" applyFill="1" applyBorder="1" applyAlignment="1">
      <alignment horizontal="right"/>
    </xf>
    <xf numFmtId="0" fontId="31" fillId="18" borderId="3" xfId="0" applyFont="1" applyFill="1" applyBorder="1"/>
    <xf numFmtId="0" fontId="31" fillId="18" borderId="4" xfId="0" applyFont="1" applyFill="1" applyBorder="1"/>
    <xf numFmtId="0" fontId="0" fillId="19" borderId="1" xfId="0" applyFill="1" applyBorder="1" applyAlignment="1">
      <alignment horizontal="right" vertical="center"/>
    </xf>
    <xf numFmtId="0" fontId="0" fillId="19" borderId="2" xfId="0" applyFill="1" applyBorder="1" applyAlignment="1">
      <alignment horizontal="right" vertical="center"/>
    </xf>
    <xf numFmtId="0" fontId="3" fillId="2" borderId="10" xfId="0" applyFont="1" applyFill="1" applyBorder="1" applyAlignment="1" applyProtection="1">
      <alignment horizontal="center"/>
      <protection locked="0"/>
    </xf>
    <xf numFmtId="0" fontId="57" fillId="0" borderId="0" xfId="0" applyFont="1"/>
    <xf numFmtId="0" fontId="0" fillId="0" borderId="8" xfId="0" applyBorder="1"/>
    <xf numFmtId="0" fontId="0" fillId="20" borderId="5" xfId="0" applyFill="1" applyBorder="1"/>
    <xf numFmtId="0" fontId="0" fillId="20" borderId="6" xfId="0" applyFill="1" applyBorder="1"/>
    <xf numFmtId="0" fontId="0" fillId="20" borderId="15" xfId="0" applyFill="1" applyBorder="1"/>
    <xf numFmtId="0" fontId="0" fillId="9" borderId="14" xfId="0" applyFill="1" applyBorder="1"/>
    <xf numFmtId="0" fontId="0" fillId="9" borderId="12" xfId="0" applyFill="1" applyBorder="1"/>
    <xf numFmtId="0" fontId="0" fillId="9" borderId="16" xfId="0" applyFill="1" applyBorder="1"/>
    <xf numFmtId="0" fontId="0" fillId="9" borderId="8" xfId="0" applyFill="1" applyBorder="1"/>
    <xf numFmtId="0" fontId="0" fillId="9" borderId="0" xfId="0" applyFill="1"/>
    <xf numFmtId="0" fontId="0" fillId="9" borderId="7" xfId="0" applyFill="1" applyBorder="1"/>
    <xf numFmtId="0" fontId="64" fillId="0" borderId="0" xfId="0" applyFont="1"/>
    <xf numFmtId="0" fontId="66" fillId="0" borderId="0" xfId="0" applyFont="1"/>
    <xf numFmtId="0" fontId="64" fillId="6" borderId="3" xfId="0" applyFont="1" applyFill="1" applyBorder="1" applyAlignment="1" applyProtection="1">
      <alignment horizontal="center" vertical="center"/>
      <protection locked="0"/>
    </xf>
    <xf numFmtId="0" fontId="64" fillId="6" borderId="3" xfId="0" applyFont="1" applyFill="1" applyBorder="1" applyAlignment="1" applyProtection="1">
      <alignment horizontal="center" vertical="center" wrapText="1"/>
      <protection locked="0"/>
    </xf>
    <xf numFmtId="0" fontId="71" fillId="0" borderId="0" xfId="0" applyFont="1" applyAlignment="1" applyProtection="1">
      <alignment horizontal="center" vertical="center"/>
      <protection locked="0"/>
    </xf>
    <xf numFmtId="0" fontId="64" fillId="0" borderId="0" xfId="0" applyFont="1" applyAlignment="1">
      <alignment vertical="center"/>
    </xf>
    <xf numFmtId="0" fontId="67" fillId="0" borderId="0" xfId="0" applyFont="1"/>
    <xf numFmtId="0" fontId="67" fillId="0" borderId="0" xfId="0" applyFont="1" applyAlignment="1">
      <alignment horizontal="center" vertical="center"/>
    </xf>
    <xf numFmtId="0" fontId="64" fillId="0" borderId="0" xfId="0" applyFont="1" applyAlignment="1">
      <alignment horizontal="right"/>
    </xf>
    <xf numFmtId="0" fontId="67" fillId="6" borderId="0" xfId="0" applyFont="1" applyFill="1"/>
    <xf numFmtId="0" fontId="64" fillId="0" borderId="0" xfId="0" applyFont="1" applyAlignment="1">
      <alignment horizontal="center"/>
    </xf>
    <xf numFmtId="0" fontId="71" fillId="0" borderId="0" xfId="0" applyFont="1" applyAlignment="1">
      <alignment vertical="center"/>
    </xf>
    <xf numFmtId="0" fontId="72" fillId="6" borderId="0" xfId="0" applyFont="1" applyFill="1" applyAlignment="1">
      <alignment vertical="center" wrapText="1"/>
    </xf>
    <xf numFmtId="0" fontId="65" fillId="0" borderId="0" xfId="0" applyFont="1" applyAlignment="1">
      <alignment horizontal="center" vertical="center"/>
    </xf>
    <xf numFmtId="0" fontId="73" fillId="0" borderId="0" xfId="0" applyFont="1" applyAlignment="1" applyProtection="1">
      <alignment horizontal="center" vertical="center" wrapText="1"/>
      <protection locked="0"/>
    </xf>
    <xf numFmtId="1" fontId="73" fillId="0" borderId="0" xfId="0" applyNumberFormat="1" applyFont="1" applyAlignment="1" applyProtection="1">
      <alignment horizontal="center" vertical="center" wrapText="1"/>
      <protection locked="0"/>
    </xf>
    <xf numFmtId="0" fontId="73" fillId="0" borderId="0" xfId="0" applyFont="1" applyAlignment="1" applyProtection="1">
      <alignment horizontal="center" vertical="center"/>
      <protection locked="0"/>
    </xf>
    <xf numFmtId="0" fontId="74" fillId="0" borderId="0" xfId="0" applyFont="1" applyAlignment="1" applyProtection="1">
      <alignment horizontal="left" vertical="top" wrapText="1"/>
      <protection locked="0"/>
    </xf>
    <xf numFmtId="0" fontId="74" fillId="0" borderId="0" xfId="0" applyFont="1" applyAlignment="1" applyProtection="1">
      <alignment vertical="top" wrapText="1"/>
      <protection locked="0"/>
    </xf>
    <xf numFmtId="0" fontId="71" fillId="0" borderId="0" xfId="0" applyFont="1"/>
    <xf numFmtId="0" fontId="62" fillId="0" borderId="0" xfId="0" applyFont="1" applyAlignment="1">
      <alignment horizontal="center" vertical="center" wrapText="1"/>
    </xf>
    <xf numFmtId="0" fontId="0" fillId="5" borderId="0" xfId="0" applyFill="1"/>
    <xf numFmtId="0" fontId="83" fillId="24" borderId="8" xfId="0" applyFont="1" applyFill="1" applyBorder="1" applyAlignment="1">
      <alignment horizontal="left"/>
    </xf>
    <xf numFmtId="0" fontId="83" fillId="24" borderId="0" xfId="0" applyFont="1" applyFill="1"/>
    <xf numFmtId="0" fontId="83" fillId="24" borderId="0" xfId="0" applyFont="1" applyFill="1" applyAlignment="1">
      <alignment horizontal="center" vertical="center"/>
    </xf>
    <xf numFmtId="0" fontId="83" fillId="24" borderId="7" xfId="0" applyFont="1" applyFill="1" applyBorder="1"/>
    <xf numFmtId="0" fontId="84" fillId="5" borderId="5" xfId="0" applyFont="1" applyFill="1" applyBorder="1" applyAlignment="1">
      <alignment vertical="center"/>
    </xf>
    <xf numFmtId="0" fontId="84" fillId="5" borderId="6" xfId="1" applyFont="1" applyFill="1" applyBorder="1" applyAlignment="1" applyProtection="1">
      <alignment horizontal="center" vertical="center" wrapText="1"/>
      <protection locked="0"/>
    </xf>
    <xf numFmtId="0" fontId="63" fillId="25" borderId="8" xfId="0" applyFont="1" applyFill="1" applyBorder="1" applyAlignment="1">
      <alignment horizontal="center" vertical="center" wrapText="1"/>
    </xf>
    <xf numFmtId="0" fontId="63" fillId="25" borderId="0" xfId="0" applyFont="1" applyFill="1" applyAlignment="1">
      <alignment horizontal="center" vertical="center" wrapText="1"/>
    </xf>
    <xf numFmtId="0" fontId="0" fillId="3" borderId="10"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64" fillId="3" borderId="12" xfId="0" applyFont="1" applyFill="1" applyBorder="1" applyAlignment="1" applyProtection="1">
      <alignment horizontal="center" vertical="center"/>
      <protection locked="0"/>
    </xf>
    <xf numFmtId="0" fontId="87" fillId="26" borderId="1" xfId="0" applyFont="1" applyFill="1" applyBorder="1" applyAlignment="1" applyProtection="1">
      <alignment horizontal="center" vertical="center"/>
      <protection locked="0"/>
    </xf>
    <xf numFmtId="0" fontId="87" fillId="26" borderId="1" xfId="0" applyFont="1" applyFill="1" applyBorder="1" applyAlignment="1" applyProtection="1">
      <alignment horizontal="left" vertical="center" wrapText="1"/>
      <protection locked="0"/>
    </xf>
    <xf numFmtId="0" fontId="87" fillId="26" borderId="10" xfId="0" applyFont="1" applyFill="1" applyBorder="1" applyAlignment="1">
      <alignment horizontal="left" vertical="center" wrapText="1"/>
    </xf>
    <xf numFmtId="0" fontId="87" fillId="26" borderId="1" xfId="0" applyFont="1" applyFill="1" applyBorder="1" applyAlignment="1">
      <alignment horizontal="left" vertical="center" wrapText="1"/>
    </xf>
    <xf numFmtId="0" fontId="87" fillId="26" borderId="13" xfId="0" applyFont="1" applyFill="1" applyBorder="1" applyAlignment="1">
      <alignment horizontal="left" vertical="center" wrapText="1"/>
    </xf>
    <xf numFmtId="0" fontId="87" fillId="26" borderId="13" xfId="0" applyFont="1" applyFill="1" applyBorder="1" applyAlignment="1" applyProtection="1">
      <alignment horizontal="left" vertical="center" wrapText="1"/>
      <protection locked="0"/>
    </xf>
    <xf numFmtId="0" fontId="87" fillId="26" borderId="11" xfId="0" applyFont="1" applyFill="1" applyBorder="1" applyAlignment="1">
      <alignment horizontal="left" vertical="center" wrapText="1"/>
    </xf>
    <xf numFmtId="0" fontId="87" fillId="26" borderId="2" xfId="0" applyFont="1" applyFill="1" applyBorder="1" applyAlignment="1">
      <alignment horizontal="left" vertical="center" wrapText="1"/>
    </xf>
    <xf numFmtId="0" fontId="87" fillId="26" borderId="1" xfId="0" applyFont="1" applyFill="1" applyBorder="1" applyAlignment="1">
      <alignment vertical="center" wrapText="1"/>
    </xf>
    <xf numFmtId="0" fontId="87" fillId="26" borderId="1" xfId="0" applyFont="1" applyFill="1" applyBorder="1" applyAlignment="1">
      <alignment horizontal="left" vertical="center"/>
    </xf>
    <xf numFmtId="0" fontId="87" fillId="26" borderId="10" xfId="0" applyFont="1" applyFill="1" applyBorder="1" applyAlignment="1" applyProtection="1">
      <alignment horizontal="center" vertical="center"/>
      <protection locked="0"/>
    </xf>
    <xf numFmtId="0" fontId="87" fillId="26" borderId="10" xfId="0" applyFont="1" applyFill="1" applyBorder="1" applyAlignment="1">
      <alignment horizontal="left" vertical="center"/>
    </xf>
    <xf numFmtId="0" fontId="87" fillId="26" borderId="2" xfId="0" applyFont="1" applyFill="1" applyBorder="1" applyAlignment="1" applyProtection="1">
      <alignment horizontal="left" vertical="center" wrapText="1"/>
      <protection locked="0"/>
    </xf>
    <xf numFmtId="0" fontId="89" fillId="26" borderId="1" xfId="0" applyFont="1" applyFill="1" applyBorder="1" applyAlignment="1" applyProtection="1">
      <alignment horizontal="center" vertical="center"/>
      <protection locked="0"/>
    </xf>
    <xf numFmtId="0" fontId="89" fillId="26" borderId="1" xfId="0" applyFont="1" applyFill="1" applyBorder="1" applyAlignment="1">
      <alignment horizontal="left" vertical="center" wrapText="1"/>
    </xf>
    <xf numFmtId="0" fontId="89" fillId="26" borderId="1" xfId="0" applyFont="1" applyFill="1" applyBorder="1" applyAlignment="1">
      <alignment vertical="center" wrapText="1"/>
    </xf>
    <xf numFmtId="0" fontId="87" fillId="26" borderId="11" xfId="0" applyFont="1" applyFill="1" applyBorder="1" applyAlignment="1" applyProtection="1">
      <alignment horizontal="center" vertical="center"/>
      <protection locked="0"/>
    </xf>
    <xf numFmtId="0" fontId="87" fillId="26" borderId="11" xfId="0" applyFont="1" applyFill="1" applyBorder="1" applyAlignment="1">
      <alignment vertical="center" wrapText="1"/>
    </xf>
    <xf numFmtId="0" fontId="87" fillId="26" borderId="10" xfId="0" applyFont="1" applyFill="1" applyBorder="1" applyAlignment="1">
      <alignment vertical="center" wrapText="1"/>
    </xf>
    <xf numFmtId="0" fontId="87" fillId="26" borderId="10" xfId="0" applyFont="1" applyFill="1" applyBorder="1" applyAlignment="1" applyProtection="1">
      <alignment vertical="center"/>
      <protection locked="0"/>
    </xf>
    <xf numFmtId="0" fontId="87" fillId="26" borderId="1" xfId="0" applyFont="1" applyFill="1" applyBorder="1" applyAlignment="1" applyProtection="1">
      <alignment vertical="center"/>
      <protection locked="0"/>
    </xf>
    <xf numFmtId="0" fontId="87" fillId="26" borderId="11" xfId="0" applyFont="1" applyFill="1" applyBorder="1" applyAlignment="1" applyProtection="1">
      <alignment vertical="center"/>
      <protection locked="0"/>
    </xf>
    <xf numFmtId="0" fontId="87" fillId="26" borderId="4" xfId="0" applyFont="1" applyFill="1" applyBorder="1" applyAlignment="1" applyProtection="1">
      <alignment horizontal="center" vertical="center"/>
      <protection locked="0"/>
    </xf>
    <xf numFmtId="0" fontId="87" fillId="26" borderId="13" xfId="0" applyFont="1" applyFill="1" applyBorder="1" applyAlignment="1" applyProtection="1">
      <alignment vertical="center"/>
      <protection locked="0"/>
    </xf>
    <xf numFmtId="0" fontId="87" fillId="26" borderId="5" xfId="0" applyFont="1" applyFill="1" applyBorder="1" applyAlignment="1" applyProtection="1">
      <alignment horizontal="center" vertical="center"/>
      <protection locked="0"/>
    </xf>
    <xf numFmtId="0" fontId="87" fillId="26" borderId="15" xfId="0" applyFont="1" applyFill="1" applyBorder="1" applyAlignment="1">
      <alignment horizontal="left" vertical="center" wrapText="1"/>
    </xf>
    <xf numFmtId="0" fontId="67" fillId="3" borderId="1" xfId="0" applyFont="1" applyFill="1" applyBorder="1" applyAlignment="1" applyProtection="1">
      <alignment horizontal="center" vertical="center" wrapText="1"/>
      <protection locked="0"/>
    </xf>
    <xf numFmtId="0" fontId="93" fillId="0" borderId="1" xfId="0" applyFont="1" applyBorder="1" applyAlignment="1">
      <alignment horizontal="center" vertical="center" wrapText="1"/>
    </xf>
    <xf numFmtId="0" fontId="94" fillId="0" borderId="13" xfId="0" applyFont="1" applyBorder="1" applyAlignment="1">
      <alignment horizontal="center" vertical="center"/>
    </xf>
    <xf numFmtId="0" fontId="89" fillId="26" borderId="13" xfId="0" applyFont="1" applyFill="1" applyBorder="1" applyAlignment="1">
      <alignment horizontal="left" vertical="center" wrapText="1"/>
    </xf>
    <xf numFmtId="0" fontId="96" fillId="0" borderId="2" xfId="0" applyFont="1" applyBorder="1" applyAlignment="1">
      <alignment horizontal="center" vertical="center"/>
    </xf>
    <xf numFmtId="0" fontId="97" fillId="3" borderId="4" xfId="0" applyFont="1" applyFill="1" applyBorder="1" applyAlignment="1" applyProtection="1">
      <alignment horizontal="center" vertical="center"/>
      <protection locked="0"/>
    </xf>
    <xf numFmtId="0" fontId="97" fillId="26" borderId="1" xfId="0" applyFont="1" applyFill="1" applyBorder="1" applyAlignment="1" applyProtection="1">
      <alignment horizontal="center" vertical="center"/>
      <protection locked="0"/>
    </xf>
    <xf numFmtId="0" fontId="97" fillId="26" borderId="1" xfId="0" applyFont="1" applyFill="1" applyBorder="1" applyAlignment="1" applyProtection="1">
      <alignment horizontal="left" vertical="center" wrapText="1"/>
      <protection locked="0"/>
    </xf>
    <xf numFmtId="0" fontId="97" fillId="0" borderId="0" xfId="0" applyFont="1"/>
    <xf numFmtId="0" fontId="98" fillId="0" borderId="0" xfId="0" applyFont="1"/>
    <xf numFmtId="0" fontId="94" fillId="0" borderId="2" xfId="0" applyFont="1" applyBorder="1" applyAlignment="1">
      <alignment horizontal="center" vertical="center"/>
    </xf>
    <xf numFmtId="0" fontId="89" fillId="3" borderId="16" xfId="0" applyFont="1" applyFill="1" applyBorder="1" applyAlignment="1" applyProtection="1">
      <alignment horizontal="center" vertical="center"/>
      <protection locked="0"/>
    </xf>
    <xf numFmtId="0" fontId="89" fillId="26" borderId="10" xfId="0" applyFont="1" applyFill="1" applyBorder="1" applyAlignment="1">
      <alignment horizontal="left" vertical="center" wrapText="1"/>
    </xf>
    <xf numFmtId="0" fontId="89" fillId="0" borderId="0" xfId="0" applyFont="1"/>
    <xf numFmtId="0" fontId="88" fillId="0" borderId="5" xfId="0" applyFont="1" applyBorder="1" applyAlignment="1">
      <alignment horizontal="center" vertical="center"/>
    </xf>
    <xf numFmtId="0" fontId="87" fillId="3" borderId="1" xfId="0" applyFont="1" applyFill="1" applyBorder="1" applyAlignment="1" applyProtection="1">
      <alignment horizontal="center" vertical="center"/>
      <protection locked="0"/>
    </xf>
    <xf numFmtId="0" fontId="88" fillId="0" borderId="10" xfId="0" applyFont="1" applyBorder="1" applyAlignment="1">
      <alignment horizontal="center" vertical="center"/>
    </xf>
    <xf numFmtId="0" fontId="87" fillId="3" borderId="10" xfId="0" applyFont="1" applyFill="1" applyBorder="1" applyAlignment="1" applyProtection="1">
      <alignment horizontal="center" vertical="center"/>
      <protection locked="0"/>
    </xf>
    <xf numFmtId="0" fontId="88" fillId="0" borderId="14" xfId="0" applyFont="1" applyBorder="1" applyAlignment="1">
      <alignment horizontal="center" vertical="center"/>
    </xf>
    <xf numFmtId="0" fontId="87" fillId="3" borderId="16" xfId="0" applyFont="1" applyFill="1" applyBorder="1" applyAlignment="1" applyProtection="1">
      <alignment horizontal="center" vertical="center"/>
      <protection locked="0"/>
    </xf>
    <xf numFmtId="0" fontId="87" fillId="3" borderId="1" xfId="0" applyFont="1" applyFill="1" applyBorder="1" applyAlignment="1">
      <alignment horizontal="center" vertical="center"/>
    </xf>
    <xf numFmtId="0" fontId="88" fillId="0" borderId="8" xfId="0" applyFont="1" applyBorder="1" applyAlignment="1">
      <alignment horizontal="center" vertical="center"/>
    </xf>
    <xf numFmtId="0" fontId="87" fillId="3" borderId="4" xfId="0" applyFont="1" applyFill="1" applyBorder="1" applyAlignment="1" applyProtection="1">
      <alignment horizontal="center" vertical="center"/>
      <protection locked="0"/>
    </xf>
    <xf numFmtId="0" fontId="87" fillId="3" borderId="15" xfId="0" applyFont="1" applyFill="1" applyBorder="1" applyAlignment="1" applyProtection="1">
      <alignment horizontal="center" vertical="center"/>
      <protection locked="0"/>
    </xf>
    <xf numFmtId="0" fontId="87" fillId="3" borderId="14" xfId="0" applyFont="1" applyFill="1" applyBorder="1" applyAlignment="1" applyProtection="1">
      <alignment horizontal="center" vertical="center"/>
      <protection locked="0"/>
    </xf>
    <xf numFmtId="0" fontId="88" fillId="0" borderId="2" xfId="0" applyFont="1" applyBorder="1" applyAlignment="1">
      <alignment horizontal="center" vertical="center"/>
    </xf>
    <xf numFmtId="0" fontId="88" fillId="3" borderId="1" xfId="0" applyFont="1" applyFill="1" applyBorder="1" applyAlignment="1" applyProtection="1">
      <alignment horizontal="center" vertical="center" wrapText="1"/>
      <protection locked="0"/>
    </xf>
    <xf numFmtId="0" fontId="67" fillId="3" borderId="6" xfId="0" applyFont="1" applyFill="1" applyBorder="1" applyAlignment="1">
      <alignment vertical="center" wrapText="1"/>
    </xf>
    <xf numFmtId="0" fontId="67" fillId="3" borderId="15" xfId="0" applyFont="1" applyFill="1" applyBorder="1" applyAlignment="1">
      <alignment vertical="center" wrapText="1"/>
    </xf>
    <xf numFmtId="0" fontId="87" fillId="26" borderId="5" xfId="0" applyFont="1" applyFill="1" applyBorder="1" applyAlignment="1" applyProtection="1">
      <alignment horizontal="left" vertical="center" wrapText="1"/>
      <protection locked="0"/>
    </xf>
    <xf numFmtId="0" fontId="87" fillId="26" borderId="11" xfId="0" applyFont="1" applyFill="1" applyBorder="1" applyAlignment="1" applyProtection="1">
      <alignment horizontal="left" vertical="center" wrapText="1"/>
      <protection locked="0"/>
    </xf>
    <xf numFmtId="0" fontId="87" fillId="3" borderId="1" xfId="0" applyFont="1" applyFill="1" applyBorder="1" applyAlignment="1" applyProtection="1">
      <alignment horizontal="center" vertical="center" wrapText="1"/>
      <protection locked="0"/>
    </xf>
    <xf numFmtId="0" fontId="96" fillId="0" borderId="0" xfId="0" applyFont="1" applyAlignment="1">
      <alignment vertical="center" wrapText="1"/>
    </xf>
    <xf numFmtId="0" fontId="103" fillId="0" borderId="0" xfId="0" applyFont="1" applyAlignment="1">
      <alignment horizontal="right" vertical="center" wrapText="1"/>
    </xf>
    <xf numFmtId="0" fontId="96" fillId="0" borderId="0" xfId="0" applyFont="1" applyAlignment="1" applyProtection="1">
      <alignment horizontal="center" vertical="center" wrapText="1"/>
      <protection locked="0"/>
    </xf>
    <xf numFmtId="0" fontId="100" fillId="0" borderId="1" xfId="0" applyFont="1" applyBorder="1" applyAlignment="1" applyProtection="1">
      <alignment horizontal="center" vertical="center" wrapText="1"/>
      <protection locked="0"/>
    </xf>
    <xf numFmtId="0" fontId="87" fillId="0" borderId="4" xfId="0" applyFont="1" applyBorder="1" applyAlignment="1" applyProtection="1">
      <alignment horizontal="left" vertical="center" wrapText="1"/>
      <protection locked="0"/>
    </xf>
    <xf numFmtId="0" fontId="87" fillId="0" borderId="16" xfId="0" applyFont="1" applyBorder="1" applyAlignment="1" applyProtection="1">
      <alignment horizontal="left" vertical="center" wrapText="1"/>
      <protection locked="0"/>
    </xf>
    <xf numFmtId="0" fontId="96" fillId="6" borderId="0" xfId="0" applyFont="1" applyFill="1"/>
    <xf numFmtId="0" fontId="103" fillId="3" borderId="1" xfId="0" applyFont="1" applyFill="1" applyBorder="1" applyAlignment="1" applyProtection="1">
      <alignment horizontal="left" vertical="center"/>
      <protection locked="0"/>
    </xf>
    <xf numFmtId="0" fontId="96" fillId="6" borderId="8" xfId="0" applyFont="1" applyFill="1" applyBorder="1" applyAlignment="1">
      <alignment vertical="center" wrapText="1"/>
    </xf>
    <xf numFmtId="0" fontId="108" fillId="6" borderId="0" xfId="0" applyFont="1" applyFill="1"/>
    <xf numFmtId="0" fontId="96" fillId="3" borderId="1" xfId="1" applyFont="1" applyFill="1" applyBorder="1" applyAlignment="1" applyProtection="1">
      <alignment horizontal="left" vertical="center"/>
      <protection locked="0"/>
    </xf>
    <xf numFmtId="14" fontId="103" fillId="6" borderId="0" xfId="0" applyNumberFormat="1" applyFont="1" applyFill="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96" fillId="6" borderId="1" xfId="0" applyFont="1" applyFill="1" applyBorder="1" applyAlignment="1">
      <alignment horizontal="center" vertical="center"/>
    </xf>
    <xf numFmtId="0" fontId="103" fillId="6" borderId="0" xfId="0" applyFont="1" applyFill="1" applyAlignment="1">
      <alignment horizontal="center" wrapText="1"/>
    </xf>
    <xf numFmtId="0" fontId="103" fillId="6" borderId="0" xfId="0" applyFont="1" applyFill="1" applyAlignment="1">
      <alignment horizontal="center"/>
    </xf>
    <xf numFmtId="0" fontId="97" fillId="6" borderId="0" xfId="0" applyFont="1" applyFill="1"/>
    <xf numFmtId="0" fontId="97" fillId="26" borderId="1" xfId="0" applyFont="1" applyFill="1" applyBorder="1" applyAlignment="1">
      <alignment horizontal="center" vertical="center" wrapText="1"/>
    </xf>
    <xf numFmtId="165" fontId="103" fillId="3" borderId="4" xfId="0" applyNumberFormat="1" applyFont="1" applyFill="1" applyBorder="1" applyAlignment="1" applyProtection="1">
      <alignment horizontal="left" vertical="center"/>
      <protection locked="0"/>
    </xf>
    <xf numFmtId="0" fontId="88" fillId="22" borderId="0" xfId="0" applyFont="1" applyFill="1" applyAlignment="1">
      <alignment horizontal="center" vertical="center"/>
    </xf>
    <xf numFmtId="0" fontId="97" fillId="0" borderId="0" xfId="0" quotePrefix="1" applyFont="1"/>
    <xf numFmtId="0" fontId="108" fillId="3" borderId="1" xfId="0" applyFont="1" applyFill="1" applyBorder="1" applyAlignment="1" applyProtection="1">
      <alignment horizontal="center" vertical="center"/>
      <protection locked="0"/>
    </xf>
    <xf numFmtId="0" fontId="115" fillId="0" borderId="0" xfId="1" applyFont="1" applyProtection="1"/>
    <xf numFmtId="0" fontId="107" fillId="0" borderId="0" xfId="0" applyFont="1"/>
    <xf numFmtId="0" fontId="97" fillId="0" borderId="0" xfId="0" applyFont="1" applyAlignment="1">
      <alignment horizontal="left" vertical="center"/>
    </xf>
    <xf numFmtId="0" fontId="96" fillId="3" borderId="1" xfId="0" applyFont="1" applyFill="1" applyBorder="1" applyAlignment="1" applyProtection="1">
      <alignment horizontal="left" vertical="center"/>
      <protection locked="0"/>
    </xf>
    <xf numFmtId="0" fontId="97" fillId="0" borderId="0" xfId="0" applyFont="1" applyAlignment="1">
      <alignment horizontal="left"/>
    </xf>
    <xf numFmtId="0" fontId="114" fillId="0" borderId="0" xfId="0" applyFont="1" applyAlignment="1">
      <alignment horizontal="right" vertical="center" wrapText="1" indent="1"/>
    </xf>
    <xf numFmtId="0" fontId="97" fillId="0" borderId="0" xfId="0" applyFont="1" applyAlignment="1">
      <alignment horizontal="right" indent="1"/>
    </xf>
    <xf numFmtId="0" fontId="116" fillId="0" borderId="0" xfId="0" applyFont="1" applyAlignment="1">
      <alignment horizontal="left" vertical="center"/>
    </xf>
    <xf numFmtId="0" fontId="9" fillId="3" borderId="1" xfId="0" applyFont="1" applyFill="1" applyBorder="1" applyAlignment="1">
      <alignment horizontal="left" vertical="center" wrapText="1" indent="1"/>
    </xf>
    <xf numFmtId="0" fontId="89" fillId="2" borderId="1" xfId="0" applyFont="1" applyFill="1" applyBorder="1" applyAlignment="1">
      <alignment horizontal="center" vertical="center"/>
    </xf>
    <xf numFmtId="0" fontId="90" fillId="0" borderId="0" xfId="0" applyFont="1" applyAlignment="1">
      <alignment horizontal="left" vertical="center"/>
    </xf>
    <xf numFmtId="0" fontId="5" fillId="2" borderId="1" xfId="1" applyFill="1" applyBorder="1" applyAlignment="1" applyProtection="1">
      <alignment horizontal="left" vertical="center" wrapText="1"/>
      <protection locked="0"/>
    </xf>
    <xf numFmtId="0" fontId="21" fillId="0" borderId="0" xfId="0" applyFont="1" applyAlignment="1">
      <alignment vertical="center"/>
    </xf>
    <xf numFmtId="0" fontId="94" fillId="0" borderId="1" xfId="0" applyFont="1" applyBorder="1" applyAlignment="1">
      <alignment horizontal="center" vertical="center"/>
    </xf>
    <xf numFmtId="0" fontId="89" fillId="3" borderId="1" xfId="0" applyFont="1" applyFill="1" applyBorder="1" applyAlignment="1" applyProtection="1">
      <alignment horizontal="center" vertical="center"/>
      <protection locked="0"/>
    </xf>
    <xf numFmtId="0" fontId="64" fillId="0" borderId="0" xfId="0" quotePrefix="1" applyFont="1"/>
    <xf numFmtId="0" fontId="71" fillId="2" borderId="1" xfId="0" quotePrefix="1" applyFont="1" applyFill="1" applyBorder="1" applyAlignment="1">
      <alignment horizontal="center" vertical="center"/>
    </xf>
    <xf numFmtId="0" fontId="97" fillId="0" borderId="0" xfId="0" applyFont="1" applyAlignment="1" applyProtection="1">
      <alignment horizontal="center" vertical="center" wrapText="1"/>
      <protection locked="0"/>
    </xf>
    <xf numFmtId="0" fontId="71" fillId="0" borderId="0" xfId="0" quotePrefix="1"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wrapText="1"/>
    </xf>
    <xf numFmtId="0" fontId="2" fillId="0" borderId="0" xfId="0" applyFont="1" applyAlignment="1">
      <alignment horizontal="center" vertical="center" wrapText="1"/>
    </xf>
    <xf numFmtId="0" fontId="87" fillId="26" borderId="13" xfId="0" applyFont="1" applyFill="1" applyBorder="1" applyAlignment="1" applyProtection="1">
      <alignment horizontal="center" vertical="center"/>
      <protection locked="0"/>
    </xf>
    <xf numFmtId="0" fontId="21" fillId="0" borderId="0" xfId="0" applyFont="1" applyProtection="1">
      <protection locked="0"/>
    </xf>
    <xf numFmtId="0" fontId="119" fillId="0" borderId="0" xfId="0" applyFont="1"/>
    <xf numFmtId="0" fontId="120" fillId="0" borderId="0" xfId="0" applyFont="1"/>
    <xf numFmtId="0" fontId="121" fillId="0" borderId="0" xfId="0" applyFont="1"/>
    <xf numFmtId="0" fontId="21" fillId="0" borderId="0" xfId="0" applyFont="1" applyAlignment="1">
      <alignment horizontal="left" vertical="center"/>
    </xf>
    <xf numFmtId="0" fontId="53" fillId="0" borderId="0" xfId="0" applyFont="1" applyAlignment="1">
      <alignment horizontal="center"/>
    </xf>
    <xf numFmtId="0" fontId="21" fillId="0" borderId="0" xfId="0" quotePrefix="1" applyFont="1"/>
    <xf numFmtId="0" fontId="34" fillId="0" borderId="0" xfId="0" applyFont="1" applyAlignment="1">
      <alignment horizontal="right" vertical="center" wrapText="1"/>
    </xf>
    <xf numFmtId="0" fontId="100" fillId="0" borderId="11" xfId="0" applyFont="1" applyBorder="1" applyAlignment="1">
      <alignment horizontal="center" vertical="center"/>
    </xf>
    <xf numFmtId="0" fontId="87" fillId="3" borderId="0" xfId="0" applyFont="1" applyFill="1" applyAlignment="1" applyProtection="1">
      <alignment horizontal="center" vertical="center"/>
      <protection locked="0"/>
    </xf>
    <xf numFmtId="0" fontId="87" fillId="26" borderId="12" xfId="0" applyFont="1" applyFill="1" applyBorder="1" applyAlignment="1">
      <alignment horizontal="left" vertical="center" wrapText="1"/>
    </xf>
    <xf numFmtId="0" fontId="64" fillId="3" borderId="0" xfId="0" applyFont="1" applyFill="1" applyAlignment="1" applyProtection="1">
      <alignment horizontal="center" vertical="center"/>
      <protection locked="0"/>
    </xf>
    <xf numFmtId="0" fontId="87" fillId="26" borderId="0" xfId="0" applyFont="1" applyFill="1" applyAlignment="1" applyProtection="1">
      <alignment horizontal="center" vertical="center"/>
      <protection locked="0"/>
    </xf>
    <xf numFmtId="0" fontId="87" fillId="26" borderId="0" xfId="0" applyFont="1" applyFill="1" applyAlignment="1">
      <alignment horizontal="left" vertical="center" wrapText="1"/>
    </xf>
    <xf numFmtId="0" fontId="26" fillId="0" borderId="0" xfId="0" applyFont="1" applyAlignment="1">
      <alignment horizontal="left" vertical="center" wrapText="1"/>
    </xf>
    <xf numFmtId="0" fontId="88" fillId="26" borderId="1" xfId="0" applyFont="1" applyFill="1" applyBorder="1" applyAlignment="1" applyProtection="1">
      <alignment horizontal="center" vertical="center" wrapText="1"/>
      <protection locked="0"/>
    </xf>
    <xf numFmtId="0" fontId="67" fillId="26" borderId="6" xfId="0" applyFont="1" applyFill="1" applyBorder="1" applyAlignment="1">
      <alignment vertical="center" wrapText="1"/>
    </xf>
    <xf numFmtId="0" fontId="67" fillId="26" borderId="15" xfId="0" applyFont="1" applyFill="1" applyBorder="1" applyAlignment="1">
      <alignment vertical="center" wrapText="1"/>
    </xf>
    <xf numFmtId="0" fontId="87" fillId="26" borderId="5" xfId="0" applyFont="1" applyFill="1" applyBorder="1" applyAlignment="1">
      <alignment horizontal="left" vertical="center" wrapText="1"/>
    </xf>
    <xf numFmtId="0" fontId="87" fillId="26" borderId="3" xfId="0" applyFont="1" applyFill="1" applyBorder="1" applyAlignment="1">
      <alignment horizontal="left" vertical="center" wrapText="1"/>
    </xf>
    <xf numFmtId="0" fontId="67" fillId="6" borderId="6" xfId="0" applyFont="1" applyFill="1" applyBorder="1" applyAlignment="1">
      <alignment vertical="center" wrapText="1"/>
    </xf>
    <xf numFmtId="0" fontId="67" fillId="26" borderId="1" xfId="0" applyFont="1" applyFill="1" applyBorder="1" applyAlignment="1" applyProtection="1">
      <alignment horizontal="center" vertical="center" wrapText="1"/>
      <protection locked="0"/>
    </xf>
    <xf numFmtId="0" fontId="67" fillId="3" borderId="10" xfId="0" applyFont="1" applyFill="1" applyBorder="1" applyAlignment="1" applyProtection="1">
      <alignment horizontal="center" vertical="center" wrapText="1"/>
      <protection locked="0"/>
    </xf>
    <xf numFmtId="0" fontId="67" fillId="26" borderId="10" xfId="0" applyFont="1" applyFill="1" applyBorder="1" applyAlignment="1" applyProtection="1">
      <alignment horizontal="center" vertical="center" wrapText="1"/>
      <protection locked="0"/>
    </xf>
    <xf numFmtId="0" fontId="67" fillId="26" borderId="0" xfId="0" applyFont="1" applyFill="1" applyAlignment="1">
      <alignment vertical="center" wrapText="1"/>
    </xf>
    <xf numFmtId="0" fontId="67" fillId="26" borderId="7" xfId="0" applyFont="1" applyFill="1" applyBorder="1" applyAlignment="1">
      <alignment vertical="center" wrapText="1"/>
    </xf>
    <xf numFmtId="0" fontId="88" fillId="0" borderId="0" xfId="0" applyFont="1" applyAlignment="1">
      <alignment horizontal="center" vertical="center"/>
    </xf>
    <xf numFmtId="0" fontId="87" fillId="26" borderId="15" xfId="0" applyFont="1" applyFill="1" applyBorder="1" applyAlignment="1" applyProtection="1">
      <alignment horizontal="center" vertical="center"/>
      <protection locked="0"/>
    </xf>
    <xf numFmtId="0" fontId="23" fillId="0" borderId="1" xfId="0" applyFont="1" applyBorder="1" applyAlignment="1">
      <alignment horizontal="center" vertical="center"/>
    </xf>
    <xf numFmtId="0" fontId="23" fillId="0" borderId="14" xfId="0" applyFont="1" applyBorder="1" applyAlignment="1">
      <alignment horizontal="center" vertical="center"/>
    </xf>
    <xf numFmtId="0" fontId="69" fillId="0" borderId="14" xfId="0" applyFont="1" applyBorder="1" applyAlignment="1">
      <alignment horizontal="center" vertical="center"/>
    </xf>
    <xf numFmtId="0" fontId="122" fillId="6" borderId="6" xfId="0" applyFont="1" applyFill="1" applyBorder="1" applyAlignment="1">
      <alignment horizontal="right" vertical="center" wrapText="1"/>
    </xf>
    <xf numFmtId="0" fontId="67" fillId="26" borderId="3" xfId="0" applyFont="1" applyFill="1" applyBorder="1" applyAlignment="1">
      <alignment vertical="center" wrapText="1"/>
    </xf>
    <xf numFmtId="0" fontId="67" fillId="26" borderId="4" xfId="0" applyFont="1" applyFill="1" applyBorder="1" applyAlignment="1">
      <alignment vertical="center" wrapText="1"/>
    </xf>
    <xf numFmtId="0" fontId="69" fillId="0" borderId="0" xfId="0" applyFont="1" applyAlignment="1">
      <alignment horizontal="center" vertical="center"/>
    </xf>
    <xf numFmtId="0" fontId="88" fillId="0" borderId="1" xfId="0" applyFont="1" applyBorder="1" applyAlignment="1">
      <alignment horizontal="center" vertical="center"/>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7" fillId="0" borderId="0" xfId="0" applyFont="1" applyAlignment="1">
      <alignment horizontal="center" wrapText="1"/>
    </xf>
    <xf numFmtId="0" fontId="37" fillId="16" borderId="0" xfId="0" applyFont="1" applyFill="1" applyAlignment="1">
      <alignment horizontal="center" vertical="center" wrapText="1"/>
    </xf>
    <xf numFmtId="0" fontId="0" fillId="19" borderId="0" xfId="0" applyFill="1" applyAlignment="1" applyProtection="1">
      <alignment horizontal="center" vertical="center"/>
      <protection locked="0"/>
    </xf>
    <xf numFmtId="0" fontId="3" fillId="10" borderId="2" xfId="0" applyFont="1" applyFill="1" applyBorder="1"/>
    <xf numFmtId="0" fontId="3" fillId="10" borderId="4" xfId="0" applyFont="1" applyFill="1" applyBorder="1"/>
    <xf numFmtId="0" fontId="27" fillId="2" borderId="1" xfId="0" applyFont="1" applyFill="1" applyBorder="1" applyAlignment="1" applyProtection="1">
      <alignment horizontal="left" vertical="center" wrapText="1"/>
      <protection locked="0"/>
    </xf>
    <xf numFmtId="0" fontId="43" fillId="13" borderId="2" xfId="0" applyFont="1" applyFill="1" applyBorder="1" applyAlignment="1" applyProtection="1">
      <alignment horizontal="left" vertical="center" wrapText="1"/>
      <protection locked="0"/>
    </xf>
    <xf numFmtId="0" fontId="43" fillId="13" borderId="4" xfId="0" applyFont="1" applyFill="1" applyBorder="1" applyAlignment="1" applyProtection="1">
      <alignment horizontal="left" vertical="center" wrapText="1"/>
      <protection locked="0"/>
    </xf>
    <xf numFmtId="0" fontId="20" fillId="0" borderId="12" xfId="0" applyFont="1" applyBorder="1" applyAlignment="1">
      <alignment vertical="center" wrapText="1"/>
    </xf>
    <xf numFmtId="0" fontId="20" fillId="0" borderId="0" xfId="0" applyFont="1" applyAlignment="1">
      <alignment vertical="center" wrapText="1"/>
    </xf>
    <xf numFmtId="0" fontId="50" fillId="0" borderId="0" xfId="0" applyFont="1" applyAlignment="1">
      <alignment vertical="center" wrapText="1"/>
    </xf>
    <xf numFmtId="14" fontId="27" fillId="14" borderId="2" xfId="0" applyNumberFormat="1" applyFont="1" applyFill="1" applyBorder="1" applyAlignment="1">
      <alignment horizontal="justify" vertical="center" wrapText="1"/>
    </xf>
    <xf numFmtId="14" fontId="27" fillId="14" borderId="3" xfId="0" applyNumberFormat="1" applyFont="1" applyFill="1" applyBorder="1" applyAlignment="1">
      <alignment horizontal="justify" vertical="center" wrapText="1"/>
    </xf>
    <xf numFmtId="14" fontId="27" fillId="14" borderId="4" xfId="0" applyNumberFormat="1" applyFont="1" applyFill="1" applyBorder="1" applyAlignment="1">
      <alignment horizontal="justify" vertical="center" wrapText="1"/>
    </xf>
    <xf numFmtId="0" fontId="23" fillId="17" borderId="2" xfId="0" applyFont="1" applyFill="1" applyBorder="1" applyAlignment="1">
      <alignment vertical="center"/>
    </xf>
    <xf numFmtId="0" fontId="23" fillId="17" borderId="4" xfId="0" applyFont="1" applyFill="1" applyBorder="1" applyAlignment="1">
      <alignment vertical="center"/>
    </xf>
    <xf numFmtId="0" fontId="45" fillId="17" borderId="2" xfId="0" applyFont="1" applyFill="1" applyBorder="1" applyAlignment="1">
      <alignment horizontal="center" vertical="center" wrapText="1"/>
    </xf>
    <xf numFmtId="0" fontId="45" fillId="17" borderId="4" xfId="0" applyFont="1" applyFill="1" applyBorder="1" applyAlignment="1">
      <alignment horizontal="center" vertical="center" wrapText="1"/>
    </xf>
    <xf numFmtId="0" fontId="41" fillId="0" borderId="0" xfId="0" applyFont="1"/>
    <xf numFmtId="0" fontId="41" fillId="0" borderId="0" xfId="0" applyFont="1" applyAlignment="1">
      <alignment vertical="center"/>
    </xf>
    <xf numFmtId="0" fontId="23" fillId="18" borderId="2" xfId="0" applyFont="1" applyFill="1" applyBorder="1" applyAlignment="1">
      <alignment vertical="top"/>
    </xf>
    <xf numFmtId="0" fontId="23" fillId="18" borderId="3" xfId="0" applyFont="1" applyFill="1" applyBorder="1" applyAlignment="1">
      <alignment vertical="top"/>
    </xf>
    <xf numFmtId="0" fontId="23" fillId="18" borderId="4" xfId="0" applyFont="1" applyFill="1" applyBorder="1" applyAlignment="1">
      <alignment vertical="top"/>
    </xf>
    <xf numFmtId="0" fontId="24" fillId="0" borderId="2" xfId="0" applyFont="1" applyBorder="1" applyAlignment="1">
      <alignment horizontal="left" vertical="center"/>
    </xf>
    <xf numFmtId="0" fontId="24" fillId="0" borderId="4" xfId="0" applyFont="1" applyBorder="1" applyAlignment="1">
      <alignment horizontal="left" vertical="center"/>
    </xf>
    <xf numFmtId="0" fontId="23" fillId="18" borderId="5" xfId="0" applyFont="1" applyFill="1" applyBorder="1"/>
    <xf numFmtId="0" fontId="23" fillId="18" borderId="6" xfId="0" applyFont="1" applyFill="1" applyBorder="1"/>
    <xf numFmtId="0" fontId="23" fillId="18" borderId="15" xfId="0" applyFont="1" applyFill="1" applyBorder="1"/>
    <xf numFmtId="0" fontId="23" fillId="0" borderId="2" xfId="0" applyFont="1" applyBorder="1" applyAlignment="1">
      <alignment horizontal="left" wrapText="1"/>
    </xf>
    <xf numFmtId="0" fontId="23" fillId="0" borderId="4" xfId="0" applyFont="1" applyBorder="1" applyAlignment="1">
      <alignment horizontal="left"/>
    </xf>
    <xf numFmtId="0" fontId="2" fillId="11" borderId="2" xfId="0" applyFont="1" applyFill="1" applyBorder="1" applyAlignment="1" applyProtection="1">
      <alignment vertical="center"/>
      <protection locked="0"/>
    </xf>
    <xf numFmtId="0" fontId="2" fillId="11" borderId="3" xfId="0" applyFont="1" applyFill="1" applyBorder="1" applyAlignment="1" applyProtection="1">
      <alignment vertical="center"/>
      <protection locked="0"/>
    </xf>
    <xf numFmtId="0" fontId="2" fillId="11" borderId="4" xfId="0" applyFont="1" applyFill="1" applyBorder="1" applyAlignment="1" applyProtection="1">
      <alignment vertical="center"/>
      <protection locked="0"/>
    </xf>
    <xf numFmtId="0" fontId="0" fillId="0" borderId="2" xfId="0" applyBorder="1" applyAlignment="1">
      <alignment horizontal="left" vertical="center"/>
    </xf>
    <xf numFmtId="0" fontId="0" fillId="0" borderId="4" xfId="0" applyBorder="1" applyAlignment="1">
      <alignment horizontal="left" vertical="center"/>
    </xf>
    <xf numFmtId="0" fontId="26" fillId="0" borderId="0" xfId="0" applyFont="1" applyProtection="1">
      <protection locked="0"/>
    </xf>
    <xf numFmtId="0" fontId="26" fillId="0" borderId="0" xfId="0" applyFont="1" applyAlignment="1" applyProtection="1">
      <alignment wrapText="1"/>
      <protection locked="0"/>
    </xf>
    <xf numFmtId="0" fontId="0" fillId="0" borderId="0" xfId="0" applyAlignment="1" applyProtection="1">
      <alignment wrapText="1"/>
      <protection locked="0"/>
    </xf>
    <xf numFmtId="0" fontId="23" fillId="18" borderId="2" xfId="0" applyFont="1" applyFill="1" applyBorder="1"/>
    <xf numFmtId="0" fontId="2" fillId="18" borderId="3" xfId="0" applyFont="1" applyFill="1" applyBorder="1"/>
    <xf numFmtId="0" fontId="2" fillId="18" borderId="4" xfId="0" applyFont="1" applyFill="1" applyBorder="1"/>
    <xf numFmtId="0" fontId="0" fillId="0" borderId="0" xfId="0"/>
    <xf numFmtId="0" fontId="0" fillId="19" borderId="2" xfId="0" applyFill="1" applyBorder="1" applyAlignment="1" applyProtection="1">
      <alignment horizontal="left" vertical="top" wrapText="1"/>
      <protection locked="0"/>
    </xf>
    <xf numFmtId="0" fontId="0" fillId="19" borderId="3" xfId="0" applyFill="1" applyBorder="1" applyAlignment="1" applyProtection="1">
      <alignment horizontal="left" vertical="top" wrapText="1"/>
      <protection locked="0"/>
    </xf>
    <xf numFmtId="0" fontId="0" fillId="19" borderId="4" xfId="0" applyFill="1" applyBorder="1" applyAlignment="1" applyProtection="1">
      <alignment horizontal="left" vertical="top" wrapText="1"/>
      <protection locked="0"/>
    </xf>
    <xf numFmtId="0" fontId="23" fillId="0" borderId="2" xfId="0" applyFont="1" applyBorder="1" applyAlignment="1">
      <alignment horizontal="left" vertical="center" wrapText="1"/>
    </xf>
    <xf numFmtId="0" fontId="23" fillId="0" borderId="4" xfId="0" applyFont="1" applyBorder="1" applyAlignment="1">
      <alignment horizontal="left" vertical="center" wrapText="1"/>
    </xf>
    <xf numFmtId="0" fontId="24" fillId="0" borderId="2" xfId="0" applyFont="1" applyBorder="1" applyAlignment="1">
      <alignment horizontal="left"/>
    </xf>
    <xf numFmtId="0" fontId="24" fillId="0" borderId="4" xfId="0" applyFont="1" applyBorder="1" applyAlignment="1">
      <alignment horizontal="left"/>
    </xf>
    <xf numFmtId="0" fontId="0" fillId="4" borderId="1" xfId="0" applyFill="1" applyBorder="1"/>
    <xf numFmtId="0" fontId="0" fillId="4" borderId="11" xfId="0" applyFill="1" applyBorder="1"/>
    <xf numFmtId="0" fontId="27" fillId="19" borderId="2" xfId="0" applyFont="1" applyFill="1" applyBorder="1" applyAlignment="1" applyProtection="1">
      <alignment horizontal="left" vertical="center"/>
      <protection locked="0"/>
    </xf>
    <xf numFmtId="0" fontId="27" fillId="19" borderId="3" xfId="0" applyFont="1" applyFill="1" applyBorder="1" applyAlignment="1" applyProtection="1">
      <alignment horizontal="left" vertical="center"/>
      <protection locked="0"/>
    </xf>
    <xf numFmtId="0" fontId="27" fillId="19" borderId="4" xfId="0" applyFont="1" applyFill="1" applyBorder="1" applyAlignment="1" applyProtection="1">
      <alignment horizontal="left" vertical="center"/>
      <protection locked="0"/>
    </xf>
    <xf numFmtId="0" fontId="114" fillId="0" borderId="0" xfId="0" applyFont="1" applyAlignment="1">
      <alignment horizontal="right" vertical="center" indent="1"/>
    </xf>
    <xf numFmtId="0" fontId="114" fillId="0" borderId="7" xfId="0" applyFont="1" applyBorder="1" applyAlignment="1">
      <alignment horizontal="right" vertical="center" indent="1"/>
    </xf>
    <xf numFmtId="164" fontId="108" fillId="3" borderId="2" xfId="0" applyNumberFormat="1" applyFont="1" applyFill="1" applyBorder="1" applyAlignment="1" applyProtection="1">
      <alignment horizontal="left" vertical="center"/>
      <protection locked="0"/>
    </xf>
    <xf numFmtId="164" fontId="108" fillId="3" borderId="3" xfId="0" applyNumberFormat="1" applyFont="1" applyFill="1" applyBorder="1" applyAlignment="1" applyProtection="1">
      <alignment horizontal="left" vertical="center"/>
      <protection locked="0"/>
    </xf>
    <xf numFmtId="164" fontId="108" fillId="3" borderId="4" xfId="0" applyNumberFormat="1" applyFont="1" applyFill="1" applyBorder="1" applyAlignment="1" applyProtection="1">
      <alignment horizontal="left" vertical="center"/>
      <protection locked="0"/>
    </xf>
    <xf numFmtId="0" fontId="7" fillId="0" borderId="0" xfId="0" applyFont="1" applyAlignment="1">
      <alignment horizontal="left" wrapText="1" indent="1"/>
    </xf>
    <xf numFmtId="0" fontId="18" fillId="5" borderId="0" xfId="0" applyFont="1" applyFill="1" applyAlignment="1">
      <alignment horizontal="left" vertical="center" wrapText="1"/>
    </xf>
    <xf numFmtId="0" fontId="7" fillId="5" borderId="0" xfId="0" applyFont="1" applyFill="1" applyAlignment="1">
      <alignment horizontal="left" vertical="center" wrapText="1"/>
    </xf>
    <xf numFmtId="0" fontId="79" fillId="5" borderId="9" xfId="0" applyFont="1" applyFill="1" applyBorder="1" applyAlignment="1">
      <alignment horizontal="center" vertical="center"/>
    </xf>
    <xf numFmtId="0" fontId="108" fillId="3" borderId="2" xfId="0" applyFont="1" applyFill="1" applyBorder="1" applyAlignment="1" applyProtection="1">
      <alignment horizontal="left" vertical="center"/>
      <protection locked="0"/>
    </xf>
    <xf numFmtId="0" fontId="108" fillId="3" borderId="3" xfId="0" applyFont="1" applyFill="1" applyBorder="1" applyAlignment="1" applyProtection="1">
      <alignment horizontal="left" vertical="center"/>
      <protection locked="0"/>
    </xf>
    <xf numFmtId="0" fontId="108" fillId="3" borderId="4" xfId="0" applyFont="1" applyFill="1" applyBorder="1" applyAlignment="1" applyProtection="1">
      <alignment horizontal="left" vertical="center"/>
      <protection locked="0"/>
    </xf>
    <xf numFmtId="0" fontId="114" fillId="0" borderId="0" xfId="0" applyFont="1" applyAlignment="1">
      <alignment horizontal="center" vertical="center"/>
    </xf>
    <xf numFmtId="0" fontId="17" fillId="5" borderId="0" xfId="0" applyFont="1" applyFill="1" applyAlignment="1">
      <alignment horizontal="left" vertical="center" wrapText="1"/>
    </xf>
    <xf numFmtId="0" fontId="79" fillId="5" borderId="0" xfId="0" applyFont="1" applyFill="1" applyAlignment="1">
      <alignment horizontal="center" vertical="center"/>
    </xf>
    <xf numFmtId="0" fontId="81" fillId="0" borderId="8" xfId="0" applyFont="1" applyBorder="1" applyAlignment="1">
      <alignment horizontal="left" vertical="center" wrapText="1"/>
    </xf>
    <xf numFmtId="0" fontId="81" fillId="0" borderId="0" xfId="0" applyFont="1" applyAlignment="1">
      <alignment horizontal="left" vertical="center" wrapText="1"/>
    </xf>
    <xf numFmtId="0" fontId="108" fillId="3" borderId="2" xfId="0" applyFont="1" applyFill="1" applyBorder="1" applyAlignment="1" applyProtection="1">
      <alignment horizontal="center" vertical="center"/>
      <protection locked="0"/>
    </xf>
    <xf numFmtId="0" fontId="108" fillId="3" borderId="3" xfId="0" applyFont="1" applyFill="1" applyBorder="1" applyAlignment="1" applyProtection="1">
      <alignment horizontal="center" vertical="center"/>
      <protection locked="0"/>
    </xf>
    <xf numFmtId="0" fontId="108" fillId="3" borderId="4" xfId="0" applyFont="1" applyFill="1" applyBorder="1" applyAlignment="1" applyProtection="1">
      <alignment horizontal="center" vertical="center"/>
      <protection locked="0"/>
    </xf>
    <xf numFmtId="0" fontId="0" fillId="22" borderId="0" xfId="0" applyFill="1" applyAlignment="1">
      <alignment horizontal="center"/>
    </xf>
    <xf numFmtId="0" fontId="78" fillId="25" borderId="0" xfId="0" applyFont="1" applyFill="1" applyAlignment="1">
      <alignment horizontal="center" vertical="center" wrapText="1"/>
    </xf>
    <xf numFmtId="0" fontId="77" fillId="24" borderId="0" xfId="0" applyFont="1" applyFill="1" applyAlignment="1">
      <alignment horizontal="center" vertical="center"/>
    </xf>
    <xf numFmtId="0" fontId="11" fillId="24" borderId="0" xfId="0" applyFont="1" applyFill="1" applyAlignment="1">
      <alignment horizontal="center" vertical="center"/>
    </xf>
    <xf numFmtId="0" fontId="96" fillId="0" borderId="8" xfId="0" applyFont="1" applyBorder="1" applyAlignment="1">
      <alignment horizontal="right" vertical="center" indent="1"/>
    </xf>
    <xf numFmtId="0" fontId="96" fillId="0" borderId="7" xfId="0" applyFont="1" applyBorder="1" applyAlignment="1">
      <alignment horizontal="right" vertical="center" indent="1"/>
    </xf>
    <xf numFmtId="0" fontId="55" fillId="0" borderId="0" xfId="0" applyFont="1" applyAlignment="1">
      <alignment horizontal="center" vertical="center" wrapText="1"/>
    </xf>
    <xf numFmtId="0" fontId="72" fillId="3" borderId="2" xfId="0" applyFont="1" applyFill="1" applyBorder="1" applyAlignment="1" applyProtection="1">
      <alignment horizontal="center" vertical="center"/>
      <protection locked="0"/>
    </xf>
    <xf numFmtId="0" fontId="72" fillId="3" borderId="3" xfId="0" applyFont="1" applyFill="1" applyBorder="1" applyAlignment="1" applyProtection="1">
      <alignment horizontal="center" vertical="center"/>
      <protection locked="0"/>
    </xf>
    <xf numFmtId="0" fontId="72" fillId="3" borderId="4" xfId="0" applyFont="1" applyFill="1" applyBorder="1" applyAlignment="1" applyProtection="1">
      <alignment horizontal="center" vertical="center"/>
      <protection locked="0"/>
    </xf>
    <xf numFmtId="0" fontId="114" fillId="0" borderId="7" xfId="0" applyFont="1" applyBorder="1" applyAlignment="1">
      <alignment horizontal="center" vertical="center"/>
    </xf>
    <xf numFmtId="0" fontId="65" fillId="2" borderId="2" xfId="0" applyFont="1" applyFill="1" applyBorder="1" applyAlignment="1">
      <alignment vertical="center"/>
    </xf>
    <xf numFmtId="0" fontId="65" fillId="2" borderId="3" xfId="0" applyFont="1" applyFill="1" applyBorder="1" applyAlignment="1">
      <alignment vertical="center"/>
    </xf>
    <xf numFmtId="0" fontId="65" fillId="2" borderId="4" xfId="0" applyFont="1" applyFill="1" applyBorder="1" applyAlignment="1">
      <alignment vertical="center"/>
    </xf>
    <xf numFmtId="0" fontId="72" fillId="6" borderId="2" xfId="0" applyFont="1" applyFill="1" applyBorder="1" applyAlignment="1">
      <alignment horizontal="center" vertical="center"/>
    </xf>
    <xf numFmtId="0" fontId="72" fillId="6" borderId="3" xfId="0" applyFont="1" applyFill="1" applyBorder="1" applyAlignment="1">
      <alignment horizontal="center" vertical="center"/>
    </xf>
    <xf numFmtId="0" fontId="72" fillId="6" borderId="4" xfId="0" applyFont="1" applyFill="1" applyBorder="1" applyAlignment="1">
      <alignment horizontal="center" vertical="center"/>
    </xf>
    <xf numFmtId="0" fontId="88" fillId="0" borderId="10" xfId="0" applyFont="1" applyBorder="1" applyAlignment="1">
      <alignment horizontal="center" vertical="center"/>
    </xf>
    <xf numFmtId="0" fontId="88" fillId="0" borderId="13" xfId="0" applyFont="1" applyBorder="1" applyAlignment="1">
      <alignment horizontal="center" vertical="center"/>
    </xf>
    <xf numFmtId="0" fontId="88" fillId="0" borderId="11" xfId="0" applyFont="1" applyBorder="1" applyAlignment="1">
      <alignment horizontal="center" vertical="center"/>
    </xf>
    <xf numFmtId="0" fontId="87" fillId="0" borderId="14" xfId="0" applyFont="1" applyBorder="1" applyAlignment="1">
      <alignment horizontal="left" vertical="center" wrapText="1"/>
    </xf>
    <xf numFmtId="0" fontId="87" fillId="0" borderId="12" xfId="0" applyFont="1" applyBorder="1" applyAlignment="1">
      <alignment horizontal="left" vertical="center" wrapText="1"/>
    </xf>
    <xf numFmtId="0" fontId="87" fillId="0" borderId="16" xfId="0" applyFont="1" applyBorder="1" applyAlignment="1">
      <alignment horizontal="left" vertical="center" wrapText="1"/>
    </xf>
    <xf numFmtId="0" fontId="87" fillId="0" borderId="8" xfId="0" applyFont="1" applyBorder="1" applyAlignment="1">
      <alignment horizontal="left" vertical="center" wrapText="1"/>
    </xf>
    <xf numFmtId="0" fontId="87" fillId="0" borderId="0" xfId="0" applyFont="1" applyAlignment="1">
      <alignment horizontal="left" vertical="center" wrapText="1"/>
    </xf>
    <xf numFmtId="0" fontId="87" fillId="0" borderId="7" xfId="0" applyFont="1" applyBorder="1" applyAlignment="1">
      <alignment horizontal="left" vertical="center" wrapText="1"/>
    </xf>
    <xf numFmtId="0" fontId="87" fillId="0" borderId="5" xfId="0" applyFont="1" applyBorder="1" applyAlignment="1">
      <alignment horizontal="left" vertical="center" wrapText="1"/>
    </xf>
    <xf numFmtId="0" fontId="87" fillId="0" borderId="6" xfId="0" applyFont="1" applyBorder="1" applyAlignment="1">
      <alignment horizontal="left" vertical="center" wrapText="1"/>
    </xf>
    <xf numFmtId="0" fontId="87" fillId="0" borderId="15" xfId="0" applyFont="1" applyBorder="1" applyAlignment="1">
      <alignment horizontal="left" vertical="center" wrapText="1"/>
    </xf>
    <xf numFmtId="0" fontId="87" fillId="26" borderId="10" xfId="0" applyFont="1" applyFill="1" applyBorder="1" applyAlignment="1" applyProtection="1">
      <alignment vertical="center"/>
      <protection locked="0"/>
    </xf>
    <xf numFmtId="0" fontId="87" fillId="26" borderId="11" xfId="0" applyFont="1" applyFill="1" applyBorder="1" applyAlignment="1" applyProtection="1">
      <alignment vertical="center"/>
      <protection locked="0"/>
    </xf>
    <xf numFmtId="0" fontId="68" fillId="6" borderId="14" xfId="0" applyFont="1" applyFill="1" applyBorder="1" applyAlignment="1">
      <alignment horizontal="right" vertical="center" wrapText="1"/>
    </xf>
    <xf numFmtId="0" fontId="68" fillId="6" borderId="16" xfId="0" applyFont="1" applyFill="1" applyBorder="1" applyAlignment="1">
      <alignment horizontal="right" vertical="center" wrapText="1"/>
    </xf>
    <xf numFmtId="0" fontId="87" fillId="0" borderId="1" xfId="0" applyFont="1" applyBorder="1" applyAlignment="1">
      <alignment horizontal="left" vertical="center" wrapText="1"/>
    </xf>
    <xf numFmtId="0" fontId="87" fillId="3" borderId="1" xfId="0" applyFont="1" applyFill="1" applyBorder="1" applyAlignment="1" applyProtection="1">
      <alignment horizontal="left" vertical="top" wrapText="1"/>
      <protection locked="0"/>
    </xf>
    <xf numFmtId="0" fontId="87" fillId="26" borderId="1" xfId="0" applyFont="1" applyFill="1" applyBorder="1" applyAlignment="1">
      <alignment horizontal="left" vertical="center" wrapText="1"/>
    </xf>
    <xf numFmtId="0" fontId="87" fillId="3" borderId="2" xfId="0" applyFont="1" applyFill="1" applyBorder="1" applyAlignment="1">
      <alignment horizontal="left" vertical="top" wrapText="1"/>
    </xf>
    <xf numFmtId="0" fontId="87" fillId="3" borderId="3" xfId="0" applyFont="1" applyFill="1" applyBorder="1" applyAlignment="1">
      <alignment horizontal="left" vertical="top" wrapText="1"/>
    </xf>
    <xf numFmtId="0" fontId="87" fillId="3" borderId="4" xfId="0" applyFont="1" applyFill="1" applyBorder="1" applyAlignment="1">
      <alignment horizontal="left" vertical="top" wrapText="1"/>
    </xf>
    <xf numFmtId="0" fontId="87" fillId="26" borderId="10" xfId="0" applyFont="1" applyFill="1" applyBorder="1" applyAlignment="1" applyProtection="1">
      <alignment horizontal="center" vertical="center"/>
      <protection locked="0"/>
    </xf>
    <xf numFmtId="0" fontId="87" fillId="26" borderId="11" xfId="0" applyFont="1" applyFill="1" applyBorder="1" applyAlignment="1" applyProtection="1">
      <alignment horizontal="center" vertical="center"/>
      <protection locked="0"/>
    </xf>
    <xf numFmtId="0" fontId="87" fillId="26" borderId="10" xfId="0" applyFont="1" applyFill="1" applyBorder="1" applyAlignment="1">
      <alignment vertical="center" wrapText="1"/>
    </xf>
    <xf numFmtId="0" fontId="87" fillId="26" borderId="11" xfId="0" applyFont="1" applyFill="1" applyBorder="1" applyAlignment="1">
      <alignment vertical="center" wrapText="1"/>
    </xf>
    <xf numFmtId="0" fontId="17" fillId="0" borderId="14" xfId="0" applyFont="1" applyBorder="1" applyAlignment="1">
      <alignment horizontal="left" vertical="center" wrapText="1"/>
    </xf>
    <xf numFmtId="0" fontId="17" fillId="0" borderId="12" xfId="0" applyFont="1" applyBorder="1" applyAlignment="1">
      <alignment horizontal="left" vertical="center" wrapText="1"/>
    </xf>
    <xf numFmtId="0" fontId="17" fillId="0" borderId="16"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15" xfId="0" applyFont="1" applyBorder="1" applyAlignment="1">
      <alignment horizontal="left" vertical="center" wrapText="1"/>
    </xf>
    <xf numFmtId="0" fontId="87" fillId="0" borderId="2" xfId="0" applyFont="1" applyBorder="1" applyAlignment="1">
      <alignment horizontal="left" vertical="center" wrapText="1"/>
    </xf>
    <xf numFmtId="0" fontId="87" fillId="0" borderId="3" xfId="0" applyFont="1" applyBorder="1" applyAlignment="1">
      <alignment horizontal="left" vertical="center" wrapText="1"/>
    </xf>
    <xf numFmtId="0" fontId="87" fillId="0" borderId="4" xfId="0" applyFont="1" applyBorder="1" applyAlignment="1">
      <alignment horizontal="left" vertical="center" wrapText="1"/>
    </xf>
    <xf numFmtId="0" fontId="87" fillId="3" borderId="2" xfId="0" applyFont="1" applyFill="1" applyBorder="1" applyAlignment="1" applyProtection="1">
      <alignment horizontal="left" vertical="top" wrapText="1"/>
      <protection locked="0"/>
    </xf>
    <xf numFmtId="0" fontId="87" fillId="3" borderId="3" xfId="0" applyFont="1" applyFill="1" applyBorder="1" applyAlignment="1" applyProtection="1">
      <alignment horizontal="left" vertical="top" wrapText="1"/>
      <protection locked="0"/>
    </xf>
    <xf numFmtId="0" fontId="87" fillId="3" borderId="4" xfId="0" applyFont="1" applyFill="1" applyBorder="1" applyAlignment="1" applyProtection="1">
      <alignment horizontal="left" vertical="top" wrapText="1"/>
      <protection locked="0"/>
    </xf>
    <xf numFmtId="0" fontId="87" fillId="3" borderId="10" xfId="0" applyFont="1" applyFill="1" applyBorder="1" applyAlignment="1" applyProtection="1">
      <alignment horizontal="center" vertical="center"/>
      <protection locked="0"/>
    </xf>
    <xf numFmtId="0" fontId="87" fillId="3" borderId="11" xfId="0" applyFont="1" applyFill="1" applyBorder="1" applyAlignment="1" applyProtection="1">
      <alignment horizontal="center" vertical="center"/>
      <protection locked="0"/>
    </xf>
    <xf numFmtId="0" fontId="122" fillId="6" borderId="2" xfId="0" applyFont="1" applyFill="1" applyBorder="1" applyAlignment="1">
      <alignment horizontal="center" vertical="center" wrapText="1"/>
    </xf>
    <xf numFmtId="0" fontId="122" fillId="6" borderId="4" xfId="0" applyFont="1" applyFill="1" applyBorder="1" applyAlignment="1">
      <alignment horizontal="center" vertical="center" wrapText="1"/>
    </xf>
    <xf numFmtId="0" fontId="88" fillId="0" borderId="14" xfId="0" applyFont="1" applyBorder="1" applyAlignment="1">
      <alignment horizontal="center" vertical="center"/>
    </xf>
    <xf numFmtId="0" fontId="88" fillId="0" borderId="8" xfId="0" applyFont="1" applyBorder="1" applyAlignment="1">
      <alignment horizontal="center" vertical="center"/>
    </xf>
    <xf numFmtId="0" fontId="88" fillId="0" borderId="5" xfId="0" applyFont="1" applyBorder="1" applyAlignment="1">
      <alignment horizontal="center" vertical="center"/>
    </xf>
    <xf numFmtId="0" fontId="69" fillId="0" borderId="8" xfId="0" applyFont="1" applyBorder="1" applyAlignment="1">
      <alignment horizontal="left" vertical="center" wrapText="1"/>
    </xf>
    <xf numFmtId="0" fontId="69" fillId="0" borderId="0" xfId="0" applyFont="1" applyAlignment="1">
      <alignment horizontal="left" vertical="center" wrapText="1"/>
    </xf>
    <xf numFmtId="0" fontId="87" fillId="23" borderId="2" xfId="0" applyFont="1" applyFill="1" applyBorder="1" applyAlignment="1">
      <alignment horizontal="left" vertical="center" wrapText="1"/>
    </xf>
    <xf numFmtId="0" fontId="87" fillId="23" borderId="4" xfId="0" applyFont="1" applyFill="1" applyBorder="1" applyAlignment="1">
      <alignment horizontal="left" vertical="center" wrapText="1"/>
    </xf>
    <xf numFmtId="0" fontId="87" fillId="3" borderId="14" xfId="0" applyFont="1" applyFill="1" applyBorder="1" applyAlignment="1" applyProtection="1">
      <alignment horizontal="left" vertical="top" wrapText="1"/>
      <protection locked="0"/>
    </xf>
    <xf numFmtId="0" fontId="87" fillId="3" borderId="12" xfId="0" applyFont="1" applyFill="1" applyBorder="1" applyAlignment="1" applyProtection="1">
      <alignment horizontal="left" vertical="top" wrapText="1"/>
      <protection locked="0"/>
    </xf>
    <xf numFmtId="0" fontId="87" fillId="3" borderId="16" xfId="0" applyFont="1" applyFill="1" applyBorder="1" applyAlignment="1" applyProtection="1">
      <alignment horizontal="left" vertical="top" wrapText="1"/>
      <protection locked="0"/>
    </xf>
    <xf numFmtId="0" fontId="87" fillId="3" borderId="13" xfId="0" applyFont="1" applyFill="1" applyBorder="1" applyAlignment="1" applyProtection="1">
      <alignment horizontal="center" vertical="center"/>
      <protection locked="0"/>
    </xf>
    <xf numFmtId="0" fontId="87" fillId="3" borderId="0" xfId="0" applyFont="1" applyFill="1" applyAlignment="1" applyProtection="1">
      <alignment horizontal="left" vertical="top" wrapText="1"/>
      <protection locked="0"/>
    </xf>
    <xf numFmtId="0" fontId="87" fillId="3" borderId="7" xfId="0" applyFont="1" applyFill="1" applyBorder="1" applyAlignment="1" applyProtection="1">
      <alignment horizontal="left" vertical="top" wrapText="1"/>
      <protection locked="0"/>
    </xf>
    <xf numFmtId="0" fontId="87" fillId="3" borderId="0" xfId="0" applyFont="1" applyFill="1" applyAlignment="1" applyProtection="1">
      <alignment horizontal="center" vertical="center"/>
      <protection locked="0"/>
    </xf>
    <xf numFmtId="0" fontId="87" fillId="3" borderId="5" xfId="0" applyFont="1" applyFill="1" applyBorder="1" applyAlignment="1" applyProtection="1">
      <alignment horizontal="left" vertical="top" wrapText="1"/>
      <protection locked="0"/>
    </xf>
    <xf numFmtId="0" fontId="87" fillId="3" borderId="6" xfId="0" applyFont="1" applyFill="1" applyBorder="1" applyAlignment="1" applyProtection="1">
      <alignment horizontal="left" vertical="top" wrapText="1"/>
      <protection locked="0"/>
    </xf>
    <xf numFmtId="0" fontId="87" fillId="3" borderId="15" xfId="0" applyFont="1" applyFill="1" applyBorder="1" applyAlignment="1" applyProtection="1">
      <alignment horizontal="left" vertical="top" wrapText="1"/>
      <protection locked="0"/>
    </xf>
    <xf numFmtId="0" fontId="65" fillId="2" borderId="0" xfId="0" applyFont="1" applyFill="1" applyAlignment="1">
      <alignment vertical="center"/>
    </xf>
    <xf numFmtId="0" fontId="87" fillId="26" borderId="10" xfId="0" applyFont="1" applyFill="1" applyBorder="1" applyAlignment="1">
      <alignment horizontal="left" vertical="center" wrapText="1"/>
    </xf>
    <xf numFmtId="0" fontId="87" fillId="26" borderId="13" xfId="0" applyFont="1" applyFill="1" applyBorder="1" applyAlignment="1">
      <alignment horizontal="left" vertical="center" wrapText="1"/>
    </xf>
    <xf numFmtId="0" fontId="87" fillId="26" borderId="11" xfId="0" applyFont="1" applyFill="1" applyBorder="1" applyAlignment="1">
      <alignment horizontal="left" vertical="center" wrapText="1"/>
    </xf>
    <xf numFmtId="0" fontId="87" fillId="26" borderId="13" xfId="0" applyFont="1" applyFill="1" applyBorder="1" applyAlignment="1" applyProtection="1">
      <alignment horizontal="center" vertical="center"/>
      <protection locked="0"/>
    </xf>
    <xf numFmtId="0" fontId="122" fillId="0" borderId="2" xfId="0" applyFont="1" applyBorder="1" applyAlignment="1">
      <alignment horizontal="right" vertical="center" wrapText="1"/>
    </xf>
    <xf numFmtId="0" fontId="122" fillId="0" borderId="4" xfId="0" applyFont="1" applyBorder="1" applyAlignment="1">
      <alignment horizontal="right" vertical="center" wrapText="1"/>
    </xf>
    <xf numFmtId="0" fontId="65" fillId="2" borderId="2" xfId="0" applyFont="1" applyFill="1" applyBorder="1" applyAlignment="1">
      <alignment vertical="center" wrapText="1"/>
    </xf>
    <xf numFmtId="0" fontId="65" fillId="2" borderId="2" xfId="0" applyFont="1" applyFill="1" applyBorder="1" applyAlignment="1">
      <alignment horizontal="left" vertical="center" wrapText="1" indent="2"/>
    </xf>
    <xf numFmtId="0" fontId="65" fillId="2" borderId="12" xfId="0" applyFont="1" applyFill="1" applyBorder="1" applyAlignment="1">
      <alignment horizontal="left" vertical="center" indent="2"/>
    </xf>
    <xf numFmtId="0" fontId="65" fillId="2" borderId="16" xfId="0" applyFont="1" applyFill="1" applyBorder="1" applyAlignment="1">
      <alignment horizontal="left" vertical="center" indent="2"/>
    </xf>
    <xf numFmtId="0" fontId="122" fillId="0" borderId="5" xfId="0" applyFont="1" applyBorder="1" applyAlignment="1">
      <alignment horizontal="left" vertical="center" wrapText="1"/>
    </xf>
    <xf numFmtId="0" fontId="122" fillId="0" borderId="6" xfId="0" applyFont="1" applyBorder="1" applyAlignment="1">
      <alignment horizontal="left" vertical="center" wrapText="1"/>
    </xf>
    <xf numFmtId="0" fontId="87" fillId="6" borderId="2" xfId="0" applyFont="1" applyFill="1" applyBorder="1" applyAlignment="1">
      <alignment horizontal="left" vertical="center" wrapText="1"/>
    </xf>
    <xf numFmtId="0" fontId="87" fillId="6" borderId="3" xfId="0" applyFont="1" applyFill="1" applyBorder="1" applyAlignment="1">
      <alignment horizontal="left" vertical="center" wrapText="1"/>
    </xf>
    <xf numFmtId="0" fontId="87" fillId="6" borderId="4" xfId="0" applyFont="1" applyFill="1" applyBorder="1" applyAlignment="1">
      <alignment horizontal="left" vertical="center" wrapText="1"/>
    </xf>
    <xf numFmtId="0" fontId="88" fillId="0" borderId="10" xfId="0" applyFont="1" applyBorder="1" applyAlignment="1">
      <alignment horizontal="center" vertical="center" wrapText="1"/>
    </xf>
    <xf numFmtId="0" fontId="88" fillId="0" borderId="13" xfId="0" applyFont="1" applyBorder="1" applyAlignment="1">
      <alignment horizontal="center" vertical="center" wrapText="1"/>
    </xf>
    <xf numFmtId="0" fontId="88" fillId="0" borderId="11" xfId="0" applyFont="1" applyBorder="1" applyAlignment="1">
      <alignment horizontal="center" vertical="center" wrapText="1"/>
    </xf>
    <xf numFmtId="0" fontId="87" fillId="26" borderId="2" xfId="0" applyFont="1" applyFill="1" applyBorder="1" applyAlignment="1">
      <alignment horizontal="left" vertical="center" wrapText="1"/>
    </xf>
    <xf numFmtId="0" fontId="87" fillId="26" borderId="4" xfId="0" applyFont="1" applyFill="1" applyBorder="1" applyAlignment="1">
      <alignment horizontal="left" vertical="center" wrapText="1"/>
    </xf>
    <xf numFmtId="0" fontId="87" fillId="3" borderId="2" xfId="0" applyFont="1" applyFill="1" applyBorder="1" applyAlignment="1">
      <alignment horizontal="left" vertical="center" wrapText="1"/>
    </xf>
    <xf numFmtId="0" fontId="87" fillId="3" borderId="3" xfId="0" applyFont="1" applyFill="1" applyBorder="1" applyAlignment="1">
      <alignment horizontal="left" vertical="center" wrapText="1"/>
    </xf>
    <xf numFmtId="0" fontId="87" fillId="3" borderId="4" xfId="0" applyFont="1" applyFill="1" applyBorder="1" applyAlignment="1">
      <alignment horizontal="left" vertical="center" wrapText="1"/>
    </xf>
    <xf numFmtId="0" fontId="87" fillId="7" borderId="14" xfId="0" applyFont="1" applyFill="1" applyBorder="1" applyAlignment="1">
      <alignment horizontal="center" vertical="center" wrapText="1"/>
    </xf>
    <xf numFmtId="0" fontId="87" fillId="7" borderId="16" xfId="0" applyFont="1" applyFill="1" applyBorder="1" applyAlignment="1">
      <alignment horizontal="center" vertical="center" wrapText="1"/>
    </xf>
    <xf numFmtId="0" fontId="87" fillId="7" borderId="5" xfId="0" applyFont="1" applyFill="1" applyBorder="1" applyAlignment="1">
      <alignment horizontal="center" vertical="center" wrapText="1"/>
    </xf>
    <xf numFmtId="0" fontId="87" fillId="7" borderId="15" xfId="0" applyFont="1" applyFill="1" applyBorder="1" applyAlignment="1">
      <alignment horizontal="center" vertical="center" wrapText="1"/>
    </xf>
    <xf numFmtId="0" fontId="87" fillId="3" borderId="8" xfId="0" applyFont="1" applyFill="1" applyBorder="1" applyAlignment="1" applyProtection="1">
      <alignment horizontal="left" vertical="top" wrapText="1"/>
      <protection locked="0"/>
    </xf>
    <xf numFmtId="0" fontId="87" fillId="3" borderId="14" xfId="0" applyFont="1" applyFill="1" applyBorder="1" applyAlignment="1" applyProtection="1">
      <alignment horizontal="center" vertical="center"/>
      <protection locked="0"/>
    </xf>
    <xf numFmtId="0" fontId="87" fillId="3" borderId="8" xfId="0" applyFont="1" applyFill="1" applyBorder="1" applyAlignment="1" applyProtection="1">
      <alignment horizontal="center" vertical="center"/>
      <protection locked="0"/>
    </xf>
    <xf numFmtId="0" fontId="87" fillId="7" borderId="2" xfId="0" applyFont="1" applyFill="1" applyBorder="1" applyAlignment="1">
      <alignment horizontal="left" vertical="center" wrapText="1"/>
    </xf>
    <xf numFmtId="0" fontId="87" fillId="7" borderId="4" xfId="0" applyFont="1" applyFill="1" applyBorder="1" applyAlignment="1">
      <alignment horizontal="left" vertical="center" wrapText="1"/>
    </xf>
    <xf numFmtId="0" fontId="87" fillId="3" borderId="14" xfId="0" applyFont="1" applyFill="1" applyBorder="1" applyAlignment="1" applyProtection="1">
      <alignment vertical="top" wrapText="1"/>
      <protection locked="0"/>
    </xf>
    <xf numFmtId="0" fontId="87" fillId="3" borderId="12" xfId="0" applyFont="1" applyFill="1" applyBorder="1" applyAlignment="1" applyProtection="1">
      <alignment vertical="top" wrapText="1"/>
      <protection locked="0"/>
    </xf>
    <xf numFmtId="0" fontId="87" fillId="3" borderId="16" xfId="0" applyFont="1" applyFill="1" applyBorder="1" applyAlignment="1" applyProtection="1">
      <alignment vertical="top" wrapText="1"/>
      <protection locked="0"/>
    </xf>
    <xf numFmtId="0" fontId="87" fillId="3" borderId="8" xfId="0" applyFont="1" applyFill="1" applyBorder="1" applyAlignment="1" applyProtection="1">
      <alignment vertical="top" wrapText="1"/>
      <protection locked="0"/>
    </xf>
    <xf numFmtId="0" fontId="87" fillId="3" borderId="0" xfId="0" applyFont="1" applyFill="1" applyAlignment="1" applyProtection="1">
      <alignment vertical="top" wrapText="1"/>
      <protection locked="0"/>
    </xf>
    <xf numFmtId="0" fontId="87" fillId="3" borderId="7" xfId="0" applyFont="1" applyFill="1" applyBorder="1" applyAlignment="1" applyProtection="1">
      <alignment vertical="top" wrapText="1"/>
      <protection locked="0"/>
    </xf>
    <xf numFmtId="0" fontId="64" fillId="3" borderId="14" xfId="0" applyFont="1" applyFill="1" applyBorder="1" applyAlignment="1" applyProtection="1">
      <alignment horizontal="left" vertical="top" wrapText="1"/>
      <protection locked="0"/>
    </xf>
    <xf numFmtId="0" fontId="64" fillId="3" borderId="12" xfId="0" applyFont="1" applyFill="1" applyBorder="1" applyAlignment="1" applyProtection="1">
      <alignment horizontal="left" vertical="top" wrapText="1"/>
      <protection locked="0"/>
    </xf>
    <xf numFmtId="0" fontId="64" fillId="3" borderId="16" xfId="0" applyFont="1" applyFill="1" applyBorder="1" applyAlignment="1" applyProtection="1">
      <alignment horizontal="left" vertical="top" wrapText="1"/>
      <protection locked="0"/>
    </xf>
    <xf numFmtId="0" fontId="64" fillId="3" borderId="5" xfId="0" applyFont="1" applyFill="1" applyBorder="1" applyAlignment="1" applyProtection="1">
      <alignment horizontal="left" vertical="top" wrapText="1"/>
      <protection locked="0"/>
    </xf>
    <xf numFmtId="0" fontId="64" fillId="3" borderId="6" xfId="0" applyFont="1" applyFill="1" applyBorder="1" applyAlignment="1" applyProtection="1">
      <alignment horizontal="left" vertical="top" wrapText="1"/>
      <protection locked="0"/>
    </xf>
    <xf numFmtId="0" fontId="64" fillId="3" borderId="15" xfId="0" applyFont="1" applyFill="1" applyBorder="1" applyAlignment="1" applyProtection="1">
      <alignment horizontal="left" vertical="top" wrapText="1"/>
      <protection locked="0"/>
    </xf>
    <xf numFmtId="0" fontId="69" fillId="0" borderId="10" xfId="0" applyFont="1" applyBorder="1" applyAlignment="1">
      <alignment horizontal="center" vertical="center"/>
    </xf>
    <xf numFmtId="0" fontId="69" fillId="0" borderId="11" xfId="0" applyFont="1" applyBorder="1" applyAlignment="1">
      <alignment horizontal="center" vertical="center"/>
    </xf>
    <xf numFmtId="0" fontId="24" fillId="0" borderId="1" xfId="0" applyFont="1" applyBorder="1" applyAlignment="1">
      <alignment horizontal="left" vertical="center" wrapText="1"/>
    </xf>
    <xf numFmtId="0" fontId="24" fillId="0" borderId="12" xfId="0" applyFont="1" applyBorder="1" applyAlignment="1">
      <alignment horizontal="left" vertical="center" wrapText="1"/>
    </xf>
    <xf numFmtId="0" fontId="24" fillId="0" borderId="16" xfId="0" applyFont="1" applyBorder="1" applyAlignment="1">
      <alignment horizontal="left" vertical="center" wrapText="1"/>
    </xf>
    <xf numFmtId="0" fontId="24" fillId="3" borderId="14" xfId="0" applyFont="1" applyFill="1" applyBorder="1" applyAlignment="1" applyProtection="1">
      <alignment horizontal="left" vertical="top" wrapText="1"/>
      <protection locked="0"/>
    </xf>
    <xf numFmtId="0" fontId="24" fillId="3" borderId="12" xfId="0" applyFont="1" applyFill="1" applyBorder="1" applyAlignment="1" applyProtection="1">
      <alignment horizontal="left" vertical="top" wrapText="1"/>
      <protection locked="0"/>
    </xf>
    <xf numFmtId="0" fontId="24" fillId="3" borderId="16" xfId="0" applyFont="1" applyFill="1" applyBorder="1" applyAlignment="1" applyProtection="1">
      <alignment horizontal="left" vertical="top" wrapText="1"/>
      <protection locked="0"/>
    </xf>
    <xf numFmtId="0" fontId="17" fillId="0" borderId="14" xfId="0" applyFont="1" applyBorder="1" applyAlignment="1">
      <alignment vertical="center" wrapText="1"/>
    </xf>
    <xf numFmtId="0" fontId="17" fillId="0" borderId="12" xfId="0" applyFont="1" applyBorder="1" applyAlignment="1">
      <alignment vertical="center" wrapText="1"/>
    </xf>
    <xf numFmtId="0" fontId="17" fillId="0" borderId="16" xfId="0" applyFont="1" applyBorder="1" applyAlignment="1">
      <alignment vertical="center" wrapText="1"/>
    </xf>
    <xf numFmtId="0" fontId="17" fillId="0" borderId="5" xfId="0" applyFont="1" applyBorder="1" applyAlignment="1">
      <alignment vertical="center" wrapText="1"/>
    </xf>
    <xf numFmtId="0" fontId="17" fillId="0" borderId="6" xfId="0" applyFont="1" applyBorder="1" applyAlignment="1">
      <alignment vertical="center" wrapText="1"/>
    </xf>
    <xf numFmtId="0" fontId="17" fillId="0" borderId="15" xfId="0" applyFont="1" applyBorder="1" applyAlignment="1">
      <alignment vertical="center" wrapText="1"/>
    </xf>
    <xf numFmtId="0" fontId="87" fillId="3" borderId="12" xfId="0" applyFont="1" applyFill="1" applyBorder="1" applyAlignment="1" applyProtection="1">
      <alignment horizontal="center" vertical="center"/>
      <protection locked="0"/>
    </xf>
    <xf numFmtId="0" fontId="87" fillId="26" borderId="13" xfId="0" applyFont="1" applyFill="1" applyBorder="1" applyAlignment="1">
      <alignment vertical="center" wrapText="1"/>
    </xf>
    <xf numFmtId="0" fontId="72" fillId="6" borderId="0" xfId="0" applyFont="1" applyFill="1" applyAlignment="1">
      <alignment horizontal="center" vertical="center" wrapText="1"/>
    </xf>
    <xf numFmtId="0" fontId="40" fillId="6" borderId="0" xfId="0" applyFont="1" applyFill="1" applyAlignment="1">
      <alignment horizontal="center" vertical="center"/>
    </xf>
    <xf numFmtId="0" fontId="87" fillId="3" borderId="5" xfId="0" applyFont="1" applyFill="1" applyBorder="1" applyAlignment="1" applyProtection="1">
      <alignment horizontal="center" vertical="center"/>
      <protection locked="0"/>
    </xf>
    <xf numFmtId="0" fontId="0" fillId="3" borderId="14" xfId="0" applyFill="1" applyBorder="1" applyAlignment="1" applyProtection="1">
      <alignment horizontal="left" vertical="top" wrapText="1"/>
      <protection locked="0"/>
    </xf>
    <xf numFmtId="0" fontId="0" fillId="3" borderId="12" xfId="0" applyFill="1" applyBorder="1" applyAlignment="1" applyProtection="1">
      <alignment horizontal="left" vertical="top" wrapText="1"/>
      <protection locked="0"/>
    </xf>
    <xf numFmtId="0" fontId="0" fillId="3" borderId="16" xfId="0" applyFill="1" applyBorder="1" applyAlignment="1" applyProtection="1">
      <alignment horizontal="left" vertical="top" wrapText="1"/>
      <protection locked="0"/>
    </xf>
    <xf numFmtId="0" fontId="64" fillId="3" borderId="10" xfId="0" applyFont="1" applyFill="1" applyBorder="1" applyAlignment="1" applyProtection="1">
      <alignment horizontal="center" vertical="center"/>
      <protection locked="0"/>
    </xf>
    <xf numFmtId="0" fontId="64" fillId="3" borderId="11" xfId="0" applyFont="1" applyFill="1" applyBorder="1" applyAlignment="1" applyProtection="1">
      <alignment horizontal="center" vertical="center"/>
      <protection locked="0"/>
    </xf>
    <xf numFmtId="0" fontId="88" fillId="26" borderId="2" xfId="0" applyFont="1" applyFill="1" applyBorder="1" applyAlignment="1">
      <alignment vertical="center" wrapText="1"/>
    </xf>
    <xf numFmtId="0" fontId="88" fillId="26" borderId="4" xfId="0" applyFont="1" applyFill="1" applyBorder="1" applyAlignment="1">
      <alignment vertical="center" wrapText="1"/>
    </xf>
    <xf numFmtId="0" fontId="91" fillId="22" borderId="14" xfId="0" applyFont="1" applyFill="1" applyBorder="1" applyAlignment="1">
      <alignment vertical="center"/>
    </xf>
    <xf numFmtId="0" fontId="91" fillId="22" borderId="12" xfId="0" applyFont="1" applyFill="1" applyBorder="1" applyAlignment="1">
      <alignment vertical="center"/>
    </xf>
    <xf numFmtId="0" fontId="91" fillId="22" borderId="16" xfId="0" applyFont="1" applyFill="1" applyBorder="1" applyAlignment="1">
      <alignment vertical="center"/>
    </xf>
    <xf numFmtId="0" fontId="87" fillId="3" borderId="1" xfId="0" applyFont="1" applyFill="1" applyBorder="1" applyAlignment="1" applyProtection="1">
      <alignment horizontal="center" vertical="center"/>
      <protection locked="0"/>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87" fillId="26" borderId="0" xfId="0" applyFont="1" applyFill="1" applyAlignment="1">
      <alignment horizontal="left" vertical="center" wrapText="1"/>
    </xf>
    <xf numFmtId="0" fontId="65" fillId="2" borderId="5" xfId="0" applyFont="1" applyFill="1" applyBorder="1" applyAlignment="1">
      <alignment vertical="center"/>
    </xf>
    <xf numFmtId="0" fontId="65" fillId="2" borderId="6" xfId="0" applyFont="1" applyFill="1" applyBorder="1" applyAlignment="1">
      <alignment vertical="center"/>
    </xf>
    <xf numFmtId="0" fontId="65" fillId="2" borderId="15" xfId="0" applyFont="1" applyFill="1" applyBorder="1" applyAlignment="1">
      <alignment vertical="center"/>
    </xf>
    <xf numFmtId="0" fontId="87" fillId="26" borderId="0" xfId="0" applyFont="1" applyFill="1" applyAlignment="1" applyProtection="1">
      <alignment horizontal="center" vertical="center"/>
      <protection locked="0"/>
    </xf>
    <xf numFmtId="0" fontId="65" fillId="2" borderId="1" xfId="0" applyFont="1" applyFill="1" applyBorder="1" applyAlignment="1">
      <alignment vertical="center" wrapText="1"/>
    </xf>
    <xf numFmtId="0" fontId="83" fillId="24" borderId="0" xfId="0" applyFont="1" applyFill="1" applyAlignment="1">
      <alignment horizontal="left" vertical="center"/>
    </xf>
    <xf numFmtId="0" fontId="89" fillId="0" borderId="8" xfId="0" applyFont="1" applyBorder="1" applyAlignment="1">
      <alignment horizontal="left" vertical="center" wrapText="1"/>
    </xf>
    <xf numFmtId="0" fontId="89" fillId="0" borderId="0" xfId="0" applyFont="1" applyAlignment="1">
      <alignment horizontal="left" vertical="center" wrapText="1"/>
    </xf>
    <xf numFmtId="0" fontId="89" fillId="0" borderId="7" xfId="0" applyFont="1" applyBorder="1" applyAlignment="1">
      <alignment horizontal="left" vertical="center" wrapText="1"/>
    </xf>
    <xf numFmtId="0" fontId="89" fillId="0" borderId="2" xfId="0" applyFont="1" applyBorder="1" applyAlignment="1">
      <alignment horizontal="left" vertical="center" wrapText="1"/>
    </xf>
    <xf numFmtId="0" fontId="89" fillId="0" borderId="3" xfId="0" applyFont="1" applyBorder="1" applyAlignment="1">
      <alignment horizontal="left" vertical="center" wrapText="1"/>
    </xf>
    <xf numFmtId="0" fontId="89" fillId="0" borderId="4" xfId="0" applyFont="1" applyBorder="1" applyAlignment="1">
      <alignment horizontal="left" vertical="center" wrapText="1"/>
    </xf>
    <xf numFmtId="0" fontId="89" fillId="3" borderId="2" xfId="0" applyFont="1" applyFill="1" applyBorder="1" applyAlignment="1" applyProtection="1">
      <alignment horizontal="left" vertical="top" wrapText="1"/>
      <protection locked="0"/>
    </xf>
    <xf numFmtId="0" fontId="89" fillId="3" borderId="3" xfId="0" applyFont="1" applyFill="1" applyBorder="1" applyAlignment="1" applyProtection="1">
      <alignment horizontal="left" vertical="top" wrapText="1"/>
      <protection locked="0"/>
    </xf>
    <xf numFmtId="0" fontId="89" fillId="3" borderId="4" xfId="0" applyFont="1" applyFill="1" applyBorder="1" applyAlignment="1" applyProtection="1">
      <alignment horizontal="left" vertical="top" wrapText="1"/>
      <protection locked="0"/>
    </xf>
    <xf numFmtId="0" fontId="97" fillId="3" borderId="2" xfId="0" applyFont="1" applyFill="1" applyBorder="1" applyAlignment="1" applyProtection="1">
      <alignment horizontal="left" vertical="top" wrapText="1"/>
      <protection locked="0"/>
    </xf>
    <xf numFmtId="0" fontId="97" fillId="3" borderId="3" xfId="0" applyFont="1" applyFill="1" applyBorder="1" applyAlignment="1" applyProtection="1">
      <alignment horizontal="left" vertical="top" wrapText="1"/>
      <protection locked="0"/>
    </xf>
    <xf numFmtId="0" fontId="97" fillId="3" borderId="4" xfId="0" applyFont="1" applyFill="1" applyBorder="1" applyAlignment="1" applyProtection="1">
      <alignment horizontal="left" vertical="top" wrapText="1"/>
      <protection locked="0"/>
    </xf>
    <xf numFmtId="0" fontId="87" fillId="3" borderId="7" xfId="0" applyFont="1" applyFill="1" applyBorder="1" applyAlignment="1" applyProtection="1">
      <alignment horizontal="center" vertical="center"/>
      <protection locked="0"/>
    </xf>
    <xf numFmtId="0" fontId="63" fillId="25" borderId="0" xfId="0" applyFont="1" applyFill="1" applyAlignment="1">
      <alignment horizontal="center" vertical="center"/>
    </xf>
    <xf numFmtId="0" fontId="63" fillId="25" borderId="0" xfId="0" applyFont="1" applyFill="1" applyAlignment="1">
      <alignment horizontal="center" vertical="center" wrapText="1"/>
    </xf>
    <xf numFmtId="0" fontId="117" fillId="22" borderId="8" xfId="0" applyFont="1" applyFill="1" applyBorder="1" applyAlignment="1">
      <alignment horizontal="center" vertical="center"/>
    </xf>
    <xf numFmtId="0" fontId="117" fillId="22" borderId="0" xfId="0" applyFont="1" applyFill="1" applyAlignment="1">
      <alignment horizontal="center" vertical="center"/>
    </xf>
    <xf numFmtId="0" fontId="117" fillId="22" borderId="7" xfId="0" applyFont="1" applyFill="1" applyBorder="1" applyAlignment="1">
      <alignment horizontal="center" vertical="center"/>
    </xf>
    <xf numFmtId="0" fontId="89" fillId="0" borderId="1" xfId="0" applyFont="1" applyBorder="1" applyAlignment="1">
      <alignment horizontal="left" vertical="center" wrapText="1" indent="1"/>
    </xf>
    <xf numFmtId="0" fontId="84" fillId="5" borderId="6" xfId="1" applyFont="1" applyFill="1" applyBorder="1" applyAlignment="1" applyProtection="1">
      <alignment vertical="center" wrapText="1"/>
      <protection locked="0"/>
    </xf>
    <xf numFmtId="0" fontId="84" fillId="5" borderId="15" xfId="1" applyFont="1" applyFill="1" applyBorder="1" applyAlignment="1" applyProtection="1">
      <alignment vertical="center" wrapText="1"/>
      <protection locked="0"/>
    </xf>
    <xf numFmtId="0" fontId="100" fillId="0" borderId="2" xfId="0" applyFont="1" applyBorder="1" applyAlignment="1">
      <alignment vertical="center" wrapText="1"/>
    </xf>
    <xf numFmtId="0" fontId="100" fillId="0" borderId="3" xfId="0" applyFont="1" applyBorder="1" applyAlignment="1">
      <alignment vertical="center"/>
    </xf>
    <xf numFmtId="0" fontId="84" fillId="5" borderId="0" xfId="1" applyFont="1" applyFill="1" applyAlignment="1" applyProtection="1">
      <alignment vertical="center" wrapText="1"/>
      <protection locked="0"/>
    </xf>
    <xf numFmtId="0" fontId="84" fillId="5" borderId="6" xfId="1" applyFont="1" applyFill="1" applyBorder="1" applyAlignment="1" applyProtection="1">
      <alignment horizontal="center" vertical="center" wrapText="1"/>
      <protection locked="0"/>
    </xf>
    <xf numFmtId="0" fontId="17" fillId="29" borderId="0" xfId="0" applyFont="1" applyFill="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64" fillId="6" borderId="3" xfId="0" applyFont="1" applyFill="1" applyBorder="1" applyAlignment="1" applyProtection="1">
      <alignment wrapText="1"/>
      <protection locked="0"/>
    </xf>
    <xf numFmtId="0" fontId="63" fillId="25" borderId="7" xfId="0" applyFont="1" applyFill="1" applyBorder="1" applyAlignment="1">
      <alignment horizontal="center" vertical="center" wrapText="1"/>
    </xf>
    <xf numFmtId="0" fontId="69" fillId="0" borderId="0" xfId="0" applyFont="1" applyAlignment="1">
      <alignment horizontal="center" vertical="center"/>
    </xf>
    <xf numFmtId="0" fontId="17" fillId="0" borderId="0" xfId="0" applyFont="1" applyAlignment="1">
      <alignment vertical="center" wrapText="1"/>
    </xf>
    <xf numFmtId="0" fontId="17" fillId="3" borderId="0" xfId="0" applyFont="1" applyFill="1" applyAlignment="1" applyProtection="1">
      <alignment horizontal="left" vertical="top" wrapText="1"/>
      <protection locked="0"/>
    </xf>
    <xf numFmtId="0" fontId="64" fillId="3" borderId="0" xfId="0" applyFont="1" applyFill="1" applyAlignment="1" applyProtection="1">
      <alignment horizontal="center" vertical="center"/>
      <protection locked="0"/>
    </xf>
    <xf numFmtId="49" fontId="92" fillId="12" borderId="14" xfId="0" applyNumberFormat="1" applyFont="1" applyFill="1" applyBorder="1" applyAlignment="1" applyProtection="1">
      <alignment horizontal="left" vertical="center" wrapText="1"/>
      <protection locked="0"/>
    </xf>
    <xf numFmtId="49" fontId="92" fillId="12" borderId="12" xfId="0" applyNumberFormat="1" applyFont="1" applyFill="1" applyBorder="1" applyAlignment="1" applyProtection="1">
      <alignment horizontal="left" vertical="center" wrapText="1"/>
      <protection locked="0"/>
    </xf>
    <xf numFmtId="49" fontId="92" fillId="12" borderId="8" xfId="0" applyNumberFormat="1" applyFont="1" applyFill="1" applyBorder="1" applyAlignment="1" applyProtection="1">
      <alignment horizontal="left" vertical="center" wrapText="1"/>
      <protection locked="0"/>
    </xf>
    <xf numFmtId="49" fontId="92" fillId="12" borderId="0" xfId="0" applyNumberFormat="1" applyFont="1" applyFill="1" applyAlignment="1" applyProtection="1">
      <alignment horizontal="left" vertical="center" wrapText="1"/>
      <protection locked="0"/>
    </xf>
    <xf numFmtId="0" fontId="0" fillId="0" borderId="11" xfId="0" applyBorder="1" applyAlignment="1">
      <alignment horizontal="left" vertical="center" wrapText="1"/>
    </xf>
    <xf numFmtId="0" fontId="0" fillId="0" borderId="11" xfId="0" applyBorder="1" applyAlignment="1" applyProtection="1">
      <alignment horizontal="center" vertical="center"/>
      <protection locked="0"/>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15" xfId="0" applyBorder="1" applyAlignment="1">
      <alignment horizontal="left" vertical="top" wrapText="1"/>
    </xf>
    <xf numFmtId="49" fontId="87" fillId="3" borderId="10" xfId="0" applyNumberFormat="1" applyFont="1"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64" fillId="3" borderId="0" xfId="0" applyFont="1" applyFill="1" applyAlignment="1" applyProtection="1">
      <alignment horizontal="left" vertical="top" wrapText="1"/>
      <protection locked="0"/>
    </xf>
    <xf numFmtId="0" fontId="96" fillId="0" borderId="10" xfId="0" applyFont="1" applyBorder="1" applyAlignment="1">
      <alignment horizontal="center" vertical="center"/>
    </xf>
    <xf numFmtId="0" fontId="96" fillId="0" borderId="8" xfId="0" applyFont="1" applyBorder="1" applyAlignment="1">
      <alignment horizontal="center" vertical="center"/>
    </xf>
    <xf numFmtId="0" fontId="96" fillId="0" borderId="5" xfId="0" applyFont="1" applyBorder="1" applyAlignment="1">
      <alignment horizontal="center" vertical="center"/>
    </xf>
    <xf numFmtId="0" fontId="97" fillId="0" borderId="8" xfId="0" applyFont="1" applyBorder="1" applyAlignment="1">
      <alignment vertical="center" wrapText="1"/>
    </xf>
    <xf numFmtId="0" fontId="97" fillId="0" borderId="0" xfId="0" applyFont="1" applyAlignment="1">
      <alignment vertical="center" wrapText="1"/>
    </xf>
    <xf numFmtId="0" fontId="97" fillId="0" borderId="7" xfId="0" applyFont="1" applyBorder="1" applyAlignment="1">
      <alignment vertical="center" wrapText="1"/>
    </xf>
    <xf numFmtId="0" fontId="97" fillId="0" borderId="8" xfId="0" applyFont="1" applyBorder="1" applyAlignment="1">
      <alignment horizontal="left" vertical="center" wrapText="1"/>
    </xf>
    <xf numFmtId="0" fontId="97" fillId="0" borderId="0" xfId="0" applyFont="1" applyAlignment="1">
      <alignment horizontal="left" vertical="center" wrapText="1"/>
    </xf>
    <xf numFmtId="0" fontId="97" fillId="0" borderId="7" xfId="0" applyFont="1" applyBorder="1" applyAlignment="1">
      <alignment horizontal="left" vertical="center" wrapText="1"/>
    </xf>
    <xf numFmtId="0" fontId="97" fillId="0" borderId="5" xfId="0" applyFont="1" applyBorder="1" applyAlignment="1">
      <alignment horizontal="left" vertical="center" wrapText="1"/>
    </xf>
    <xf numFmtId="0" fontId="97" fillId="0" borderId="6" xfId="0" applyFont="1" applyBorder="1" applyAlignment="1">
      <alignment horizontal="left" vertical="center" wrapText="1"/>
    </xf>
    <xf numFmtId="0" fontId="97" fillId="0" borderId="15" xfId="0" applyFont="1" applyBorder="1" applyAlignment="1">
      <alignment horizontal="left" vertical="center" wrapText="1"/>
    </xf>
    <xf numFmtId="0" fontId="97" fillId="0" borderId="14" xfId="0" applyFont="1" applyBorder="1" applyAlignment="1">
      <alignment vertical="center" wrapText="1"/>
    </xf>
    <xf numFmtId="0" fontId="97" fillId="0" borderId="12" xfId="0" applyFont="1" applyBorder="1" applyAlignment="1">
      <alignment vertical="center" wrapText="1"/>
    </xf>
    <xf numFmtId="0" fontId="97" fillId="0" borderId="16" xfId="0" applyFont="1" applyBorder="1" applyAlignment="1">
      <alignment vertical="center" wrapText="1"/>
    </xf>
    <xf numFmtId="0" fontId="97" fillId="3" borderId="10" xfId="0" applyFont="1" applyFill="1" applyBorder="1" applyAlignment="1" applyProtection="1">
      <alignment horizontal="center" vertical="center"/>
      <protection locked="0"/>
    </xf>
    <xf numFmtId="0" fontId="97" fillId="3" borderId="13" xfId="0" applyFont="1" applyFill="1" applyBorder="1" applyAlignment="1" applyProtection="1">
      <alignment horizontal="center" vertical="center"/>
      <protection locked="0"/>
    </xf>
    <xf numFmtId="0" fontId="97" fillId="3" borderId="11" xfId="0" applyFont="1" applyFill="1" applyBorder="1" applyAlignment="1" applyProtection="1">
      <alignment horizontal="center" vertical="center"/>
      <protection locked="0"/>
    </xf>
    <xf numFmtId="0" fontId="97" fillId="3" borderId="14" xfId="0" applyFont="1" applyFill="1" applyBorder="1" applyAlignment="1" applyProtection="1">
      <alignment horizontal="left" vertical="top" wrapText="1"/>
      <protection locked="0"/>
    </xf>
    <xf numFmtId="0" fontId="97" fillId="3" borderId="12" xfId="0" applyFont="1" applyFill="1" applyBorder="1" applyAlignment="1" applyProtection="1">
      <alignment horizontal="left" vertical="top" wrapText="1"/>
      <protection locked="0"/>
    </xf>
    <xf numFmtId="0" fontId="97" fillId="3" borderId="16" xfId="0" applyFont="1" applyFill="1" applyBorder="1" applyAlignment="1" applyProtection="1">
      <alignment horizontal="left" vertical="top" wrapText="1"/>
      <protection locked="0"/>
    </xf>
    <xf numFmtId="0" fontId="97" fillId="3" borderId="8" xfId="0" applyFont="1" applyFill="1" applyBorder="1" applyAlignment="1" applyProtection="1">
      <alignment horizontal="left" vertical="top" wrapText="1"/>
      <protection locked="0"/>
    </xf>
    <xf numFmtId="0" fontId="97" fillId="3" borderId="0" xfId="0" applyFont="1" applyFill="1" applyAlignment="1" applyProtection="1">
      <alignment horizontal="left" vertical="top" wrapText="1"/>
      <protection locked="0"/>
    </xf>
    <xf numFmtId="0" fontId="97" fillId="3" borderId="7" xfId="0" applyFont="1" applyFill="1" applyBorder="1" applyAlignment="1" applyProtection="1">
      <alignment horizontal="left" vertical="top" wrapText="1"/>
      <protection locked="0"/>
    </xf>
    <xf numFmtId="0" fontId="97" fillId="3" borderId="5" xfId="0" applyFont="1" applyFill="1" applyBorder="1" applyAlignment="1" applyProtection="1">
      <alignment horizontal="left" vertical="top" wrapText="1"/>
      <protection locked="0"/>
    </xf>
    <xf numFmtId="0" fontId="97" fillId="3" borderId="6" xfId="0" applyFont="1" applyFill="1" applyBorder="1" applyAlignment="1" applyProtection="1">
      <alignment horizontal="left" vertical="top" wrapText="1"/>
      <protection locked="0"/>
    </xf>
    <xf numFmtId="0" fontId="97" fillId="3" borderId="15" xfId="0" applyFont="1" applyFill="1" applyBorder="1" applyAlignment="1" applyProtection="1">
      <alignment horizontal="left" vertical="top" wrapText="1"/>
      <protection locked="0"/>
    </xf>
    <xf numFmtId="0" fontId="72" fillId="3" borderId="1" xfId="0" applyFont="1" applyFill="1" applyBorder="1" applyAlignment="1">
      <alignment horizontal="center" vertical="center"/>
    </xf>
    <xf numFmtId="0" fontId="87" fillId="3" borderId="5" xfId="0" applyFont="1" applyFill="1" applyBorder="1" applyAlignment="1">
      <alignment horizontal="left" vertical="center" wrapText="1"/>
    </xf>
    <xf numFmtId="0" fontId="87" fillId="3" borderId="6" xfId="0" applyFont="1" applyFill="1" applyBorder="1" applyAlignment="1">
      <alignment horizontal="left" vertical="center" wrapText="1"/>
    </xf>
    <xf numFmtId="0" fontId="87" fillId="3" borderId="15" xfId="0" applyFont="1" applyFill="1" applyBorder="1" applyAlignment="1">
      <alignment horizontal="left" vertical="center" wrapText="1"/>
    </xf>
    <xf numFmtId="0" fontId="88" fillId="26" borderId="2" xfId="0" applyFont="1" applyFill="1" applyBorder="1" applyAlignment="1">
      <alignment horizontal="left" vertical="center" wrapText="1"/>
    </xf>
    <xf numFmtId="0" fontId="87" fillId="3" borderId="5" xfId="0" applyFont="1" applyFill="1" applyBorder="1" applyAlignment="1">
      <alignment horizontal="left" vertical="top" wrapText="1"/>
    </xf>
    <xf numFmtId="0" fontId="87" fillId="3" borderId="6" xfId="0" applyFont="1" applyFill="1" applyBorder="1" applyAlignment="1">
      <alignment horizontal="left" vertical="top" wrapText="1"/>
    </xf>
    <xf numFmtId="0" fontId="87" fillId="3" borderId="15" xfId="0" applyFont="1" applyFill="1" applyBorder="1" applyAlignment="1">
      <alignment horizontal="left" vertical="top" wrapText="1"/>
    </xf>
    <xf numFmtId="0" fontId="89" fillId="0" borderId="14" xfId="0" applyFont="1" applyBorder="1" applyAlignment="1">
      <alignment horizontal="left" vertical="center" wrapText="1"/>
    </xf>
    <xf numFmtId="0" fontId="89" fillId="0" borderId="12" xfId="0" applyFont="1" applyBorder="1" applyAlignment="1">
      <alignment horizontal="left" vertical="center" wrapText="1"/>
    </xf>
    <xf numFmtId="0" fontId="89" fillId="0" borderId="16" xfId="0" applyFont="1" applyBorder="1" applyAlignment="1">
      <alignment horizontal="left" vertical="center" wrapText="1"/>
    </xf>
    <xf numFmtId="0" fontId="89" fillId="0" borderId="5" xfId="0" applyFont="1" applyBorder="1" applyAlignment="1">
      <alignment horizontal="left" vertical="center" wrapText="1"/>
    </xf>
    <xf numFmtId="0" fontId="89" fillId="0" borderId="6" xfId="0" applyFont="1" applyBorder="1" applyAlignment="1">
      <alignment horizontal="left" vertical="center" wrapText="1"/>
    </xf>
    <xf numFmtId="0" fontId="89" fillId="0" borderId="15" xfId="0" applyFont="1" applyBorder="1" applyAlignment="1">
      <alignment horizontal="left" vertical="center" wrapText="1"/>
    </xf>
    <xf numFmtId="0" fontId="89" fillId="3" borderId="10" xfId="0" applyFont="1" applyFill="1" applyBorder="1" applyAlignment="1" applyProtection="1">
      <alignment horizontal="center" vertical="center"/>
      <protection locked="0"/>
    </xf>
    <xf numFmtId="0" fontId="89" fillId="3" borderId="11" xfId="0" applyFont="1" applyFill="1" applyBorder="1" applyAlignment="1" applyProtection="1">
      <alignment horizontal="center" vertical="center"/>
      <protection locked="0"/>
    </xf>
    <xf numFmtId="0" fontId="94" fillId="0" borderId="14" xfId="0" applyFont="1" applyBorder="1" applyAlignment="1">
      <alignment horizontal="center" vertical="center"/>
    </xf>
    <xf numFmtId="0" fontId="94" fillId="0" borderId="5" xfId="0" applyFont="1" applyBorder="1" applyAlignment="1">
      <alignment horizontal="center" vertical="center"/>
    </xf>
    <xf numFmtId="0" fontId="89" fillId="3" borderId="14" xfId="0" applyFont="1" applyFill="1" applyBorder="1" applyAlignment="1" applyProtection="1">
      <alignment horizontal="left" vertical="top" wrapText="1"/>
      <protection locked="0"/>
    </xf>
    <xf numFmtId="0" fontId="89" fillId="3" borderId="12" xfId="0" applyFont="1" applyFill="1" applyBorder="1" applyAlignment="1" applyProtection="1">
      <alignment horizontal="left" vertical="top" wrapText="1"/>
      <protection locked="0"/>
    </xf>
    <xf numFmtId="0" fontId="89" fillId="3" borderId="16" xfId="0" applyFont="1" applyFill="1" applyBorder="1" applyAlignment="1" applyProtection="1">
      <alignment horizontal="left" vertical="top" wrapText="1"/>
      <protection locked="0"/>
    </xf>
    <xf numFmtId="0" fontId="89" fillId="3" borderId="5" xfId="0" applyFont="1" applyFill="1" applyBorder="1" applyAlignment="1" applyProtection="1">
      <alignment horizontal="left" vertical="top" wrapText="1"/>
      <protection locked="0"/>
    </xf>
    <xf numFmtId="0" fontId="89" fillId="3" borderId="6" xfId="0" applyFont="1" applyFill="1" applyBorder="1" applyAlignment="1" applyProtection="1">
      <alignment horizontal="left" vertical="top" wrapText="1"/>
      <protection locked="0"/>
    </xf>
    <xf numFmtId="0" fontId="89" fillId="3" borderId="15" xfId="0" applyFont="1" applyFill="1" applyBorder="1" applyAlignment="1" applyProtection="1">
      <alignment horizontal="left" vertical="top" wrapText="1"/>
      <protection locked="0"/>
    </xf>
    <xf numFmtId="0" fontId="65" fillId="2" borderId="3" xfId="0" applyFont="1" applyFill="1" applyBorder="1" applyAlignment="1">
      <alignment horizontal="left" vertical="center" indent="2"/>
    </xf>
    <xf numFmtId="0" fontId="65" fillId="2" borderId="4" xfId="0" applyFont="1" applyFill="1" applyBorder="1" applyAlignment="1">
      <alignment horizontal="left" vertical="center" indent="2"/>
    </xf>
    <xf numFmtId="0" fontId="87" fillId="3" borderId="16" xfId="0" applyFont="1" applyFill="1" applyBorder="1" applyAlignment="1" applyProtection="1">
      <alignment horizontal="center" vertical="center"/>
      <protection locked="0"/>
    </xf>
    <xf numFmtId="0" fontId="87" fillId="3" borderId="15" xfId="0" applyFont="1" applyFill="1" applyBorder="1" applyAlignment="1" applyProtection="1">
      <alignment horizontal="center" vertical="center"/>
      <protection locked="0"/>
    </xf>
    <xf numFmtId="0" fontId="87" fillId="0" borderId="14" xfId="0" applyFont="1" applyBorder="1" applyAlignment="1">
      <alignment vertical="center" wrapText="1"/>
    </xf>
    <xf numFmtId="0" fontId="87" fillId="0" borderId="12" xfId="0" applyFont="1" applyBorder="1" applyAlignment="1">
      <alignment vertical="center" wrapText="1"/>
    </xf>
    <xf numFmtId="0" fontId="87" fillId="0" borderId="16" xfId="0" applyFont="1" applyBorder="1" applyAlignment="1">
      <alignment vertical="center" wrapText="1"/>
    </xf>
    <xf numFmtId="0" fontId="87" fillId="0" borderId="8" xfId="0" applyFont="1" applyBorder="1" applyAlignment="1">
      <alignment vertical="center" wrapText="1"/>
    </xf>
    <xf numFmtId="0" fontId="87" fillId="0" borderId="0" xfId="0" applyFont="1" applyAlignment="1">
      <alignment vertical="center" wrapText="1"/>
    </xf>
    <xf numFmtId="0" fontId="87" fillId="0" borderId="7" xfId="0" applyFont="1" applyBorder="1" applyAlignment="1">
      <alignment vertical="center" wrapText="1"/>
    </xf>
    <xf numFmtId="0" fontId="87" fillId="0" borderId="5" xfId="0" applyFont="1" applyBorder="1" applyAlignment="1">
      <alignment vertical="center" wrapText="1"/>
    </xf>
    <xf numFmtId="0" fontId="87" fillId="0" borderId="6" xfId="0" applyFont="1" applyBorder="1" applyAlignment="1">
      <alignment vertical="center" wrapText="1"/>
    </xf>
    <xf numFmtId="0" fontId="87" fillId="0" borderId="15" xfId="0" applyFont="1" applyBorder="1" applyAlignment="1">
      <alignment vertical="center" wrapText="1"/>
    </xf>
    <xf numFmtId="0" fontId="87" fillId="3" borderId="5" xfId="0" applyFont="1" applyFill="1" applyBorder="1" applyAlignment="1" applyProtection="1">
      <alignment vertical="top" wrapText="1"/>
      <protection locked="0"/>
    </xf>
    <xf numFmtId="0" fontId="87" fillId="3" borderId="6" xfId="0" applyFont="1" applyFill="1" applyBorder="1" applyAlignment="1" applyProtection="1">
      <alignment vertical="top" wrapText="1"/>
      <protection locked="0"/>
    </xf>
    <xf numFmtId="0" fontId="87" fillId="3" borderId="15" xfId="0" applyFont="1" applyFill="1" applyBorder="1" applyAlignment="1" applyProtection="1">
      <alignment vertical="top" wrapText="1"/>
      <protection locked="0"/>
    </xf>
    <xf numFmtId="0" fontId="87" fillId="3" borderId="2" xfId="0" applyFont="1" applyFill="1" applyBorder="1" applyAlignment="1" applyProtection="1">
      <alignment vertical="top" wrapText="1"/>
      <protection locked="0"/>
    </xf>
    <xf numFmtId="0" fontId="87" fillId="3" borderId="3" xfId="0" applyFont="1" applyFill="1" applyBorder="1" applyAlignment="1" applyProtection="1">
      <alignment vertical="top" wrapText="1"/>
      <protection locked="0"/>
    </xf>
    <xf numFmtId="0" fontId="87" fillId="3" borderId="4" xfId="0" applyFont="1" applyFill="1" applyBorder="1" applyAlignment="1" applyProtection="1">
      <alignment vertical="top" wrapText="1"/>
      <protection locked="0"/>
    </xf>
    <xf numFmtId="0" fontId="65" fillId="15" borderId="14" xfId="0" applyFont="1" applyFill="1" applyBorder="1" applyAlignment="1">
      <alignment vertical="center"/>
    </xf>
    <xf numFmtId="0" fontId="65" fillId="15" borderId="12" xfId="0" applyFont="1" applyFill="1" applyBorder="1" applyAlignment="1">
      <alignment vertical="center"/>
    </xf>
    <xf numFmtId="0" fontId="65" fillId="15" borderId="16" xfId="0" applyFont="1" applyFill="1" applyBorder="1" applyAlignment="1">
      <alignment vertical="center"/>
    </xf>
    <xf numFmtId="0" fontId="87" fillId="0" borderId="2" xfId="0" applyFont="1" applyBorder="1" applyAlignment="1">
      <alignment horizontal="right" vertical="center" wrapText="1"/>
    </xf>
    <xf numFmtId="0" fontId="87" fillId="0" borderId="3" xfId="0" applyFont="1" applyBorder="1" applyAlignment="1">
      <alignment horizontal="right" vertical="center" wrapText="1"/>
    </xf>
    <xf numFmtId="0" fontId="87" fillId="0" borderId="4" xfId="0" applyFont="1" applyBorder="1" applyAlignment="1">
      <alignment horizontal="right" vertical="center" wrapText="1"/>
    </xf>
    <xf numFmtId="0" fontId="88" fillId="0" borderId="1" xfId="0" applyFont="1" applyBorder="1" applyAlignment="1">
      <alignment horizontal="center" vertical="center"/>
    </xf>
    <xf numFmtId="0" fontId="64" fillId="0" borderId="0" xfId="0" applyFont="1" applyAlignment="1">
      <alignment vertical="center" wrapText="1"/>
    </xf>
    <xf numFmtId="0" fontId="71" fillId="0" borderId="0" xfId="0" applyFont="1" applyAlignment="1" applyProtection="1">
      <alignment horizontal="left" vertical="top" wrapText="1"/>
      <protection locked="0"/>
    </xf>
    <xf numFmtId="0" fontId="64" fillId="0" borderId="0" xfId="0" applyFont="1" applyAlignment="1">
      <alignment horizontal="left" vertical="center"/>
    </xf>
    <xf numFmtId="0" fontId="70" fillId="24" borderId="0" xfId="0" applyFont="1" applyFill="1" applyAlignment="1">
      <alignment horizontal="center" vertical="center" wrapText="1"/>
    </xf>
    <xf numFmtId="0" fontId="87" fillId="0" borderId="3" xfId="0" applyFont="1" applyBorder="1" applyAlignment="1">
      <alignment horizontal="right" vertical="center"/>
    </xf>
    <xf numFmtId="0" fontId="87" fillId="0" borderId="4" xfId="0" applyFont="1" applyBorder="1" applyAlignment="1">
      <alignment horizontal="right" vertical="center"/>
    </xf>
    <xf numFmtId="0" fontId="71" fillId="0" borderId="0" xfId="0" applyFont="1" applyAlignment="1" applyProtection="1">
      <alignment vertical="center"/>
      <protection locked="0"/>
    </xf>
    <xf numFmtId="0" fontId="72" fillId="6" borderId="0" xfId="0" applyFont="1" applyFill="1" applyAlignment="1">
      <alignment horizontal="center" vertical="center"/>
    </xf>
    <xf numFmtId="0" fontId="64" fillId="0" borderId="0" xfId="0" applyFont="1" applyAlignment="1">
      <alignment horizontal="right"/>
    </xf>
    <xf numFmtId="0" fontId="69" fillId="0" borderId="0" xfId="0" applyFont="1" applyAlignment="1">
      <alignment horizontal="left" vertical="center"/>
    </xf>
    <xf numFmtId="0" fontId="71" fillId="0" borderId="0" xfId="0" applyFont="1" applyAlignment="1" applyProtection="1">
      <alignment horizontal="left" vertical="center"/>
      <protection locked="0"/>
    </xf>
    <xf numFmtId="0" fontId="65" fillId="6" borderId="0" xfId="0" applyFont="1" applyFill="1" applyAlignment="1">
      <alignment horizontal="center" vertical="center"/>
    </xf>
    <xf numFmtId="0" fontId="68" fillId="6" borderId="0" xfId="0" applyFont="1" applyFill="1" applyAlignment="1">
      <alignment vertical="center"/>
    </xf>
    <xf numFmtId="0" fontId="67" fillId="0" borderId="0" xfId="0" applyFont="1" applyAlignment="1">
      <alignment vertical="center"/>
    </xf>
    <xf numFmtId="0" fontId="102" fillId="0" borderId="0" xfId="0" applyFont="1" applyAlignment="1">
      <alignment horizontal="right" vertical="center" wrapText="1"/>
    </xf>
    <xf numFmtId="0" fontId="64" fillId="0" borderId="0" xfId="0" applyFont="1" applyAlignment="1">
      <alignment horizontal="right" vertical="center"/>
    </xf>
    <xf numFmtId="0" fontId="101" fillId="0" borderId="2" xfId="0" applyFont="1" applyBorder="1" applyAlignment="1">
      <alignment horizontal="right" vertical="center" wrapText="1"/>
    </xf>
    <xf numFmtId="0" fontId="101" fillId="0" borderId="3" xfId="0" applyFont="1" applyBorder="1" applyAlignment="1">
      <alignment horizontal="right" vertical="center" wrapText="1"/>
    </xf>
    <xf numFmtId="0" fontId="101" fillId="0" borderId="4" xfId="0" applyFont="1" applyBorder="1" applyAlignment="1">
      <alignment horizontal="right" vertical="center" wrapText="1"/>
    </xf>
    <xf numFmtId="0" fontId="82" fillId="24" borderId="14" xfId="0" applyFont="1" applyFill="1" applyBorder="1" applyAlignment="1">
      <alignment horizontal="center" vertical="center"/>
    </xf>
    <xf numFmtId="0" fontId="82" fillId="24" borderId="12" xfId="0" applyFont="1" applyFill="1" applyBorder="1" applyAlignment="1">
      <alignment horizontal="center" vertical="center"/>
    </xf>
    <xf numFmtId="0" fontId="82" fillId="24" borderId="16" xfId="0" applyFont="1" applyFill="1" applyBorder="1" applyAlignment="1">
      <alignment horizontal="center" vertical="center"/>
    </xf>
    <xf numFmtId="0" fontId="97" fillId="0" borderId="2" xfId="0" applyFont="1" applyBorder="1" applyAlignment="1">
      <alignment vertical="center" wrapText="1"/>
    </xf>
    <xf numFmtId="0" fontId="97" fillId="0" borderId="3" xfId="0" applyFont="1" applyBorder="1" applyAlignment="1">
      <alignment vertical="center" wrapText="1"/>
    </xf>
    <xf numFmtId="0" fontId="97" fillId="0" borderId="4" xfId="0" applyFont="1" applyBorder="1" applyAlignment="1">
      <alignment vertical="center" wrapText="1"/>
    </xf>
    <xf numFmtId="0" fontId="64" fillId="0" borderId="0" xfId="0" applyFont="1"/>
    <xf numFmtId="0" fontId="64" fillId="0" borderId="0" xfId="0" applyFont="1" applyAlignment="1">
      <alignment vertical="center"/>
    </xf>
    <xf numFmtId="0" fontId="87" fillId="26" borderId="1" xfId="0" applyFont="1" applyFill="1" applyBorder="1" applyAlignment="1" applyProtection="1">
      <alignment horizontal="center" vertical="center"/>
      <protection locked="0"/>
    </xf>
    <xf numFmtId="0" fontId="69" fillId="0" borderId="5" xfId="0" applyFont="1" applyBorder="1" applyAlignment="1">
      <alignment horizontal="left" vertical="center" wrapText="1"/>
    </xf>
    <xf numFmtId="0" fontId="69" fillId="0" borderId="6" xfId="0" applyFont="1" applyBorder="1" applyAlignment="1">
      <alignment horizontal="left" vertical="center" wrapText="1"/>
    </xf>
    <xf numFmtId="0" fontId="87" fillId="3" borderId="6" xfId="0" applyFont="1" applyFill="1" applyBorder="1" applyAlignment="1" applyProtection="1">
      <alignment horizontal="center" vertical="center"/>
      <protection locked="0"/>
    </xf>
    <xf numFmtId="0" fontId="96" fillId="26" borderId="3" xfId="0" applyFont="1" applyFill="1" applyBorder="1" applyAlignment="1">
      <alignment horizontal="left" vertical="center" wrapText="1"/>
    </xf>
    <xf numFmtId="0" fontId="96" fillId="26" borderId="4" xfId="0" applyFont="1" applyFill="1" applyBorder="1" applyAlignment="1">
      <alignment horizontal="left" vertical="center" wrapText="1"/>
    </xf>
    <xf numFmtId="0" fontId="88" fillId="0" borderId="2" xfId="0" applyFont="1" applyBorder="1" applyAlignment="1" applyProtection="1">
      <alignment horizontal="left" vertical="center" wrapText="1"/>
      <protection locked="0"/>
    </xf>
    <xf numFmtId="0" fontId="88" fillId="0" borderId="4" xfId="0" applyFont="1" applyBorder="1" applyAlignment="1" applyProtection="1">
      <alignment horizontal="left" vertical="center" wrapText="1"/>
      <protection locked="0"/>
    </xf>
    <xf numFmtId="0" fontId="87" fillId="0" borderId="2" xfId="0" applyFont="1" applyBorder="1" applyAlignment="1" applyProtection="1">
      <alignment horizontal="left" vertical="top" wrapText="1"/>
      <protection locked="0"/>
    </xf>
    <xf numFmtId="0" fontId="87" fillId="0" borderId="3" xfId="0" applyFont="1" applyBorder="1" applyAlignment="1" applyProtection="1">
      <alignment horizontal="left" vertical="top" wrapText="1"/>
      <protection locked="0"/>
    </xf>
    <xf numFmtId="0" fontId="87" fillId="0" borderId="4" xfId="0" applyFont="1" applyBorder="1" applyAlignment="1" applyProtection="1">
      <alignment horizontal="left" vertical="top" wrapText="1"/>
      <protection locked="0"/>
    </xf>
    <xf numFmtId="0" fontId="52" fillId="0" borderId="0" xfId="0" applyFont="1" applyAlignment="1">
      <alignment horizontal="center" vertical="center"/>
    </xf>
    <xf numFmtId="0" fontId="72" fillId="3" borderId="3" xfId="0" applyFont="1" applyFill="1" applyBorder="1" applyAlignment="1">
      <alignment horizontal="center" vertical="center"/>
    </xf>
    <xf numFmtId="0" fontId="72" fillId="3" borderId="4" xfId="0" applyFont="1" applyFill="1" applyBorder="1" applyAlignment="1">
      <alignment horizontal="center" vertical="center"/>
    </xf>
    <xf numFmtId="0" fontId="106" fillId="6" borderId="2" xfId="0" applyFont="1" applyFill="1" applyBorder="1" applyAlignment="1" applyProtection="1">
      <alignment horizontal="left" vertical="center" wrapText="1"/>
      <protection locked="0"/>
    </xf>
    <xf numFmtId="0" fontId="106" fillId="6" borderId="3" xfId="0" applyFont="1" applyFill="1" applyBorder="1" applyAlignment="1" applyProtection="1">
      <alignment horizontal="left" vertical="center" wrapText="1"/>
      <protection locked="0"/>
    </xf>
    <xf numFmtId="0" fontId="106" fillId="6" borderId="4"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protection locked="0"/>
    </xf>
    <xf numFmtId="0" fontId="88" fillId="22" borderId="6" xfId="0" applyFont="1" applyFill="1" applyBorder="1" applyAlignment="1">
      <alignment horizontal="center" vertical="center"/>
    </xf>
    <xf numFmtId="0" fontId="88" fillId="22" borderId="15" xfId="0" applyFont="1" applyFill="1" applyBorder="1" applyAlignment="1">
      <alignment horizontal="center" vertical="center"/>
    </xf>
    <xf numFmtId="0" fontId="110" fillId="5" borderId="2" xfId="0" applyFont="1" applyFill="1" applyBorder="1" applyAlignment="1">
      <alignment vertical="center" wrapText="1"/>
    </xf>
    <xf numFmtId="0" fontId="110" fillId="5" borderId="3" xfId="0" applyFont="1" applyFill="1" applyBorder="1" applyAlignment="1">
      <alignment vertical="center"/>
    </xf>
    <xf numFmtId="0" fontId="110" fillId="5" borderId="4" xfId="0" applyFont="1" applyFill="1" applyBorder="1" applyAlignment="1">
      <alignment vertical="center"/>
    </xf>
    <xf numFmtId="0" fontId="75" fillId="24" borderId="5" xfId="0" applyFont="1" applyFill="1" applyBorder="1" applyAlignment="1">
      <alignment horizontal="left" vertical="center"/>
    </xf>
    <xf numFmtId="0" fontId="75" fillId="24" borderId="6" xfId="0" applyFont="1" applyFill="1" applyBorder="1" applyAlignment="1">
      <alignment horizontal="left" vertical="center"/>
    </xf>
    <xf numFmtId="0" fontId="63" fillId="24" borderId="6" xfId="0" applyFont="1" applyFill="1" applyBorder="1" applyAlignment="1">
      <alignment horizontal="left" vertical="center"/>
    </xf>
    <xf numFmtId="0" fontId="63" fillId="24" borderId="15" xfId="0" applyFont="1" applyFill="1" applyBorder="1" applyAlignment="1">
      <alignment horizontal="left" vertical="center"/>
    </xf>
    <xf numFmtId="0" fontId="101" fillId="0" borderId="3" xfId="0" applyFont="1" applyBorder="1" applyAlignment="1" applyProtection="1">
      <alignment horizontal="left" vertical="center" wrapText="1"/>
      <protection locked="0"/>
    </xf>
    <xf numFmtId="0" fontId="101" fillId="0" borderId="4" xfId="0" applyFont="1" applyBorder="1" applyAlignment="1" applyProtection="1">
      <alignment horizontal="left" vertical="center" wrapText="1"/>
      <protection locked="0"/>
    </xf>
    <xf numFmtId="0" fontId="66" fillId="24" borderId="5" xfId="0" applyFont="1" applyFill="1" applyBorder="1" applyAlignment="1">
      <alignment horizontal="left" vertical="center" wrapText="1" indent="1"/>
    </xf>
    <xf numFmtId="0" fontId="65" fillId="24" borderId="6" xfId="0" applyFont="1" applyFill="1" applyBorder="1" applyAlignment="1">
      <alignment horizontal="left" vertical="center" indent="1"/>
    </xf>
    <xf numFmtId="0" fontId="65" fillId="24" borderId="15" xfId="0" applyFont="1" applyFill="1" applyBorder="1" applyAlignment="1">
      <alignment horizontal="left" vertical="center" indent="1"/>
    </xf>
    <xf numFmtId="0" fontId="72" fillId="3" borderId="14" xfId="0" applyFont="1" applyFill="1" applyBorder="1" applyAlignment="1">
      <alignment horizontal="center" vertical="center"/>
    </xf>
    <xf numFmtId="0" fontId="72" fillId="3" borderId="12" xfId="0" applyFont="1" applyFill="1" applyBorder="1" applyAlignment="1">
      <alignment horizontal="center" vertical="center"/>
    </xf>
    <xf numFmtId="0" fontId="72" fillId="3" borderId="16" xfId="0" applyFont="1" applyFill="1" applyBorder="1" applyAlignment="1">
      <alignment horizontal="center" vertical="center"/>
    </xf>
    <xf numFmtId="0" fontId="88" fillId="0" borderId="2" xfId="0" applyFont="1" applyBorder="1" applyAlignment="1" applyProtection="1">
      <alignment horizontal="left" vertical="center"/>
      <protection locked="0"/>
    </xf>
    <xf numFmtId="0" fontId="88" fillId="0" borderId="4" xfId="0" applyFont="1" applyBorder="1" applyAlignment="1" applyProtection="1">
      <alignment horizontal="left" vertical="center"/>
      <protection locked="0"/>
    </xf>
    <xf numFmtId="0" fontId="88" fillId="0" borderId="14" xfId="0" applyFont="1" applyBorder="1" applyAlignment="1" applyProtection="1">
      <alignment horizontal="left" vertical="center"/>
      <protection locked="0"/>
    </xf>
    <xf numFmtId="0" fontId="88" fillId="0" borderId="16" xfId="0" applyFont="1" applyBorder="1" applyAlignment="1" applyProtection="1">
      <alignment horizontal="left" vertical="center"/>
      <protection locked="0"/>
    </xf>
    <xf numFmtId="0" fontId="87" fillId="0" borderId="14" xfId="0" applyFont="1" applyBorder="1" applyAlignment="1" applyProtection="1">
      <alignment horizontal="left" vertical="top" wrapText="1"/>
      <protection locked="0"/>
    </xf>
    <xf numFmtId="0" fontId="87" fillId="0" borderId="12" xfId="0" applyFont="1" applyBorder="1" applyAlignment="1" applyProtection="1">
      <alignment horizontal="left" vertical="top" wrapText="1"/>
      <protection locked="0"/>
    </xf>
    <xf numFmtId="0" fontId="87" fillId="0" borderId="16" xfId="0" applyFont="1" applyBorder="1" applyAlignment="1" applyProtection="1">
      <alignment horizontal="left" vertical="top" wrapText="1"/>
      <protection locked="0"/>
    </xf>
    <xf numFmtId="0" fontId="65" fillId="22" borderId="2" xfId="0" applyFont="1" applyFill="1" applyBorder="1" applyAlignment="1">
      <alignment horizontal="left" vertical="center" wrapText="1" indent="1"/>
    </xf>
    <xf numFmtId="0" fontId="65" fillId="22" borderId="3" xfId="0" applyFont="1" applyFill="1" applyBorder="1" applyAlignment="1">
      <alignment horizontal="left" vertical="center" indent="1"/>
    </xf>
    <xf numFmtId="0" fontId="65" fillId="22" borderId="4" xfId="0" applyFont="1" applyFill="1" applyBorder="1" applyAlignment="1">
      <alignment horizontal="left" vertical="center" indent="1"/>
    </xf>
    <xf numFmtId="0" fontId="88" fillId="22" borderId="5" xfId="0" applyFont="1" applyFill="1" applyBorder="1" applyAlignment="1">
      <alignment horizontal="center" vertical="center"/>
    </xf>
    <xf numFmtId="0" fontId="96" fillId="6" borderId="0" xfId="0" applyFont="1" applyFill="1"/>
    <xf numFmtId="0" fontId="108" fillId="6" borderId="0" xfId="0" applyFont="1" applyFill="1" applyAlignment="1">
      <alignment horizontal="left"/>
    </xf>
    <xf numFmtId="0" fontId="103" fillId="3" borderId="2" xfId="0" applyFont="1" applyFill="1" applyBorder="1" applyAlignment="1">
      <alignment horizontal="left" vertical="center"/>
    </xf>
    <xf numFmtId="0" fontId="103" fillId="3" borderId="4" xfId="0" applyFont="1" applyFill="1" applyBorder="1" applyAlignment="1">
      <alignment horizontal="left" vertical="center"/>
    </xf>
    <xf numFmtId="0" fontId="103" fillId="6" borderId="2" xfId="0" applyFont="1" applyFill="1" applyBorder="1" applyAlignment="1" applyProtection="1">
      <alignment vertical="center" wrapText="1"/>
      <protection locked="0"/>
    </xf>
    <xf numFmtId="0" fontId="103" fillId="6" borderId="3" xfId="0" applyFont="1" applyFill="1" applyBorder="1" applyAlignment="1" applyProtection="1">
      <alignment vertical="center" wrapText="1"/>
      <protection locked="0"/>
    </xf>
    <xf numFmtId="0" fontId="103" fillId="6" borderId="4" xfId="0" applyFont="1" applyFill="1" applyBorder="1" applyAlignment="1" applyProtection="1">
      <alignment vertical="center" wrapText="1"/>
      <protection locked="0"/>
    </xf>
    <xf numFmtId="0" fontId="96" fillId="6" borderId="2" xfId="0" applyFont="1" applyFill="1" applyBorder="1" applyAlignment="1">
      <alignment horizontal="center" vertical="center"/>
    </xf>
    <xf numFmtId="0" fontId="96" fillId="6" borderId="4" xfId="0" applyFont="1" applyFill="1" applyBorder="1" applyAlignment="1">
      <alignment horizontal="center" vertical="center"/>
    </xf>
    <xf numFmtId="0" fontId="112" fillId="5" borderId="0" xfId="0" applyFont="1" applyFill="1" applyAlignment="1">
      <alignment horizontal="left" vertical="center" wrapText="1"/>
    </xf>
    <xf numFmtId="0" fontId="90" fillId="5" borderId="8" xfId="0" applyFont="1" applyFill="1" applyBorder="1" applyAlignment="1">
      <alignment vertical="center" wrapText="1"/>
    </xf>
    <xf numFmtId="0" fontId="90" fillId="5" borderId="0" xfId="0" applyFont="1" applyFill="1" applyAlignment="1">
      <alignment vertical="center"/>
    </xf>
    <xf numFmtId="0" fontId="90" fillId="5" borderId="7" xfId="0" applyFont="1" applyFill="1" applyBorder="1" applyAlignment="1">
      <alignment vertical="center"/>
    </xf>
    <xf numFmtId="0" fontId="83" fillId="24" borderId="0" xfId="0" applyFont="1" applyFill="1" applyAlignment="1">
      <alignment horizontal="left"/>
    </xf>
    <xf numFmtId="0" fontId="83" fillId="24" borderId="7" xfId="0" applyFont="1" applyFill="1" applyBorder="1" applyAlignment="1">
      <alignment horizontal="left"/>
    </xf>
    <xf numFmtId="0" fontId="104" fillId="22" borderId="5" xfId="0" applyFont="1" applyFill="1" applyBorder="1" applyAlignment="1">
      <alignment horizontal="center" vertical="center"/>
    </xf>
    <xf numFmtId="0" fontId="104" fillId="22" borderId="6" xfId="0" applyFont="1" applyFill="1" applyBorder="1" applyAlignment="1">
      <alignment horizontal="center" vertical="center"/>
    </xf>
    <xf numFmtId="0" fontId="104" fillId="22" borderId="15" xfId="0" applyFont="1" applyFill="1" applyBorder="1" applyAlignment="1">
      <alignment horizontal="center" vertical="center"/>
    </xf>
    <xf numFmtId="0" fontId="92" fillId="5" borderId="8" xfId="0" applyFont="1" applyFill="1" applyBorder="1" applyAlignment="1">
      <alignment horizontal="center" vertical="center" wrapText="1"/>
    </xf>
    <xf numFmtId="0" fontId="92" fillId="5" borderId="0" xfId="0" applyFont="1" applyFill="1" applyAlignment="1">
      <alignment horizontal="center" vertical="center" wrapText="1"/>
    </xf>
    <xf numFmtId="0" fontId="92" fillId="5" borderId="7" xfId="0" applyFont="1" applyFill="1" applyBorder="1" applyAlignment="1">
      <alignment horizontal="center" vertical="center" wrapText="1"/>
    </xf>
    <xf numFmtId="0" fontId="2" fillId="3" borderId="14" xfId="0" applyFont="1" applyFill="1" applyBorder="1"/>
    <xf numFmtId="0" fontId="2" fillId="3" borderId="12" xfId="0" applyFont="1" applyFill="1" applyBorder="1"/>
    <xf numFmtId="0" fontId="2" fillId="3" borderId="16" xfId="0" applyFont="1" applyFill="1" applyBorder="1"/>
    <xf numFmtId="49" fontId="106" fillId="6" borderId="8" xfId="0" applyNumberFormat="1" applyFont="1" applyFill="1" applyBorder="1" applyAlignment="1">
      <alignment horizontal="left" vertical="center" wrapText="1" indent="2"/>
    </xf>
    <xf numFmtId="49" fontId="106" fillId="6" borderId="0" xfId="0" applyNumberFormat="1" applyFont="1" applyFill="1" applyAlignment="1">
      <alignment horizontal="left" vertical="center" wrapText="1" indent="2"/>
    </xf>
    <xf numFmtId="49" fontId="106" fillId="6" borderId="7" xfId="0" applyNumberFormat="1" applyFont="1" applyFill="1" applyBorder="1" applyAlignment="1">
      <alignment horizontal="left" vertical="center" wrapText="1" indent="2"/>
    </xf>
    <xf numFmtId="0" fontId="100" fillId="0" borderId="5" xfId="0" applyFont="1" applyBorder="1" applyAlignment="1">
      <alignment horizontal="center" vertical="center"/>
    </xf>
    <xf numFmtId="0" fontId="100" fillId="0" borderId="6" xfId="0" applyFont="1" applyBorder="1" applyAlignment="1">
      <alignment horizontal="center" vertical="center"/>
    </xf>
    <xf numFmtId="0" fontId="100" fillId="0" borderId="15" xfId="0" applyFont="1" applyBorder="1" applyAlignment="1">
      <alignment horizontal="center" vertical="center"/>
    </xf>
    <xf numFmtId="0" fontId="101" fillId="0" borderId="2" xfId="0" applyFont="1" applyBorder="1" applyAlignment="1" applyProtection="1">
      <alignment vertical="center" wrapText="1"/>
      <protection locked="0"/>
    </xf>
    <xf numFmtId="0" fontId="101" fillId="0" borderId="3" xfId="0" applyFont="1" applyBorder="1" applyAlignment="1" applyProtection="1">
      <alignment vertical="center" wrapText="1"/>
      <protection locked="0"/>
    </xf>
    <xf numFmtId="0" fontId="101" fillId="0" borderId="4" xfId="0" applyFont="1" applyBorder="1" applyAlignment="1" applyProtection="1">
      <alignment vertical="center" wrapText="1"/>
      <protection locked="0"/>
    </xf>
    <xf numFmtId="0" fontId="83" fillId="24" borderId="8" xfId="0" applyFont="1" applyFill="1" applyBorder="1" applyAlignment="1">
      <alignment horizontal="center"/>
    </xf>
    <xf numFmtId="0" fontId="83" fillId="24" borderId="0" xfId="0" applyFont="1" applyFill="1" applyAlignment="1">
      <alignment horizontal="center"/>
    </xf>
    <xf numFmtId="0" fontId="65" fillId="22" borderId="14" xfId="0" applyFont="1" applyFill="1" applyBorder="1" applyAlignment="1">
      <alignment horizontal="left" vertical="center" wrapText="1" indent="1"/>
    </xf>
    <xf numFmtId="0" fontId="65" fillId="22" borderId="12" xfId="0" applyFont="1" applyFill="1" applyBorder="1" applyAlignment="1">
      <alignment horizontal="left" vertical="center" indent="1"/>
    </xf>
    <xf numFmtId="0" fontId="65" fillId="22" borderId="16" xfId="0" applyFont="1" applyFill="1" applyBorder="1" applyAlignment="1">
      <alignment horizontal="left" vertical="center" indent="1"/>
    </xf>
    <xf numFmtId="0" fontId="65" fillId="22" borderId="5" xfId="0" applyFont="1" applyFill="1" applyBorder="1" applyAlignment="1">
      <alignment horizontal="left" vertical="center" wrapText="1" indent="1"/>
    </xf>
    <xf numFmtId="0" fontId="65" fillId="22" borderId="6" xfId="0" applyFont="1" applyFill="1" applyBorder="1" applyAlignment="1">
      <alignment horizontal="left" vertical="center" indent="1"/>
    </xf>
    <xf numFmtId="0" fontId="65" fillId="22" borderId="15" xfId="0" applyFont="1" applyFill="1" applyBorder="1" applyAlignment="1">
      <alignment horizontal="left" vertical="center" indent="1"/>
    </xf>
    <xf numFmtId="0" fontId="0" fillId="0" borderId="8" xfId="0" applyBorder="1" applyProtection="1">
      <protection locked="0"/>
    </xf>
    <xf numFmtId="0" fontId="0" fillId="0" borderId="0" xfId="0" applyProtection="1">
      <protection locked="0"/>
    </xf>
    <xf numFmtId="0" fontId="88" fillId="0" borderId="3" xfId="0" applyFont="1" applyBorder="1" applyAlignment="1" applyProtection="1">
      <alignment horizontal="left" vertical="center" wrapText="1"/>
      <protection locked="0"/>
    </xf>
    <xf numFmtId="0" fontId="0" fillId="0" borderId="8" xfId="0" applyBorder="1" applyAlignment="1" applyProtection="1">
      <alignment horizontal="center" vertical="center"/>
      <protection locked="0"/>
    </xf>
    <xf numFmtId="0" fontId="0" fillId="0" borderId="0" xfId="0" applyAlignment="1" applyProtection="1">
      <alignment horizontal="center" vertical="center"/>
      <protection locked="0"/>
    </xf>
    <xf numFmtId="0" fontId="82" fillId="24" borderId="0" xfId="0" applyFont="1" applyFill="1" applyAlignment="1">
      <alignment horizontal="center" vertical="center"/>
    </xf>
    <xf numFmtId="0" fontId="82" fillId="24" borderId="7" xfId="0" applyFont="1" applyFill="1" applyBorder="1" applyAlignment="1">
      <alignment horizontal="center" vertical="center"/>
    </xf>
    <xf numFmtId="0" fontId="65" fillId="22" borderId="2" xfId="0" applyFont="1" applyFill="1" applyBorder="1" applyAlignment="1">
      <alignment vertical="center" wrapText="1"/>
    </xf>
    <xf numFmtId="0" fontId="65" fillId="22" borderId="3" xfId="0" applyFont="1" applyFill="1" applyBorder="1" applyAlignment="1">
      <alignment vertical="center"/>
    </xf>
    <xf numFmtId="0" fontId="65" fillId="22" borderId="4" xfId="0" applyFont="1" applyFill="1" applyBorder="1" applyAlignment="1">
      <alignment vertical="center"/>
    </xf>
    <xf numFmtId="0" fontId="92" fillId="5" borderId="2" xfId="0" applyFont="1" applyFill="1" applyBorder="1" applyAlignment="1">
      <alignment horizontal="center" vertical="center" wrapText="1"/>
    </xf>
    <xf numFmtId="0" fontId="92" fillId="5" borderId="3" xfId="0" applyFont="1" applyFill="1" applyBorder="1" applyAlignment="1">
      <alignment horizontal="center" vertical="center"/>
    </xf>
    <xf numFmtId="0" fontId="92" fillId="5" borderId="4" xfId="0" applyFont="1" applyFill="1" applyBorder="1" applyAlignment="1">
      <alignment horizontal="center" vertical="center"/>
    </xf>
    <xf numFmtId="0" fontId="27" fillId="0" borderId="0" xfId="0" applyFont="1" applyAlignment="1">
      <alignment horizontal="center" vertical="center"/>
    </xf>
    <xf numFmtId="0" fontId="109" fillId="24" borderId="0" xfId="0" applyFont="1" applyFill="1" applyAlignment="1">
      <alignment horizontal="left" vertical="center" wrapText="1" indent="1"/>
    </xf>
    <xf numFmtId="0" fontId="65" fillId="24" borderId="0" xfId="0" applyFont="1" applyFill="1" applyAlignment="1">
      <alignment horizontal="left" vertical="center" indent="1"/>
    </xf>
    <xf numFmtId="0" fontId="73" fillId="0" borderId="0" xfId="0" applyFont="1" applyAlignment="1" applyProtection="1">
      <alignment horizontal="center" vertical="center"/>
      <protection locked="0"/>
    </xf>
    <xf numFmtId="0" fontId="74" fillId="0" borderId="0" xfId="0" applyFont="1" applyAlignment="1" applyProtection="1">
      <alignment vertical="top" wrapText="1"/>
      <protection locked="0"/>
    </xf>
    <xf numFmtId="0" fontId="74" fillId="0" borderId="0" xfId="0" applyFont="1" applyAlignment="1" applyProtection="1">
      <alignment horizontal="left" vertical="top" wrapText="1"/>
      <protection locked="0"/>
    </xf>
    <xf numFmtId="1" fontId="73" fillId="0" borderId="0" xfId="0" applyNumberFormat="1" applyFont="1" applyAlignment="1" applyProtection="1">
      <alignment horizontal="center" vertical="center" wrapText="1"/>
      <protection locked="0"/>
    </xf>
    <xf numFmtId="0" fontId="67" fillId="0" borderId="0" xfId="0" applyFont="1" applyAlignment="1">
      <alignment horizontal="right" vertical="center" wrapText="1"/>
    </xf>
    <xf numFmtId="0" fontId="40" fillId="27" borderId="1" xfId="0" applyFont="1" applyFill="1" applyBorder="1" applyAlignment="1">
      <alignment horizontal="center" vertical="center"/>
    </xf>
    <xf numFmtId="0" fontId="69" fillId="28" borderId="1" xfId="0" applyFont="1" applyFill="1" applyBorder="1" applyAlignment="1">
      <alignment horizontal="left" vertical="center" wrapText="1"/>
    </xf>
    <xf numFmtId="0" fontId="67" fillId="0" borderId="0" xfId="0" applyFont="1" applyAlignment="1">
      <alignment horizontal="center" vertical="center" wrapText="1"/>
    </xf>
    <xf numFmtId="0" fontId="65" fillId="0" borderId="0" xfId="0" applyFont="1" applyAlignment="1">
      <alignment horizontal="center" vertical="center"/>
    </xf>
    <xf numFmtId="0" fontId="64" fillId="0" borderId="0" xfId="0" applyFont="1" applyAlignment="1">
      <alignment horizontal="center" vertical="center" wrapText="1"/>
    </xf>
    <xf numFmtId="0" fontId="64" fillId="0" borderId="1" xfId="0" applyFont="1" applyBorder="1" applyAlignment="1">
      <alignment horizontal="center" vertical="center" wrapText="1"/>
    </xf>
    <xf numFmtId="0" fontId="71" fillId="0" borderId="0" xfId="0" applyFont="1"/>
    <xf numFmtId="0" fontId="73" fillId="0" borderId="0" xfId="0" applyFont="1" applyAlignment="1" applyProtection="1">
      <alignment horizontal="center" vertical="center" wrapText="1"/>
      <protection locked="0"/>
    </xf>
    <xf numFmtId="0" fontId="62" fillId="0" borderId="0" xfId="0" applyFont="1" applyAlignment="1">
      <alignment horizontal="center" vertical="center" wrapText="1"/>
    </xf>
    <xf numFmtId="0" fontId="3" fillId="0" borderId="0" xfId="0" applyFont="1" applyAlignment="1">
      <alignment horizontal="center" vertical="center"/>
    </xf>
    <xf numFmtId="1" fontId="73" fillId="0" borderId="0" xfId="0" applyNumberFormat="1" applyFont="1" applyAlignment="1" applyProtection="1">
      <alignment horizontal="center" vertical="center"/>
      <protection locked="0"/>
    </xf>
    <xf numFmtId="0" fontId="0" fillId="0" borderId="0" xfId="0" applyAlignment="1">
      <alignment horizontal="center"/>
    </xf>
    <xf numFmtId="0" fontId="39" fillId="0" borderId="0" xfId="0" applyFont="1" applyAlignment="1">
      <alignment horizontal="center"/>
    </xf>
    <xf numFmtId="0" fontId="26" fillId="0" borderId="0" xfId="0" applyFont="1" applyAlignment="1">
      <alignment horizontal="center"/>
    </xf>
    <xf numFmtId="0" fontId="56" fillId="21" borderId="2" xfId="0" applyFont="1" applyFill="1" applyBorder="1" applyAlignment="1">
      <alignment horizontal="left" vertical="center" wrapText="1"/>
    </xf>
    <xf numFmtId="0" fontId="56" fillId="21" borderId="3" xfId="0" applyFont="1" applyFill="1" applyBorder="1" applyAlignment="1">
      <alignment horizontal="left" vertical="center"/>
    </xf>
    <xf numFmtId="0" fontId="56" fillId="21" borderId="4" xfId="0" applyFont="1" applyFill="1" applyBorder="1" applyAlignment="1">
      <alignment horizontal="left" vertical="center"/>
    </xf>
    <xf numFmtId="0" fontId="13" fillId="3" borderId="0" xfId="0" applyFont="1" applyFill="1" applyAlignment="1">
      <alignment horizontal="left"/>
    </xf>
    <xf numFmtId="0" fontId="13" fillId="3" borderId="7" xfId="0" applyFont="1" applyFill="1" applyBorder="1" applyAlignment="1">
      <alignment horizontal="left"/>
    </xf>
    <xf numFmtId="0" fontId="11" fillId="4" borderId="8" xfId="0" applyFont="1" applyFill="1" applyBorder="1" applyAlignment="1">
      <alignment horizontal="center" vertical="center"/>
    </xf>
    <xf numFmtId="0" fontId="11" fillId="4" borderId="0" xfId="0" applyFont="1" applyFill="1" applyAlignment="1">
      <alignment horizontal="center" vertical="center"/>
    </xf>
    <xf numFmtId="0" fontId="11" fillId="4" borderId="7" xfId="0" applyFont="1" applyFill="1" applyBorder="1" applyAlignment="1">
      <alignment horizontal="center" vertical="center"/>
    </xf>
    <xf numFmtId="0" fontId="58" fillId="9" borderId="8" xfId="0" applyFont="1" applyFill="1" applyBorder="1" applyAlignment="1">
      <alignment horizontal="justify" vertical="center" wrapText="1"/>
    </xf>
    <xf numFmtId="0" fontId="25" fillId="9" borderId="0" xfId="0" applyFont="1" applyFill="1" applyAlignment="1">
      <alignment horizontal="justify" vertical="center" wrapText="1"/>
    </xf>
    <xf numFmtId="0" fontId="25" fillId="9" borderId="7" xfId="0" applyFont="1" applyFill="1" applyBorder="1" applyAlignment="1">
      <alignment horizontal="justify" vertical="center" wrapText="1"/>
    </xf>
    <xf numFmtId="0" fontId="59" fillId="9" borderId="8" xfId="0" applyFont="1" applyFill="1" applyBorder="1" applyAlignment="1">
      <alignment horizontal="left" vertical="center" wrapText="1"/>
    </xf>
    <xf numFmtId="0" fontId="59" fillId="9" borderId="0" xfId="0" applyFont="1" applyFill="1" applyAlignment="1">
      <alignment horizontal="left" vertical="center" wrapText="1"/>
    </xf>
    <xf numFmtId="0" fontId="59" fillId="9" borderId="7" xfId="0" applyFont="1" applyFill="1" applyBorder="1" applyAlignment="1">
      <alignment horizontal="left" vertical="center" wrapText="1"/>
    </xf>
    <xf numFmtId="0" fontId="58" fillId="9" borderId="0" xfId="0" applyFont="1" applyFill="1" applyAlignment="1">
      <alignment horizontal="justify" vertical="center" wrapText="1"/>
    </xf>
    <xf numFmtId="0" fontId="58" fillId="9" borderId="7" xfId="0" applyFont="1" applyFill="1" applyBorder="1" applyAlignment="1">
      <alignment horizontal="justify" vertical="center" wrapText="1"/>
    </xf>
    <xf numFmtId="0" fontId="51" fillId="20" borderId="8" xfId="0" applyFont="1" applyFill="1" applyBorder="1" applyAlignment="1">
      <alignment wrapText="1"/>
    </xf>
    <xf numFmtId="0" fontId="51" fillId="20" borderId="0" xfId="0" applyFont="1" applyFill="1" applyAlignment="1">
      <alignment wrapText="1"/>
    </xf>
    <xf numFmtId="0" fontId="51" fillId="20" borderId="7" xfId="0" applyFont="1" applyFill="1" applyBorder="1" applyAlignment="1">
      <alignment wrapText="1"/>
    </xf>
    <xf numFmtId="0" fontId="58" fillId="9" borderId="8" xfId="0" applyFont="1" applyFill="1" applyBorder="1" applyAlignment="1">
      <alignment horizontal="justify" wrapText="1"/>
    </xf>
    <xf numFmtId="0" fontId="58" fillId="9" borderId="0" xfId="0" applyFont="1" applyFill="1" applyAlignment="1">
      <alignment horizontal="justify" wrapText="1"/>
    </xf>
    <xf numFmtId="0" fontId="58" fillId="9" borderId="7" xfId="0" applyFont="1" applyFill="1" applyBorder="1" applyAlignment="1">
      <alignment horizontal="justify" wrapText="1"/>
    </xf>
    <xf numFmtId="0" fontId="58" fillId="9" borderId="5" xfId="0" applyFont="1" applyFill="1" applyBorder="1" applyAlignment="1">
      <alignment horizontal="justify" vertical="center" wrapText="1"/>
    </xf>
    <xf numFmtId="0" fontId="58" fillId="9" borderId="6" xfId="0" applyFont="1" applyFill="1" applyBorder="1" applyAlignment="1">
      <alignment horizontal="justify" vertical="center" wrapText="1"/>
    </xf>
    <xf numFmtId="0" fontId="58" fillId="9" borderId="15" xfId="0" applyFont="1" applyFill="1" applyBorder="1" applyAlignment="1">
      <alignment horizontal="justify" vertical="center" wrapText="1"/>
    </xf>
    <xf numFmtId="0" fontId="60" fillId="20" borderId="8" xfId="0" applyFont="1" applyFill="1" applyBorder="1" applyAlignment="1">
      <alignment wrapText="1"/>
    </xf>
  </cellXfs>
  <cellStyles count="2">
    <cellStyle name="Hyperlink" xfId="1" builtinId="8"/>
    <cellStyle name="Normal" xfId="0" builtinId="0"/>
  </cellStyles>
  <dxfs count="1280">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border>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2"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5" tint="0.79998168889431442"/>
        </patternFill>
      </fill>
    </dxf>
    <dxf>
      <fill>
        <patternFill>
          <bgColor theme="2" tint="0.79998168889431442"/>
        </patternFill>
      </fill>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5" tint="0.79998168889431442"/>
        </patternFill>
      </fill>
      <border>
        <left/>
        <right/>
        <top/>
        <bottom/>
        <vertical/>
        <horizontal/>
      </border>
    </dxf>
    <dxf>
      <fill>
        <patternFill>
          <bgColor theme="2" tint="0.79998168889431442"/>
        </patternFill>
      </fill>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2"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border>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2"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5" tint="0.79998168889431442"/>
        </patternFill>
      </fill>
      <border>
        <left/>
        <right/>
        <top/>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2" tint="0.79998168889431442"/>
        </patternFill>
      </fill>
      <border>
        <left style="thin">
          <color auto="1"/>
        </left>
        <right style="thin">
          <color auto="1"/>
        </right>
        <top style="thin">
          <color auto="1"/>
        </top>
        <bottom style="thin">
          <color auto="1"/>
        </bottom>
      </border>
    </dxf>
    <dxf>
      <fill>
        <patternFill>
          <bgColor theme="2" tint="0.79998168889431442"/>
        </patternFill>
      </fill>
      <border>
        <left style="thin">
          <color auto="1"/>
        </left>
        <right style="thin">
          <color auto="1"/>
        </right>
        <top style="thin">
          <color auto="1"/>
        </top>
        <bottom style="thin">
          <color auto="1"/>
        </bottom>
      </border>
    </dxf>
    <dxf>
      <fill>
        <patternFill>
          <bgColor theme="2" tint="0.79998168889431442"/>
        </patternFill>
      </fill>
    </dxf>
    <dxf>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2" tint="0.79998168889431442"/>
        </patternFill>
      </fill>
      <border>
        <left style="thin">
          <color auto="1"/>
        </left>
        <right style="thin">
          <color auto="1"/>
        </right>
        <top style="thin">
          <color auto="1"/>
        </top>
        <bottom style="thin">
          <color auto="1"/>
        </bottom>
      </border>
    </dxf>
    <dxf>
      <fill>
        <patternFill>
          <bgColor theme="2" tint="0.79998168889431442"/>
        </patternFill>
      </fill>
      <border>
        <left style="thin">
          <color auto="1"/>
        </left>
        <right style="thin">
          <color auto="1"/>
        </right>
        <top style="thin">
          <color auto="1"/>
        </top>
        <bottom style="thin">
          <color auto="1"/>
        </bottom>
      </border>
    </dxf>
    <dxf>
      <fill>
        <patternFill>
          <bgColor theme="2" tint="0.79998168889431442"/>
        </patternFill>
      </fill>
      <border>
        <left style="thin">
          <color auto="1"/>
        </left>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dxf>
    <dxf>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92D050"/>
        </patternFill>
      </fill>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theme="4" tint="0.79998168889431442"/>
        </patternFill>
      </fill>
      <border>
        <left/>
        <right/>
        <top style="thin">
          <color auto="1"/>
        </top>
        <bottom style="thin">
          <color auto="1"/>
        </bottom>
        <vertical/>
        <horizontal/>
      </border>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FFC7C7"/>
        </patternFill>
      </fill>
    </dxf>
    <dxf>
      <fill>
        <patternFill>
          <bgColor rgb="FF92D050"/>
        </patternFill>
      </fill>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FFC7C7"/>
        </patternFill>
      </fill>
      <border>
        <left style="thin">
          <color auto="1"/>
        </left>
        <right style="thin">
          <color auto="1"/>
        </right>
        <top style="thin">
          <color auto="1"/>
        </top>
        <bottom style="thin">
          <color auto="1"/>
        </bottom>
      </border>
    </dxf>
    <dxf>
      <fill>
        <patternFill>
          <bgColor rgb="FF92D050"/>
        </patternFill>
      </fill>
    </dxf>
    <dxf>
      <fill>
        <patternFill>
          <bgColor rgb="FFFFC7C7"/>
        </patternFill>
      </fill>
    </dxf>
    <dxf>
      <fill>
        <patternFill>
          <bgColor theme="2" tint="0.7999816888943144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FFC7C7"/>
        </patternFill>
      </fill>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92D050"/>
        </patternFill>
      </fill>
    </dxf>
    <dxf>
      <fill>
        <patternFill>
          <bgColor theme="4" tint="0.79998168889431442"/>
        </patternFill>
      </fill>
      <border>
        <left/>
        <right/>
        <top style="thin">
          <color auto="1"/>
        </top>
        <bottom style="thin">
          <color auto="1"/>
        </bottom>
        <vertical/>
        <horizontal/>
      </border>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FFC7C7"/>
        </patternFill>
      </fill>
      <border>
        <left style="thin">
          <color auto="1"/>
        </left>
        <right style="thin">
          <color auto="1"/>
        </right>
        <top style="thin">
          <color auto="1"/>
        </top>
        <bottom style="thin">
          <color auto="1"/>
        </bottom>
      </border>
    </dxf>
    <dxf>
      <fill>
        <patternFill>
          <bgColor rgb="FF92D050"/>
        </patternFill>
      </fill>
    </dxf>
    <dxf>
      <fill>
        <patternFill>
          <bgColor rgb="FFFFC7C7"/>
        </patternFill>
      </fill>
    </dxf>
    <dxf>
      <fill>
        <patternFill>
          <bgColor theme="2" tint="0.7999816888943144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FFC7C7"/>
        </patternFill>
      </fill>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92D050"/>
        </patternFill>
      </fill>
    </dxf>
    <dxf>
      <fill>
        <patternFill>
          <bgColor theme="4" tint="0.79998168889431442"/>
        </patternFill>
      </fill>
      <border>
        <left/>
        <right/>
        <top style="thin">
          <color auto="1"/>
        </top>
        <bottom style="thin">
          <color auto="1"/>
        </bottom>
        <vertical/>
        <horizontal/>
      </border>
    </dxf>
    <dxf>
      <fill>
        <patternFill>
          <bgColor rgb="FFFFC7C7"/>
        </patternFill>
      </fill>
    </dxf>
    <dxf>
      <fill>
        <patternFill>
          <bgColor rgb="FF92D050"/>
        </patternFill>
      </fill>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FFC7C7"/>
        </patternFill>
      </fill>
    </dxf>
    <dxf>
      <fill>
        <patternFill>
          <bgColor rgb="FF92D050"/>
        </patternFill>
      </fill>
    </dxf>
    <dxf>
      <fill>
        <patternFill>
          <bgColor rgb="FFFFC7C7"/>
        </patternFill>
      </fill>
      <border>
        <left style="thin">
          <color auto="1"/>
        </left>
        <right style="thin">
          <color auto="1"/>
        </right>
        <top style="thin">
          <color auto="1"/>
        </top>
        <bottom style="thin">
          <color auto="1"/>
        </bottom>
      </border>
    </dxf>
    <dxf>
      <fill>
        <patternFill>
          <bgColor rgb="FF92D050"/>
        </patternFill>
      </fill>
    </dxf>
    <dxf>
      <fill>
        <patternFill>
          <bgColor rgb="FFFFC7C7"/>
        </patternFill>
      </fill>
    </dxf>
    <dxf>
      <fill>
        <patternFill>
          <bgColor theme="2" tint="0.79998168889431442"/>
        </patternFill>
      </fill>
      <border>
        <left style="thin">
          <color auto="1"/>
        </left>
      </border>
    </dxf>
    <dxf>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5" tint="0.79998168889431442"/>
        </patternFill>
      </fill>
      <border>
        <left/>
        <right/>
        <top/>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C4CE"/>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2" tint="0.7999816888943144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theme="9" tint="0.39994506668294322"/>
        </patternFill>
      </fill>
      <border>
        <left/>
        <right/>
        <top/>
        <bottom/>
      </border>
    </dxf>
    <dxf>
      <fill>
        <patternFill>
          <bgColor rgb="FFFFC7CE"/>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C4CE"/>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2" tint="0.7999816888943144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theme="7" tint="0.79998168889431442"/>
        </patternFill>
      </fill>
      <border>
        <left/>
        <right/>
        <top/>
        <bottom/>
      </border>
    </dxf>
    <dxf>
      <fill>
        <patternFill>
          <bgColor rgb="FFFFC7CE"/>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4CE"/>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theme="2" tint="0.7999816888943144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2" tint="0.79998168889431442"/>
        </patternFill>
      </fill>
    </dxf>
    <dxf>
      <fill>
        <patternFill>
          <bgColor theme="2" tint="0.79998168889431442"/>
        </patternFill>
      </fill>
    </dxf>
    <dxf>
      <fill>
        <patternFill>
          <bgColor theme="2"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C198E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ont>
        <strike val="0"/>
      </font>
      <fill>
        <patternFill>
          <bgColor rgb="FFE1CCF0"/>
        </patternFill>
      </fill>
      <border>
        <left/>
        <right/>
        <top/>
        <bottom/>
      </border>
    </dxf>
    <dxf>
      <fill>
        <patternFill>
          <bgColor rgb="FFFEDD79"/>
        </patternFill>
      </fill>
      <border>
        <left style="thin">
          <color auto="1"/>
        </left>
        <right style="thin">
          <color auto="1"/>
        </right>
        <top style="thin">
          <color auto="1"/>
        </top>
        <bottom style="thin">
          <color auto="1"/>
        </bottom>
      </border>
    </dxf>
    <dxf>
      <fill>
        <patternFill>
          <bgColor rgb="FF76B7DF"/>
        </patternFill>
      </fill>
      <border>
        <left style="thin">
          <color auto="1"/>
        </left>
        <right style="thin">
          <color auto="1"/>
        </right>
        <top style="thin">
          <color auto="1"/>
        </top>
        <bottom style="thin">
          <color auto="1"/>
        </bottom>
      </border>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EDD79"/>
        </patternFill>
      </fill>
      <border>
        <left style="thin">
          <color auto="1"/>
        </left>
        <right style="thin">
          <color auto="1"/>
        </right>
        <top style="thin">
          <color auto="1"/>
        </top>
        <bottom style="thin">
          <color auto="1"/>
        </bottom>
      </border>
    </dxf>
    <dxf>
      <fill>
        <patternFill>
          <bgColor rgb="FF76B7DF"/>
        </patternFill>
      </fill>
      <border>
        <left style="thin">
          <color auto="1"/>
        </left>
        <right style="thin">
          <color auto="1"/>
        </right>
        <top style="thin">
          <color auto="1"/>
        </top>
        <bottom style="thin">
          <color auto="1"/>
        </bottom>
      </border>
    </dxf>
    <dxf>
      <fill>
        <patternFill>
          <bgColor rgb="FFFEDD79"/>
        </patternFill>
      </fill>
      <border>
        <left style="thin">
          <color auto="1"/>
        </left>
        <right style="thin">
          <color auto="1"/>
        </right>
        <top style="thin">
          <color auto="1"/>
        </top>
        <bottom style="thin">
          <color auto="1"/>
        </bottom>
      </border>
    </dxf>
    <dxf>
      <fill>
        <patternFill>
          <bgColor rgb="FF76B7DF"/>
        </patternFill>
      </fill>
      <border>
        <left style="thin">
          <color auto="1"/>
        </left>
        <right style="thin">
          <color auto="1"/>
        </right>
        <top style="thin">
          <color auto="1"/>
        </top>
        <bottom style="thin">
          <color auto="1"/>
        </bottom>
      </border>
    </dxf>
    <dxf>
      <fill>
        <patternFill>
          <bgColor rgb="FFFEDD79"/>
        </patternFill>
      </fill>
      <border>
        <left style="thin">
          <color auto="1"/>
        </left>
        <right style="thin">
          <color auto="1"/>
        </right>
        <top style="thin">
          <color auto="1"/>
        </top>
        <bottom style="thin">
          <color auto="1"/>
        </bottom>
      </border>
    </dxf>
    <dxf>
      <fill>
        <patternFill>
          <bgColor rgb="FF76B7DF"/>
        </patternFill>
      </fill>
      <border>
        <left style="thin">
          <color auto="1"/>
        </left>
        <right style="thin">
          <color auto="1"/>
        </right>
        <top style="thin">
          <color auto="1"/>
        </top>
        <bottom style="thin">
          <color auto="1"/>
        </bottom>
      </border>
    </dxf>
    <dxf>
      <fill>
        <patternFill>
          <bgColor rgb="FFFEDD79"/>
        </patternFill>
      </fill>
      <border>
        <left style="thin">
          <color auto="1"/>
        </left>
        <right style="thin">
          <color auto="1"/>
        </right>
        <top style="thin">
          <color auto="1"/>
        </top>
        <bottom style="thin">
          <color auto="1"/>
        </bottom>
      </border>
    </dxf>
    <dxf>
      <fill>
        <patternFill>
          <bgColor rgb="FF76B7DF"/>
        </patternFill>
      </fill>
      <border>
        <left style="thin">
          <color auto="1"/>
        </left>
        <right style="thin">
          <color auto="1"/>
        </right>
        <top style="thin">
          <color auto="1"/>
        </top>
        <bottom style="thin">
          <color auto="1"/>
        </bottom>
      </border>
    </dxf>
    <dxf>
      <fill>
        <patternFill>
          <bgColor rgb="FFFEDD79"/>
        </patternFill>
      </fill>
      <border>
        <left style="thin">
          <color auto="1"/>
        </left>
        <right style="thin">
          <color auto="1"/>
        </right>
        <top style="thin">
          <color auto="1"/>
        </top>
        <bottom style="thin">
          <color auto="1"/>
        </bottom>
      </border>
    </dxf>
    <dxf>
      <fill>
        <patternFill>
          <bgColor rgb="FF76B7DF"/>
        </patternFill>
      </fill>
      <border>
        <left style="thin">
          <color auto="1"/>
        </left>
        <right style="thin">
          <color auto="1"/>
        </right>
        <top style="thin">
          <color auto="1"/>
        </top>
        <bottom style="thin">
          <color auto="1"/>
        </bottom>
      </border>
    </dxf>
    <dxf>
      <fill>
        <patternFill>
          <bgColor rgb="FFD2C3F3"/>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rgb="FFFFC7CE"/>
        </patternFill>
      </fill>
    </dxf>
    <dxf>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C7CE"/>
        </patternFill>
      </fill>
    </dxf>
    <dxf>
      <fill>
        <patternFill>
          <bgColor rgb="FFFFC7CE"/>
        </patternFill>
      </fill>
    </dxf>
    <dxf>
      <fill>
        <patternFill>
          <bgColor theme="4" tint="0.79998168889431442"/>
        </patternFill>
      </fill>
    </dxf>
    <dxf>
      <fill>
        <patternFill>
          <bgColor rgb="FFFFC7CE"/>
        </patternFill>
      </fill>
    </dxf>
    <dxf>
      <fill>
        <patternFill>
          <bgColor theme="4" tint="0.79998168889431442"/>
        </patternFill>
      </fill>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border>
    </dxf>
    <dxf>
      <fill>
        <patternFill>
          <bgColor theme="4" tint="0.79998168889431442"/>
        </patternFill>
      </fill>
    </dxf>
    <dxf>
      <fill>
        <patternFill>
          <bgColor rgb="FFFFC7CE"/>
        </patternFill>
      </fill>
    </dxf>
    <dxf>
      <fill>
        <patternFill>
          <bgColor theme="4" tint="0.79998168889431442"/>
        </patternFill>
      </fill>
    </dxf>
    <dxf>
      <fill>
        <patternFill>
          <bgColor theme="4" tint="0.79998168889431442"/>
        </patternFill>
      </fill>
    </dxf>
    <dxf>
      <fill>
        <patternFill>
          <bgColor theme="0" tint="-0.34998626667073579"/>
        </patternFill>
      </fill>
      <border>
        <left/>
        <right/>
        <top/>
        <bottom/>
        <vertical/>
        <horizontal/>
      </border>
    </dxf>
    <dxf>
      <fill>
        <patternFill>
          <bgColor theme="4" tint="0.79998168889431442"/>
        </patternFill>
      </fill>
    </dxf>
    <dxf>
      <fill>
        <patternFill>
          <bgColor theme="0" tint="-0.34998626667073579"/>
        </patternFill>
      </fill>
      <border>
        <left/>
        <right/>
        <top/>
        <bottom/>
        <vertical/>
        <horizontal/>
      </border>
    </dxf>
    <dxf>
      <fill>
        <patternFill>
          <bgColor theme="4" tint="0.79998168889431442"/>
        </patternFill>
      </fill>
    </dxf>
    <dxf>
      <fill>
        <patternFill>
          <bgColor theme="0" tint="-0.34998626667073579"/>
        </patternFill>
      </fill>
      <border>
        <left/>
        <right/>
        <top/>
        <bottom/>
        <vertical/>
        <horizontal/>
      </border>
    </dxf>
    <dxf>
      <fill>
        <patternFill>
          <bgColor theme="4" tint="0.79998168889431442"/>
        </patternFill>
      </fill>
    </dxf>
    <dxf>
      <fill>
        <patternFill>
          <bgColor theme="0" tint="-0.34998626667073579"/>
        </patternFill>
      </fill>
      <border>
        <left/>
        <right/>
        <top/>
        <bottom/>
      </border>
    </dxf>
    <dxf>
      <fill>
        <patternFill>
          <bgColor theme="0" tint="-0.34998626667073579"/>
        </patternFill>
      </fill>
      <border>
        <left/>
        <right/>
        <top/>
        <bottom/>
        <vertical/>
        <horizontal/>
      </border>
    </dxf>
    <dxf>
      <fill>
        <patternFill>
          <bgColor theme="0" tint="-0.34998626667073579"/>
        </patternFill>
      </fill>
      <border>
        <left/>
        <right/>
        <top/>
        <bottom/>
      </border>
    </dxf>
    <dxf>
      <fill>
        <patternFill>
          <bgColor theme="4" tint="0.79998168889431442"/>
        </patternFill>
      </fill>
    </dxf>
    <dxf>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C7CE"/>
        </patternFill>
      </fill>
    </dxf>
    <dxf>
      <fill>
        <patternFill>
          <bgColor theme="0" tint="-0.34998626667073579"/>
        </patternFill>
      </fill>
    </dxf>
    <dxf>
      <fill>
        <patternFill>
          <bgColor rgb="FFE2EFDA"/>
        </patternFill>
      </fill>
      <border>
        <left style="thin">
          <color auto="1"/>
        </left>
        <right style="thin">
          <color auto="1"/>
        </right>
        <top style="thin">
          <color auto="1"/>
        </top>
        <bottom style="thin">
          <color auto="1"/>
        </bottom>
        <vertical/>
        <horizontal/>
      </border>
    </dxf>
    <dxf>
      <fill>
        <patternFill>
          <bgColor rgb="FFE2EFDA"/>
        </patternFill>
      </fill>
      <border>
        <left style="thin">
          <color auto="1"/>
        </left>
        <right style="thin">
          <color auto="1"/>
        </right>
        <top style="thin">
          <color auto="1"/>
        </top>
        <bottom style="thin">
          <color auto="1"/>
        </bottom>
        <vertical/>
        <horizontal/>
      </border>
    </dxf>
    <dxf>
      <fill>
        <patternFill>
          <bgColor rgb="FFE2EFDA"/>
        </patternFill>
      </fill>
      <border>
        <left style="thin">
          <color auto="1"/>
        </left>
        <right style="thin">
          <color auto="1"/>
        </right>
        <top style="thin">
          <color auto="1"/>
        </top>
        <bottom style="thin">
          <color auto="1"/>
        </bottom>
        <vertical/>
        <horizontal/>
      </border>
    </dxf>
    <dxf>
      <fill>
        <patternFill>
          <bgColor rgb="FFE2EFDA"/>
        </patternFill>
      </fill>
      <border>
        <left style="thin">
          <color auto="1"/>
        </left>
        <right style="thin">
          <color auto="1"/>
        </right>
        <top style="thin">
          <color auto="1"/>
        </top>
        <bottom style="thin">
          <color auto="1"/>
        </bottom>
        <vertical/>
        <horizontal/>
      </border>
    </dxf>
    <dxf>
      <fill>
        <patternFill>
          <bgColor rgb="FFE2EFDA"/>
        </patternFill>
      </fill>
      <border>
        <left style="thin">
          <color auto="1"/>
        </left>
        <right style="thin">
          <color auto="1"/>
        </right>
        <top style="thin">
          <color auto="1"/>
        </top>
        <bottom style="thin">
          <color auto="1"/>
        </bottom>
        <vertical/>
        <horizontal/>
      </border>
    </dxf>
    <dxf>
      <fill>
        <patternFill>
          <bgColor rgb="FFE2EFDA"/>
        </patternFill>
      </fill>
      <border>
        <left style="thin">
          <color auto="1"/>
        </left>
        <right style="thin">
          <color auto="1"/>
        </right>
        <top style="thin">
          <color auto="1"/>
        </top>
        <bottom style="thin">
          <color auto="1"/>
        </bottom>
        <vertical/>
        <horizontal/>
      </border>
    </dxf>
    <dxf>
      <fill>
        <patternFill>
          <bgColor rgb="FFE2EFDA"/>
        </patternFill>
      </fill>
      <border>
        <left style="thin">
          <color auto="1"/>
        </left>
        <right style="thin">
          <color auto="1"/>
        </right>
        <top style="thin">
          <color auto="1"/>
        </top>
        <bottom style="thin">
          <color auto="1"/>
        </bottom>
        <vertical/>
        <horizontal/>
      </border>
    </dxf>
    <dxf>
      <fill>
        <patternFill>
          <bgColor rgb="FFE2EFDA"/>
        </patternFill>
      </fill>
      <border>
        <left style="thin">
          <color auto="1"/>
        </left>
        <right style="thin">
          <color auto="1"/>
        </right>
        <top style="thin">
          <color auto="1"/>
        </top>
        <bottom style="thin">
          <color auto="1"/>
        </bottom>
      </border>
    </dxf>
    <dxf>
      <fill>
        <patternFill>
          <bgColor theme="4" tint="0.79998168889431442"/>
        </patternFill>
      </fill>
    </dxf>
    <dxf>
      <fill>
        <patternFill>
          <bgColor theme="4" tint="0.79998168889431442"/>
        </patternFill>
      </fill>
    </dxf>
    <dxf>
      <fill>
        <patternFill>
          <bgColor rgb="FFFFC7CE"/>
        </patternFill>
      </fill>
    </dxf>
    <dxf>
      <fill>
        <patternFill>
          <bgColor rgb="FFFFC7CE"/>
        </patternFill>
      </fill>
    </dxf>
    <dxf>
      <fill>
        <patternFill>
          <bgColor rgb="FFFFC7CE"/>
        </patternFill>
      </fill>
    </dxf>
    <dxf>
      <fill>
        <patternFill>
          <bgColor theme="4" tint="0.79998168889431442"/>
        </patternFill>
      </fill>
    </dxf>
    <dxf>
      <fill>
        <patternFill>
          <bgColor rgb="FFFFC7CE"/>
        </patternFill>
      </fill>
    </dxf>
    <dxf>
      <fill>
        <patternFill>
          <bgColor theme="4" tint="0.79998168889431442"/>
        </patternFill>
      </fill>
    </dxf>
    <dxf>
      <fill>
        <patternFill>
          <bgColor rgb="FFFFC7CE"/>
        </patternFill>
      </fill>
    </dxf>
    <dxf>
      <border>
        <left style="thin">
          <color auto="1"/>
        </left>
        <right style="thin">
          <color auto="1"/>
        </right>
        <top style="thin">
          <color auto="1"/>
        </top>
        <bottom style="thin">
          <color auto="1"/>
        </bottom>
        <vertical/>
        <horizontal/>
      </border>
    </dxf>
    <dxf>
      <fill>
        <patternFill>
          <bgColor rgb="FFA9D08E"/>
        </patternFill>
      </fill>
      <border>
        <left/>
        <right style="thin">
          <color auto="1"/>
        </right>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34998626667073579"/>
        </patternFill>
      </fill>
      <border>
        <left/>
        <right/>
        <top/>
        <bottom/>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border>
    </dxf>
    <dxf>
      <fill>
        <patternFill>
          <bgColor theme="0" tint="-0.34998626667073579"/>
        </patternFill>
      </fill>
      <border>
        <left/>
        <right/>
        <top/>
        <bottom/>
      </border>
    </dxf>
    <dxf>
      <fill>
        <patternFill>
          <bgColor theme="0" tint="-0.34998626667073579"/>
        </patternFill>
      </fill>
    </dxf>
    <dxf>
      <fill>
        <patternFill>
          <bgColor theme="0" tint="-0.34998626667073579"/>
        </patternFill>
      </fill>
    </dxf>
    <dxf>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2EFDA"/>
        </patternFill>
      </fill>
      <border>
        <left style="thin">
          <color auto="1"/>
        </left>
        <right style="thin">
          <color auto="1"/>
        </right>
        <top style="thin">
          <color auto="1"/>
        </top>
        <bottom style="thin">
          <color auto="1"/>
        </bottom>
        <vertical/>
        <horizontal/>
      </border>
    </dxf>
    <dxf>
      <fill>
        <patternFill>
          <bgColor rgb="FFE2EFDA"/>
        </patternFill>
      </fill>
      <border>
        <left style="thin">
          <color auto="1"/>
        </left>
        <right style="thin">
          <color auto="1"/>
        </right>
        <top style="thin">
          <color auto="1"/>
        </top>
        <bottom style="thin">
          <color auto="1"/>
        </bottom>
        <vertical/>
        <horizontal/>
      </border>
    </dxf>
    <dxf>
      <fill>
        <patternFill>
          <bgColor rgb="FFE2EFDA"/>
        </patternFill>
      </fill>
      <border>
        <left style="thin">
          <color auto="1"/>
        </left>
        <right style="thin">
          <color auto="1"/>
        </right>
        <top style="thin">
          <color auto="1"/>
        </top>
        <bottom style="thin">
          <color auto="1"/>
        </bottom>
        <vertical/>
        <horizontal/>
      </border>
    </dxf>
    <dxf>
      <fill>
        <patternFill>
          <bgColor rgb="FFF1E8F8"/>
        </patternFill>
      </fill>
    </dxf>
    <dxf>
      <fill>
        <patternFill>
          <bgColor theme="0" tint="-0.34998626667073579"/>
        </patternFill>
      </fill>
      <border>
        <left/>
        <right/>
        <top/>
        <bottom/>
        <vertical/>
        <horizontal/>
      </border>
    </dxf>
    <dxf>
      <fill>
        <patternFill>
          <bgColor rgb="FFF1E8F8"/>
        </patternFill>
      </fill>
    </dxf>
    <dxf>
      <fill>
        <patternFill>
          <bgColor rgb="FFF1E8F8"/>
        </patternFill>
      </fill>
    </dxf>
    <dxf>
      <fill>
        <patternFill>
          <bgColor theme="9" tint="0.39994506668294322"/>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7CE"/>
        </patternFill>
      </fill>
    </dxf>
    <dxf>
      <fill>
        <patternFill>
          <bgColor theme="9" tint="0.39994506668294322"/>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theme="0" tint="-0.34998626667073579"/>
        </patternFill>
      </fill>
    </dxf>
    <dxf>
      <fill>
        <patternFill>
          <bgColor rgb="FFFFC7CE"/>
        </patternFill>
      </fill>
    </dxf>
    <dxf>
      <fill>
        <patternFill>
          <bgColor theme="0" tint="-0.34998626667073579"/>
        </patternFill>
      </fill>
      <border>
        <left/>
        <right/>
        <top/>
        <bottom/>
      </border>
    </dxf>
    <dxf>
      <fill>
        <patternFill>
          <bgColor theme="9" tint="0.39994506668294322"/>
        </patternFill>
      </fill>
    </dxf>
    <dxf>
      <fill>
        <patternFill>
          <bgColor theme="0" tint="-0.34998626667073579"/>
        </patternFill>
      </fill>
    </dxf>
    <dxf>
      <fill>
        <patternFill>
          <bgColor theme="9" tint="0.39994506668294322"/>
        </patternFill>
      </fill>
    </dxf>
    <dxf>
      <fill>
        <patternFill>
          <bgColor theme="0" tint="-0.34998626667073579"/>
        </patternFill>
      </fill>
      <border>
        <left/>
        <right/>
        <top/>
        <bottom/>
        <vertical/>
        <horizontal/>
      </border>
    </dxf>
    <dxf>
      <fill>
        <patternFill>
          <bgColor rgb="FFFFC7CE"/>
        </patternFill>
      </fill>
    </dxf>
    <dxf>
      <fill>
        <patternFill>
          <bgColor theme="9" tint="0.39994506668294322"/>
        </patternFill>
      </fill>
    </dxf>
    <dxf>
      <fill>
        <patternFill>
          <bgColor theme="0" tint="-0.34998626667073579"/>
        </patternFill>
      </fill>
      <border>
        <left/>
        <right/>
        <top/>
        <bottom/>
        <vertical/>
        <horizontal/>
      </border>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9" tint="0.39994506668294322"/>
        </patternFill>
      </fill>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9" tint="0.39994506668294322"/>
        </patternFill>
      </fill>
    </dxf>
    <dxf>
      <fill>
        <patternFill>
          <bgColor rgb="FFFFC7CE"/>
        </patternFill>
      </fill>
    </dxf>
    <dxf>
      <fill>
        <patternFill>
          <bgColor theme="0" tint="-0.34998626667073579"/>
        </patternFill>
      </fill>
    </dxf>
    <dxf>
      <fill>
        <patternFill>
          <bgColor theme="0" tint="-0.34998626667073579"/>
        </patternFill>
      </fill>
      <border>
        <left/>
        <right/>
        <top/>
        <bottom/>
        <vertical/>
        <horizontal/>
      </border>
    </dxf>
    <dxf>
      <fill>
        <patternFill>
          <bgColor rgb="FFFFC7CE"/>
        </patternFill>
      </fill>
    </dxf>
    <dxf>
      <fill>
        <patternFill>
          <bgColor theme="9" tint="0.39994506668294322"/>
        </patternFill>
      </fill>
    </dxf>
    <dxf>
      <fill>
        <patternFill>
          <bgColor theme="0" tint="-0.34998626667073579"/>
        </patternFill>
      </fill>
      <border>
        <left/>
        <right/>
        <top/>
        <bottom/>
      </border>
    </dxf>
    <dxf>
      <fill>
        <patternFill>
          <bgColor theme="0" tint="-0.34998626667073579"/>
        </patternFill>
      </fill>
    </dxf>
    <dxf>
      <fill>
        <patternFill>
          <bgColor theme="0" tint="-0.34998626667073579"/>
        </patternFill>
      </fill>
      <border>
        <left/>
        <right/>
        <top/>
        <bottom/>
      </border>
    </dxf>
    <dxf>
      <fill>
        <patternFill>
          <bgColor rgb="FFFFC7CE"/>
        </patternFill>
      </fill>
    </dxf>
    <dxf>
      <fill>
        <patternFill>
          <bgColor rgb="FFFFC7CE"/>
        </patternFill>
      </fill>
    </dxf>
    <dxf>
      <fill>
        <patternFill>
          <bgColor rgb="FFFFC7CE"/>
        </patternFill>
      </fill>
    </dxf>
    <dxf>
      <fill>
        <patternFill>
          <bgColor theme="9" tint="0.39994506668294322"/>
        </patternFill>
      </fill>
    </dxf>
    <dxf>
      <fill>
        <patternFill>
          <bgColor theme="9" tint="0.39994506668294322"/>
        </patternFill>
      </fill>
    </dxf>
    <dxf>
      <fill>
        <patternFill>
          <bgColor rgb="FFFFC7CE"/>
        </patternFill>
      </fill>
    </dxf>
    <dxf>
      <fill>
        <patternFill>
          <bgColor rgb="FFFFC7CE"/>
        </patternFill>
      </fill>
    </dxf>
    <dxf>
      <fill>
        <patternFill>
          <bgColor theme="0" tint="-0.34998626667073579"/>
        </patternFill>
      </fill>
    </dxf>
    <dxf>
      <fill>
        <patternFill>
          <bgColor rgb="FFFFC7CE"/>
        </patternFill>
      </fill>
    </dxf>
    <dxf>
      <fill>
        <patternFill>
          <bgColor theme="9" tint="0.39994506668294322"/>
        </patternFill>
      </fill>
    </dxf>
    <dxf>
      <fill>
        <patternFill>
          <bgColor rgb="FFFFC7CE"/>
        </patternFill>
      </fill>
    </dxf>
    <dxf>
      <fill>
        <patternFill>
          <bgColor rgb="FFFFC7CE"/>
        </patternFill>
      </fill>
    </dxf>
    <dxf>
      <fill>
        <patternFill>
          <bgColor theme="9" tint="0.39994506668294322"/>
        </patternFill>
      </fill>
    </dxf>
    <dxf>
      <fill>
        <patternFill>
          <bgColor theme="0" tint="-0.34998626667073579"/>
        </patternFill>
      </fill>
    </dxf>
    <dxf>
      <fill>
        <patternFill>
          <bgColor theme="9" tint="0.39994506668294322"/>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E2EFDA"/>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92D050"/>
        </patternFill>
      </fill>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rgb="FF92D050"/>
        </patternFill>
      </fill>
    </dxf>
    <dxf>
      <fill>
        <patternFill>
          <bgColor rgb="FFFFC7CE"/>
        </patternFill>
      </fill>
    </dxf>
    <dxf>
      <fill>
        <patternFill>
          <bgColor theme="0" tint="-0.34998626667073579"/>
        </patternFill>
      </fill>
      <border>
        <left/>
        <right/>
        <top/>
        <bottom/>
        <vertical/>
        <horizontal/>
      </border>
    </dxf>
    <dxf>
      <fill>
        <patternFill>
          <bgColor rgb="FF92D050"/>
        </patternFill>
      </fill>
    </dxf>
    <dxf>
      <fill>
        <patternFill>
          <bgColor theme="0" tint="-0.34998626667073579"/>
        </patternFill>
      </fill>
      <border>
        <left/>
        <right/>
        <top/>
        <bottom/>
      </border>
    </dxf>
    <dxf>
      <fill>
        <patternFill>
          <bgColor theme="0" tint="-0.34998626667073579"/>
        </patternFill>
      </fill>
      <border>
        <left/>
        <right/>
        <top/>
        <bottom/>
        <vertical/>
        <horizontal/>
      </border>
    </dxf>
    <dxf>
      <fill>
        <patternFill>
          <bgColor rgb="FFFFC7CE"/>
        </patternFill>
      </fill>
    </dxf>
    <dxf>
      <fill>
        <patternFill>
          <bgColor rgb="FF92D050"/>
        </patternFill>
      </fill>
    </dxf>
    <dxf>
      <fill>
        <patternFill>
          <bgColor theme="0" tint="-0.34998626667073579"/>
        </patternFill>
      </fill>
      <border>
        <left/>
        <right/>
        <top/>
        <bottom/>
        <vertical/>
        <horizontal/>
      </border>
    </dxf>
    <dxf>
      <fill>
        <patternFill>
          <bgColor rgb="FF92D050"/>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theme="0" tint="-0.34998626667073579"/>
        </patternFill>
      </fill>
      <border>
        <left/>
        <right/>
        <top/>
        <bottom/>
        <vertical/>
        <horizontal/>
      </border>
    </dxf>
    <dxf>
      <fill>
        <patternFill>
          <bgColor rgb="FF92D050"/>
        </patternFill>
      </fill>
    </dxf>
    <dxf>
      <fill>
        <patternFill>
          <bgColor rgb="FFFFC7CE"/>
        </patternFill>
      </fill>
    </dxf>
    <dxf>
      <fill>
        <patternFill>
          <bgColor theme="0" tint="-0.34998626667073579"/>
        </patternFill>
      </fill>
      <border>
        <left/>
        <right/>
        <top/>
        <bottom/>
        <vertical/>
        <horizontal/>
      </border>
    </dxf>
    <dxf>
      <fill>
        <patternFill>
          <bgColor rgb="FF92D050"/>
        </patternFill>
      </fill>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rgb="FF92D050"/>
        </patternFill>
      </fill>
    </dxf>
    <dxf>
      <fill>
        <patternFill>
          <bgColor rgb="FFFFC7CE"/>
        </patternFill>
      </fill>
    </dxf>
    <dxf>
      <fill>
        <patternFill>
          <bgColor theme="0" tint="-0.34998626667073579"/>
        </patternFill>
      </fill>
      <border>
        <left/>
        <right/>
        <top/>
        <bottom/>
        <vertical/>
        <horizontal/>
      </border>
    </dxf>
    <dxf>
      <fill>
        <patternFill>
          <bgColor theme="0" tint="-0.34998626667073579"/>
        </patternFill>
      </fill>
      <border>
        <left/>
        <right/>
        <top/>
        <bottom/>
      </border>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92D050"/>
        </patternFill>
      </fill>
    </dxf>
    <dxf>
      <fill>
        <patternFill>
          <bgColor theme="0" tint="-0.34998626667073579"/>
        </patternFill>
      </fill>
    </dxf>
    <dxf>
      <fill>
        <patternFill>
          <bgColor rgb="FF92D050"/>
        </patternFill>
      </fill>
    </dxf>
    <dxf>
      <fill>
        <patternFill>
          <bgColor rgb="FFFFC7CE"/>
        </patternFill>
      </fill>
    </dxf>
    <dxf>
      <fill>
        <patternFill>
          <bgColor rgb="FFE2EFDA"/>
        </patternFill>
      </fill>
      <border>
        <left style="thin">
          <color auto="1"/>
        </left>
        <right style="thin">
          <color auto="1"/>
        </right>
        <top style="thin">
          <color auto="1"/>
        </top>
        <bottom style="thin">
          <color auto="1"/>
        </bottom>
        <vertical/>
        <horizontal/>
      </border>
    </dxf>
    <dxf>
      <font>
        <color auto="1"/>
      </font>
      <fill>
        <patternFill>
          <bgColor theme="6" tint="0.79998168889431442"/>
        </patternFill>
      </fill>
    </dxf>
    <dxf>
      <fill>
        <patternFill>
          <bgColor theme="0" tint="-0.34998626667073579"/>
        </patternFill>
      </fill>
      <border>
        <left/>
        <right/>
        <top/>
        <bottom/>
        <vertical/>
        <horizontal/>
      </border>
    </dxf>
    <dxf>
      <fill>
        <patternFill>
          <bgColor theme="0" tint="-0.34998626667073579"/>
        </patternFill>
      </fill>
      <border>
        <left/>
        <right/>
        <top/>
        <bottom/>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A9D08E"/>
        </patternFill>
      </fill>
      <border>
        <bottom style="thin">
          <color auto="1"/>
        </bottom>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dxf>
    <dxf>
      <fill>
        <patternFill>
          <bgColor rgb="FFCCFF99"/>
        </patternFill>
      </fill>
    </dxf>
    <dxf>
      <fill>
        <patternFill>
          <bgColor theme="0" tint="-0.34998626667073579"/>
        </patternFill>
      </fill>
    </dxf>
    <dxf>
      <fill>
        <patternFill>
          <bgColor theme="5" tint="0.79998168889431442"/>
        </patternFill>
      </fill>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border>
    </dxf>
    <dxf>
      <fill>
        <patternFill>
          <bgColor rgb="FFE2EFDA"/>
        </patternFill>
      </fill>
      <border>
        <left style="thin">
          <color auto="1"/>
        </left>
        <right style="thin">
          <color auto="1"/>
        </right>
        <top style="thin">
          <color auto="1"/>
        </top>
        <bottom style="thin">
          <color auto="1"/>
        </bottom>
        <vertical/>
        <horizontal/>
      </border>
    </dxf>
    <dxf>
      <fill>
        <patternFill>
          <bgColor rgb="FFE2EFDA"/>
        </patternFill>
      </fill>
      <border>
        <left style="thin">
          <color auto="1"/>
        </left>
        <right style="thin">
          <color auto="1"/>
        </right>
        <top style="thin">
          <color auto="1"/>
        </top>
        <bottom style="thin">
          <color auto="1"/>
        </bottom>
        <vertical/>
        <horizontal/>
      </border>
    </dxf>
    <dxf>
      <fill>
        <patternFill>
          <bgColor rgb="FFE2EFDA"/>
        </patternFill>
      </fill>
      <border>
        <left style="thin">
          <color auto="1"/>
        </left>
        <right style="thin">
          <color auto="1"/>
        </right>
        <top style="thin">
          <color auto="1"/>
        </top>
        <bottom style="thin">
          <color auto="1"/>
        </bottom>
        <vertical/>
        <horizontal/>
      </border>
    </dxf>
    <dxf>
      <fill>
        <patternFill>
          <bgColor rgb="FFE2EFDA"/>
        </patternFill>
      </fill>
      <border>
        <left style="thin">
          <color auto="1"/>
        </left>
        <right style="thin">
          <color auto="1"/>
        </right>
        <top style="thin">
          <color auto="1"/>
        </top>
        <bottom style="thin">
          <color auto="1"/>
        </bottom>
        <vertical/>
        <horizontal/>
      </border>
    </dxf>
    <dxf>
      <fill>
        <patternFill>
          <bgColor rgb="FFE2EFDA"/>
        </patternFill>
      </fill>
      <border>
        <left style="thin">
          <color auto="1"/>
        </left>
        <right style="thin">
          <color auto="1"/>
        </right>
        <top style="thin">
          <color auto="1"/>
        </top>
        <bottom style="thin">
          <color auto="1"/>
        </bottom>
        <vertical/>
        <horizontal/>
      </border>
    </dxf>
    <dxf>
      <fill>
        <patternFill>
          <bgColor rgb="FFA9D08E"/>
        </patternFill>
      </fill>
      <border>
        <left style="thin">
          <color auto="1"/>
        </left>
        <right style="thin">
          <color auto="1"/>
        </right>
        <top style="thin">
          <color auto="1"/>
        </top>
        <bottom/>
        <vertical/>
        <horizontal/>
      </border>
    </dxf>
    <dxf>
      <fill>
        <patternFill>
          <bgColor rgb="FFA9D08E"/>
        </patternFill>
      </fill>
      <border>
        <left style="thin">
          <color auto="1"/>
        </left>
        <right style="thin">
          <color auto="1"/>
        </right>
        <top style="thin">
          <color auto="1"/>
        </top>
        <bottom style="thin">
          <color auto="1"/>
        </bottom>
      </border>
    </dxf>
    <dxf>
      <fill>
        <patternFill>
          <bgColor rgb="FFA9D08E"/>
        </patternFill>
      </fill>
      <border>
        <left style="thin">
          <color auto="1"/>
        </left>
        <right style="thin">
          <color auto="1"/>
        </right>
        <top style="thin">
          <color auto="1"/>
        </top>
        <bottom style="thin">
          <color auto="1"/>
        </bottom>
        <vertical/>
        <horizontal/>
      </border>
    </dxf>
    <dxf>
      <font>
        <b/>
        <i val="0"/>
        <color rgb="FFC00000"/>
      </font>
      <fill>
        <patternFill>
          <bgColor rgb="FFFFFF00"/>
        </patternFill>
      </fill>
    </dxf>
    <dxf>
      <font>
        <b/>
        <i val="0"/>
        <color rgb="FFC00000"/>
      </font>
      <fill>
        <patternFill>
          <bgColor rgb="FFFFFF00"/>
        </patternFill>
      </fill>
    </dxf>
    <dxf>
      <border>
        <left style="thin">
          <color auto="1"/>
        </left>
        <right style="thin">
          <color auto="1"/>
        </right>
        <top style="thin">
          <color auto="1"/>
        </top>
        <bottom style="thin">
          <color auto="1"/>
        </bottom>
        <vertical/>
        <horizontal/>
      </border>
    </dxf>
    <dxf>
      <fill>
        <patternFill>
          <bgColor theme="0" tint="-0.24994659260841701"/>
        </patternFill>
      </fill>
    </dxf>
    <dxf>
      <fill>
        <patternFill>
          <bgColor theme="8" tint="0.79998168889431442"/>
        </patternFill>
      </fill>
    </dxf>
    <dxf>
      <border>
        <left style="thin">
          <color auto="1"/>
        </left>
        <right style="thin">
          <color auto="1"/>
        </right>
        <top style="thin">
          <color auto="1"/>
        </top>
        <bottom style="thin">
          <color auto="1"/>
        </bottom>
        <vertical/>
        <horizontal/>
      </border>
    </dxf>
    <dxf>
      <border>
        <top style="thin">
          <color auto="1"/>
        </top>
        <vertical/>
        <horizontal/>
      </border>
    </dxf>
    <dxf>
      <fill>
        <patternFill>
          <bgColor theme="0" tint="-0.24994659260841701"/>
        </patternFill>
      </fill>
      <border>
        <left/>
        <right/>
        <top/>
        <bottom/>
        <vertical/>
        <horizontal/>
      </border>
    </dxf>
    <dxf>
      <border>
        <top style="thin">
          <color auto="1"/>
        </top>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dxf>
    <dxf>
      <fill>
        <patternFill>
          <bgColor theme="0" tint="-0.24994659260841701"/>
        </patternFill>
      </fill>
      <border>
        <left/>
        <right/>
        <top/>
        <bottom/>
        <vertical/>
        <horizontal/>
      </border>
    </dxf>
    <dxf>
      <border>
        <top style="thin">
          <color auto="1"/>
        </top>
        <vertical/>
        <horizontal/>
      </border>
    </dxf>
    <dxf>
      <fill>
        <patternFill>
          <bgColor theme="8" tint="0.79998168889431442"/>
        </patternFill>
      </fill>
    </dxf>
    <dxf>
      <fill>
        <patternFill>
          <bgColor theme="8" tint="0.59996337778862885"/>
        </patternFill>
      </fill>
    </dxf>
    <dxf>
      <font>
        <b/>
        <i val="0"/>
        <color rgb="FFC00000"/>
      </font>
      <fill>
        <patternFill>
          <bgColor rgb="FFFFFF00"/>
        </patternFill>
      </fill>
    </dxf>
    <dxf>
      <fill>
        <patternFill>
          <bgColor theme="9" tint="0.79998168889431442"/>
        </patternFill>
      </fill>
    </dxf>
    <dxf>
      <font>
        <color theme="0"/>
      </font>
      <fill>
        <patternFill>
          <bgColor rgb="FF002060"/>
        </patternFill>
      </fill>
    </dxf>
    <dxf>
      <border>
        <left style="thin">
          <color auto="1"/>
        </left>
        <right style="thin">
          <color auto="1"/>
        </right>
        <top style="thin">
          <color auto="1"/>
        </top>
        <bottom style="thin">
          <color auto="1"/>
        </bottom>
        <vertical/>
        <horizontal/>
      </border>
    </dxf>
    <dxf>
      <fill>
        <patternFill>
          <bgColor rgb="FFA9D08E"/>
        </patternFill>
      </fill>
      <border>
        <left style="thin">
          <color auto="1"/>
        </left>
        <right/>
        <top/>
        <bottom style="thin">
          <color auto="1"/>
        </bottom>
        <vertical/>
        <horizontal/>
      </border>
    </dxf>
    <dxf>
      <fill>
        <patternFill>
          <bgColor rgb="FFC7A1E3"/>
        </patternFill>
      </fill>
      <border>
        <left/>
        <right/>
        <top/>
        <bottom/>
      </border>
    </dxf>
    <dxf>
      <fill>
        <patternFill>
          <bgColor rgb="FFE2CFF1"/>
        </patternFill>
      </fill>
      <border>
        <left/>
        <right/>
        <top/>
        <bottom/>
        <vertical/>
        <horizontal/>
      </border>
    </dxf>
    <dxf>
      <fill>
        <patternFill>
          <bgColor rgb="FFFDCC2F"/>
        </patternFill>
      </fill>
    </dxf>
    <dxf>
      <fill>
        <patternFill>
          <bgColor rgb="FF76B7DF"/>
        </patternFill>
      </fill>
    </dxf>
    <dxf>
      <fill>
        <patternFill>
          <bgColor rgb="FF76B7DF"/>
        </patternFill>
      </fill>
    </dxf>
    <dxf>
      <fill>
        <patternFill>
          <bgColor rgb="FFFDCC2F"/>
        </patternFill>
      </fill>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border>
    </dxf>
    <dxf>
      <fill>
        <patternFill>
          <bgColor rgb="FF76B7DF"/>
        </patternFill>
      </fill>
      <border>
        <left style="thin">
          <color auto="1"/>
        </left>
        <right style="thin">
          <color auto="1"/>
        </right>
        <top style="thin">
          <color auto="1"/>
        </top>
        <bottom style="thin">
          <color auto="1"/>
        </bottom>
      </border>
    </dxf>
    <dxf>
      <fill>
        <patternFill>
          <bgColor rgb="FFFDCC2F"/>
        </patternFill>
      </fill>
      <border>
        <left style="thin">
          <color auto="1"/>
        </left>
        <right style="thin">
          <color auto="1"/>
        </right>
        <top style="thin">
          <color auto="1"/>
        </top>
        <bottom style="thin">
          <color auto="1"/>
        </bottom>
      </border>
    </dxf>
    <dxf>
      <fill>
        <patternFill>
          <bgColor theme="0" tint="-0.34998626667073579"/>
        </patternFill>
      </fill>
    </dxf>
    <dxf>
      <fill>
        <patternFill>
          <bgColor rgb="FF76B7DF"/>
        </patternFill>
      </fill>
    </dxf>
    <dxf>
      <fill>
        <patternFill>
          <bgColor rgb="FFFDCC2F"/>
        </patternFill>
      </fill>
    </dxf>
    <dxf>
      <font>
        <color rgb="FF002060"/>
      </font>
      <fill>
        <patternFill>
          <bgColor theme="8" tint="0.79998168889431442"/>
        </patternFill>
      </fill>
    </dxf>
    <dxf>
      <fill>
        <patternFill>
          <bgColor rgb="FFFEDD79"/>
        </patternFill>
      </fill>
    </dxf>
    <dxf>
      <fill>
        <patternFill>
          <bgColor rgb="FF76B7DF"/>
        </patternFill>
      </fill>
    </dxf>
    <dxf>
      <font>
        <color rgb="FF002060"/>
      </font>
      <fill>
        <patternFill>
          <bgColor theme="8" tint="0.79998168889431442"/>
        </patternFill>
      </fill>
    </dxf>
    <dxf>
      <font>
        <color rgb="FF002060"/>
      </font>
      <fill>
        <patternFill>
          <bgColor theme="7" tint="0.79998168889431442"/>
        </patternFill>
      </fill>
    </dxf>
    <dxf>
      <fill>
        <patternFill>
          <bgColor rgb="FF002060"/>
        </patternFill>
      </fill>
    </dxf>
    <dxf>
      <fill>
        <patternFill>
          <bgColor theme="8" tint="-0.499984740745262"/>
        </patternFill>
      </fill>
    </dxf>
    <dxf>
      <font>
        <color rgb="FF002060"/>
      </font>
      <fill>
        <patternFill>
          <bgColor theme="8" tint="0.79998168889431442"/>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1ECFB"/>
        </patternFill>
      </fill>
      <border>
        <left style="thin">
          <color auto="1"/>
        </left>
        <right style="thin">
          <color auto="1"/>
        </right>
        <top style="thin">
          <color auto="1"/>
        </top>
        <bottom style="thin">
          <color auto="1"/>
        </bottom>
        <vertical/>
        <horizontal/>
      </border>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1ECFB"/>
        </patternFill>
      </fill>
      <border>
        <left style="thin">
          <color auto="1"/>
        </left>
        <right style="thin">
          <color auto="1"/>
        </right>
        <top style="thin">
          <color auto="1"/>
        </top>
        <bottom style="thin">
          <color auto="1"/>
        </bottom>
        <vertical/>
        <horizontal/>
      </border>
    </dxf>
    <dxf>
      <fill>
        <patternFill>
          <bgColor rgb="FFFFC7CE"/>
        </patternFill>
      </fill>
    </dxf>
    <dxf>
      <fill>
        <patternFill>
          <bgColor rgb="FFF1ECFB"/>
        </patternFill>
      </fill>
      <border>
        <left style="thin">
          <color auto="1"/>
        </left>
        <right style="thin">
          <color auto="1"/>
        </right>
        <top style="thin">
          <color auto="1"/>
        </top>
        <bottom style="thin">
          <color auto="1"/>
        </bottom>
        <vertical/>
        <horizontal/>
      </border>
    </dxf>
    <dxf>
      <fill>
        <patternFill>
          <bgColor rgb="FFF1ECFB"/>
        </patternFill>
      </fill>
      <border>
        <left style="thin">
          <color auto="1"/>
        </left>
        <right style="thin">
          <color auto="1"/>
        </right>
        <top style="thin">
          <color auto="1"/>
        </top>
        <bottom style="thin">
          <color auto="1"/>
        </bottom>
        <vertical/>
        <horizontal/>
      </border>
    </dxf>
    <dxf>
      <fill>
        <patternFill>
          <bgColor rgb="FFF1ECFB"/>
        </patternFill>
      </fill>
      <border>
        <left style="thin">
          <color auto="1"/>
        </left>
        <right style="thin">
          <color auto="1"/>
        </right>
        <top style="thin">
          <color auto="1"/>
        </top>
        <bottom style="thin">
          <color auto="1"/>
        </bottom>
        <vertical/>
        <horizontal/>
      </border>
    </dxf>
    <dxf>
      <fill>
        <patternFill>
          <bgColor rgb="FFF1ECFB"/>
        </patternFill>
      </fill>
      <border>
        <left style="thin">
          <color auto="1"/>
        </left>
        <right style="thin">
          <color auto="1"/>
        </right>
        <top style="thin">
          <color auto="1"/>
        </top>
        <bottom style="thin">
          <color auto="1"/>
        </bottom>
        <vertical/>
        <horizontal/>
      </border>
    </dxf>
    <dxf>
      <fill>
        <patternFill>
          <bgColor rgb="FFF1ECFB"/>
        </patternFill>
      </fill>
      <border>
        <left style="thin">
          <color auto="1"/>
        </left>
        <right style="thin">
          <color auto="1"/>
        </right>
        <top style="thin">
          <color auto="1"/>
        </top>
        <bottom style="thin">
          <color auto="1"/>
        </bottom>
        <vertical/>
        <horizontal/>
      </border>
    </dxf>
    <dxf>
      <fill>
        <patternFill>
          <bgColor rgb="FFD2C3F3"/>
        </patternFill>
      </fill>
      <border>
        <left style="thin">
          <color auto="1"/>
        </left>
        <right style="thin">
          <color auto="1"/>
        </right>
        <top style="thin">
          <color auto="1"/>
        </top>
        <bottom style="thin">
          <color auto="1"/>
        </bottom>
        <vertical/>
        <horizontal/>
      </border>
    </dxf>
    <dxf>
      <fill>
        <patternFill>
          <bgColor rgb="FFF1ECFB"/>
        </patternFill>
      </fill>
      <border>
        <left style="thin">
          <color auto="1"/>
        </left>
        <right style="thin">
          <color auto="1"/>
        </right>
        <top style="thin">
          <color auto="1"/>
        </top>
        <bottom style="thin">
          <color auto="1"/>
        </bottom>
        <vertical/>
        <horizontal/>
      </border>
    </dxf>
    <dxf>
      <fill>
        <patternFill>
          <bgColor rgb="FFF1ECFB"/>
        </patternFill>
      </fill>
      <border>
        <left style="thin">
          <color auto="1"/>
        </left>
        <right style="thin">
          <color auto="1"/>
        </right>
        <top style="thin">
          <color auto="1"/>
        </top>
        <bottom style="thin">
          <color auto="1"/>
        </bottom>
        <vertical/>
        <horizontal/>
      </border>
    </dxf>
    <dxf>
      <fill>
        <patternFill>
          <bgColor rgb="FFF1ECFB"/>
        </patternFill>
      </fill>
      <border>
        <left style="thin">
          <color auto="1"/>
        </left>
        <right style="thin">
          <color auto="1"/>
        </right>
        <top style="thin">
          <color auto="1"/>
        </top>
        <bottom style="thin">
          <color auto="1"/>
        </bottom>
        <vertical/>
        <horizontal/>
      </border>
    </dxf>
    <dxf>
      <fill>
        <patternFill>
          <bgColor rgb="FFD2C3F3"/>
        </patternFill>
      </fill>
      <border>
        <left style="thin">
          <color auto="1"/>
        </left>
        <right style="thin">
          <color auto="1"/>
        </right>
        <top style="thin">
          <color auto="1"/>
        </top>
        <bottom style="thin">
          <color auto="1"/>
        </bottom>
        <vertical/>
        <horizontal/>
      </border>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1ECFB"/>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border>
    </dxf>
    <dxf>
      <fill>
        <patternFill>
          <bgColor rgb="FFFFC7CE"/>
        </patternFill>
      </fill>
    </dxf>
    <dxf>
      <fill>
        <patternFill>
          <bgColor rgb="FFFFC7CE"/>
        </patternFill>
      </fill>
    </dxf>
    <dxf>
      <fill>
        <patternFill>
          <bgColor rgb="FFFFC7CE"/>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rgb="FFFCE7DC"/>
        </patternFill>
      </fill>
      <border>
        <left style="thin">
          <color auto="1"/>
        </left>
        <right style="thin">
          <color auto="1"/>
        </right>
        <top style="thin">
          <color auto="1"/>
        </top>
        <bottom style="thin">
          <color auto="1"/>
        </bottom>
        <vertical/>
        <horizontal/>
      </border>
    </dxf>
    <dxf>
      <fill>
        <patternFill>
          <bgColor rgb="FFFCE7DC"/>
        </patternFill>
      </fill>
      <border>
        <left style="thin">
          <color auto="1"/>
        </left>
        <right style="thin">
          <color auto="1"/>
        </right>
        <top style="thin">
          <color auto="1"/>
        </top>
        <bottom style="thin">
          <color auto="1"/>
        </bottom>
        <vertical/>
        <horizontal/>
      </border>
    </dxf>
    <dxf>
      <fill>
        <patternFill>
          <bgColor rgb="FFFCE7DC"/>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1" tint="0.499984740745262"/>
        </patternFill>
      </fill>
    </dxf>
    <dxf>
      <fill>
        <patternFill>
          <bgColor theme="1" tint="0.499984740745262"/>
        </patternFill>
      </fill>
    </dxf>
    <dxf>
      <fill>
        <patternFill>
          <bgColor rgb="FFD0EAB4"/>
        </patternFill>
      </fill>
    </dxf>
    <dxf>
      <fill>
        <patternFill>
          <bgColor rgb="FFFF8B8B"/>
        </patternFill>
      </fill>
    </dxf>
    <dxf>
      <fill>
        <patternFill>
          <bgColor theme="4" tint="0.79998168889431442"/>
        </patternFill>
      </fill>
    </dxf>
    <dxf>
      <fill>
        <patternFill>
          <bgColor theme="6" tint="0.79998168889431442"/>
        </patternFill>
      </fill>
    </dxf>
    <dxf>
      <fill>
        <patternFill>
          <bgColor rgb="FFFF8B8B"/>
        </patternFill>
      </fill>
    </dxf>
    <dxf>
      <fill>
        <patternFill>
          <bgColor rgb="FFD0EAB4"/>
        </patternFill>
      </fill>
    </dxf>
    <dxf>
      <fill>
        <patternFill>
          <bgColor theme="6" tint="0.79998168889431442"/>
        </patternFill>
      </fill>
    </dxf>
    <dxf>
      <fill>
        <patternFill>
          <bgColor rgb="FFD0EAB4"/>
        </patternFill>
      </fill>
    </dxf>
    <dxf>
      <fill>
        <patternFill>
          <bgColor rgb="FFFF8B8B"/>
        </patternFill>
      </fill>
    </dxf>
    <dxf>
      <font>
        <b/>
        <i val="0"/>
        <color rgb="FFC00000"/>
      </font>
      <fill>
        <patternFill>
          <bgColor rgb="FFFFFF00"/>
        </patternFill>
      </fill>
    </dxf>
    <dxf>
      <fill>
        <patternFill>
          <bgColor theme="6" tint="0.79998168889431442"/>
        </patternFill>
      </fill>
    </dxf>
    <dxf>
      <fill>
        <patternFill>
          <bgColor rgb="FFFF8B8B"/>
        </patternFill>
      </fill>
    </dxf>
    <dxf>
      <fill>
        <patternFill>
          <bgColor rgb="FFD0EAB4"/>
        </patternFill>
      </fill>
    </dxf>
    <dxf>
      <font>
        <b/>
        <i val="0"/>
        <color rgb="FFC00000"/>
      </font>
      <fill>
        <patternFill>
          <bgColor rgb="FFFFFF00"/>
        </patternFill>
      </fill>
    </dxf>
    <dxf>
      <fill>
        <patternFill>
          <bgColor rgb="FFD0EAB4"/>
        </patternFill>
      </fill>
    </dxf>
    <dxf>
      <fill>
        <patternFill>
          <bgColor rgb="FFFF8B8B"/>
        </patternFill>
      </fill>
    </dxf>
    <dxf>
      <fill>
        <patternFill>
          <bgColor theme="6" tint="0.79998168889431442"/>
        </patternFill>
      </fill>
    </dxf>
    <dxf>
      <font>
        <b/>
        <i val="0"/>
        <color rgb="FFC00000"/>
      </font>
      <fill>
        <patternFill>
          <bgColor rgb="FFFFFF00"/>
        </patternFill>
      </fill>
    </dxf>
    <dxf>
      <fill>
        <patternFill>
          <bgColor rgb="FFD0EAB4"/>
        </patternFill>
      </fill>
    </dxf>
    <dxf>
      <fill>
        <patternFill>
          <bgColor rgb="FFFF8B8B"/>
        </patternFill>
      </fill>
    </dxf>
    <dxf>
      <fill>
        <patternFill>
          <bgColor theme="6" tint="0.79998168889431442"/>
        </patternFill>
      </fill>
    </dxf>
    <dxf>
      <fill>
        <patternFill>
          <bgColor rgb="FFFF8B8B"/>
        </patternFill>
      </fill>
    </dxf>
    <dxf>
      <fill>
        <patternFill>
          <bgColor theme="6" tint="0.79998168889431442"/>
        </patternFill>
      </fill>
    </dxf>
    <dxf>
      <fill>
        <patternFill>
          <bgColor rgb="FFD0EAB4"/>
        </patternFill>
      </fill>
    </dxf>
    <dxf>
      <fill>
        <patternFill>
          <bgColor rgb="FFD0EAB4"/>
        </patternFill>
      </fill>
    </dxf>
    <dxf>
      <fill>
        <patternFill>
          <bgColor theme="6" tint="0.79998168889431442"/>
        </patternFill>
      </fill>
    </dxf>
    <dxf>
      <fill>
        <patternFill>
          <bgColor rgb="FFFF8B8B"/>
        </patternFill>
      </fill>
    </dxf>
    <dxf>
      <fill>
        <patternFill>
          <bgColor rgb="FFD0EAB4"/>
        </patternFill>
      </fill>
    </dxf>
    <dxf>
      <fill>
        <patternFill>
          <bgColor theme="6" tint="0.79998168889431442"/>
        </patternFill>
      </fill>
    </dxf>
    <dxf>
      <fill>
        <patternFill>
          <bgColor rgb="FFD0EAB4"/>
        </patternFill>
      </fill>
    </dxf>
    <dxf>
      <fill>
        <patternFill>
          <bgColor rgb="FFFF8B8B"/>
        </patternFill>
      </fill>
    </dxf>
    <dxf>
      <fill>
        <patternFill>
          <bgColor rgb="FFFF8B8B"/>
        </patternFill>
      </fill>
    </dxf>
    <dxf>
      <fill>
        <patternFill>
          <bgColor rgb="FFD0EAB4"/>
        </patternFill>
      </fill>
    </dxf>
    <dxf>
      <fill>
        <patternFill>
          <bgColor theme="6" tint="0.79998168889431442"/>
        </patternFill>
      </fill>
    </dxf>
    <dxf>
      <fill>
        <patternFill>
          <bgColor theme="6" tint="0.79998168889431442"/>
        </patternFill>
      </fill>
    </dxf>
    <dxf>
      <fill>
        <patternFill>
          <bgColor rgb="FFD0EAB4"/>
        </patternFill>
      </fill>
    </dxf>
    <dxf>
      <fill>
        <patternFill>
          <bgColor rgb="FFFF8B8B"/>
        </patternFill>
      </fill>
    </dxf>
    <dxf>
      <font>
        <b/>
        <i val="0"/>
        <color rgb="FFC00000"/>
      </font>
      <fill>
        <patternFill>
          <bgColor rgb="FFFFFF00"/>
        </patternFill>
      </fill>
    </dxf>
    <dxf>
      <fill>
        <patternFill>
          <bgColor rgb="FFD0EAB4"/>
        </patternFill>
      </fill>
    </dxf>
    <dxf>
      <fill>
        <patternFill>
          <bgColor rgb="FFFF8B8B"/>
        </patternFill>
      </fill>
    </dxf>
    <dxf>
      <fill>
        <patternFill>
          <bgColor theme="6" tint="0.79998168889431442"/>
        </patternFill>
      </fill>
    </dxf>
    <dxf>
      <fill>
        <patternFill>
          <bgColor theme="6" tint="0.79998168889431442"/>
        </patternFill>
      </fill>
    </dxf>
    <dxf>
      <font>
        <b/>
        <i val="0"/>
        <color rgb="FFC00000"/>
      </font>
      <fill>
        <patternFill>
          <bgColor rgb="FFFFFF00"/>
        </patternFill>
      </fill>
    </dxf>
    <dxf>
      <fill>
        <patternFill>
          <bgColor rgb="FFD0EAB4"/>
        </patternFill>
      </fill>
    </dxf>
    <dxf>
      <fill>
        <patternFill>
          <bgColor rgb="FFFF8B8B"/>
        </patternFill>
      </fill>
    </dxf>
    <dxf>
      <fill>
        <patternFill>
          <bgColor rgb="FFFF8B8B"/>
        </patternFill>
      </fill>
    </dxf>
    <dxf>
      <font>
        <b/>
        <i val="0"/>
        <color rgb="FFC00000"/>
      </font>
      <fill>
        <patternFill>
          <bgColor rgb="FFFFFF00"/>
        </patternFill>
      </fill>
    </dxf>
    <dxf>
      <fill>
        <patternFill>
          <bgColor theme="6" tint="0.79998168889431442"/>
        </patternFill>
      </fill>
    </dxf>
    <dxf>
      <fill>
        <patternFill>
          <bgColor rgb="FFD0EAB4"/>
        </patternFill>
      </fill>
    </dxf>
    <dxf>
      <fill>
        <patternFill>
          <bgColor rgb="FFD0EAB4"/>
        </patternFill>
      </fill>
    </dxf>
    <dxf>
      <font>
        <b/>
        <i val="0"/>
        <color rgb="FFC00000"/>
      </font>
      <fill>
        <patternFill>
          <bgColor rgb="FFFFFF00"/>
        </patternFill>
      </fill>
    </dxf>
    <dxf>
      <fill>
        <patternFill>
          <bgColor theme="6" tint="0.79998168889431442"/>
        </patternFill>
      </fill>
    </dxf>
    <dxf>
      <fill>
        <patternFill>
          <bgColor rgb="FFFF8B8B"/>
        </patternFill>
      </fill>
    </dxf>
    <dxf>
      <fill>
        <patternFill>
          <bgColor rgb="FF92D050"/>
        </patternFill>
      </fill>
    </dxf>
    <dxf>
      <fill>
        <patternFill>
          <bgColor theme="7" tint="0.39994506668294322"/>
        </patternFill>
      </fill>
    </dxf>
    <dxf>
      <fill>
        <patternFill>
          <bgColor rgb="FFFFBDBD"/>
        </patternFill>
      </fill>
    </dxf>
    <dxf>
      <fill>
        <patternFill>
          <bgColor theme="1" tint="0.499984740745262"/>
        </patternFill>
      </fill>
    </dxf>
    <dxf>
      <fill>
        <patternFill>
          <bgColor theme="1" tint="0.499984740745262"/>
        </patternFill>
      </fill>
    </dxf>
    <dxf>
      <fill>
        <patternFill>
          <bgColor rgb="FFFF8B8B"/>
        </patternFill>
      </fill>
    </dxf>
    <dxf>
      <fill>
        <patternFill>
          <bgColor theme="6" tint="0.79998168889431442"/>
        </patternFill>
      </fill>
    </dxf>
    <dxf>
      <fill>
        <patternFill>
          <bgColor theme="0" tint="-0.499984740745262"/>
        </patternFill>
      </fill>
    </dxf>
    <dxf>
      <fill>
        <patternFill>
          <bgColor theme="0" tint="-0.499984740745262"/>
        </patternFill>
      </fill>
    </dxf>
    <dxf>
      <font>
        <b/>
        <i val="0"/>
        <color rgb="FFC00000"/>
      </font>
      <fill>
        <patternFill>
          <bgColor rgb="FFFFFF00"/>
        </patternFill>
      </fill>
    </dxf>
    <dxf>
      <font>
        <b/>
        <i val="0"/>
        <color rgb="FFC00000"/>
      </font>
      <fill>
        <patternFill>
          <bgColor rgb="FFFFFF00"/>
        </patternFill>
      </fill>
    </dxf>
    <dxf>
      <fill>
        <patternFill>
          <bgColor theme="0" tint="-0.499984740745262"/>
        </patternFill>
      </fill>
    </dxf>
  </dxfs>
  <tableStyles count="0" defaultTableStyle="TableStyleMedium2" defaultPivotStyle="PivotStyleLight16"/>
  <colors>
    <mruColors>
      <color rgb="FFFFC7CE"/>
      <color rgb="FFCCFF99"/>
      <color rgb="FFF1E8F8"/>
      <color rgb="FFCCCCFF"/>
      <color rgb="FFE1CCF0"/>
      <color rgb="FFC198E0"/>
      <color rgb="FFE2EFDA"/>
      <color rgb="FFA9D08E"/>
      <color rgb="FFFDCC2F"/>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215900</xdr:colOff>
      <xdr:row>0</xdr:row>
      <xdr:rowOff>0</xdr:rowOff>
    </xdr:from>
    <xdr:to>
      <xdr:col>1</xdr:col>
      <xdr:colOff>1301750</xdr:colOff>
      <xdr:row>3</xdr:row>
      <xdr:rowOff>149226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 y="0"/>
          <a:ext cx="1085850" cy="885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50800</xdr:colOff>
      <xdr:row>1</xdr:row>
      <xdr:rowOff>0</xdr:rowOff>
    </xdr:from>
    <xdr:to>
      <xdr:col>2</xdr:col>
      <xdr:colOff>727176</xdr:colOff>
      <xdr:row>2</xdr:row>
      <xdr:rowOff>38100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400" y="177800"/>
          <a:ext cx="1120876" cy="914400"/>
        </a:xfrm>
        <a:prstGeom prst="rect">
          <a:avLst/>
        </a:prstGeom>
      </xdr:spPr>
    </xdr:pic>
    <xdr:clientData/>
  </xdr:twoCellAnchor>
  <xdr:twoCellAnchor editAs="oneCell">
    <xdr:from>
      <xdr:col>13</xdr:col>
      <xdr:colOff>127000</xdr:colOff>
      <xdr:row>1</xdr:row>
      <xdr:rowOff>0</xdr:rowOff>
    </xdr:from>
    <xdr:to>
      <xdr:col>13</xdr:col>
      <xdr:colOff>1023112</xdr:colOff>
      <xdr:row>2</xdr:row>
      <xdr:rowOff>37734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88500" y="177800"/>
          <a:ext cx="896112" cy="9140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304800</xdr:colOff>
      <xdr:row>1</xdr:row>
      <xdr:rowOff>12700</xdr:rowOff>
    </xdr:from>
    <xdr:to>
      <xdr:col>2</xdr:col>
      <xdr:colOff>446024</xdr:colOff>
      <xdr:row>2</xdr:row>
      <xdr:rowOff>291860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4200" y="101600"/>
          <a:ext cx="1106424" cy="914160"/>
        </a:xfrm>
        <a:prstGeom prst="rect">
          <a:avLst/>
        </a:prstGeom>
      </xdr:spPr>
    </xdr:pic>
    <xdr:clientData/>
  </xdr:twoCellAnchor>
  <xdr:twoCellAnchor editAs="oneCell">
    <xdr:from>
      <xdr:col>11</xdr:col>
      <xdr:colOff>72571</xdr:colOff>
      <xdr:row>1</xdr:row>
      <xdr:rowOff>52616</xdr:rowOff>
    </xdr:from>
    <xdr:to>
      <xdr:col>11</xdr:col>
      <xdr:colOff>968683</xdr:colOff>
      <xdr:row>2</xdr:row>
      <xdr:rowOff>328066</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02571" y="143330"/>
          <a:ext cx="896112" cy="910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304800</xdr:colOff>
          <xdr:row>257</xdr:row>
          <xdr:rowOff>66675</xdr:rowOff>
        </xdr:from>
        <xdr:to>
          <xdr:col>1</xdr:col>
          <xdr:colOff>495300</xdr:colOff>
          <xdr:row>257</xdr:row>
          <xdr:rowOff>190500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262</xdr:row>
          <xdr:rowOff>66675</xdr:rowOff>
        </xdr:from>
        <xdr:to>
          <xdr:col>1</xdr:col>
          <xdr:colOff>495300</xdr:colOff>
          <xdr:row>262</xdr:row>
          <xdr:rowOff>190500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268</xdr:row>
          <xdr:rowOff>28575</xdr:rowOff>
        </xdr:from>
        <xdr:to>
          <xdr:col>1</xdr:col>
          <xdr:colOff>495300</xdr:colOff>
          <xdr:row>268</xdr:row>
          <xdr:rowOff>257175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274</xdr:row>
          <xdr:rowOff>28575</xdr:rowOff>
        </xdr:from>
        <xdr:to>
          <xdr:col>1</xdr:col>
          <xdr:colOff>523875</xdr:colOff>
          <xdr:row>274</xdr:row>
          <xdr:rowOff>238125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152400</xdr:colOff>
      <xdr:row>1</xdr:row>
      <xdr:rowOff>101600</xdr:rowOff>
    </xdr:from>
    <xdr:to>
      <xdr:col>2</xdr:col>
      <xdr:colOff>302696</xdr:colOff>
      <xdr:row>1</xdr:row>
      <xdr:rowOff>1015760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800" y="279400"/>
          <a:ext cx="1102796" cy="914160"/>
        </a:xfrm>
        <a:prstGeom prst="rect">
          <a:avLst/>
        </a:prstGeom>
      </xdr:spPr>
    </xdr:pic>
    <xdr:clientData/>
  </xdr:twoCellAnchor>
  <xdr:twoCellAnchor editAs="oneCell">
    <xdr:from>
      <xdr:col>6</xdr:col>
      <xdr:colOff>2064657</xdr:colOff>
      <xdr:row>1</xdr:row>
      <xdr:rowOff>141516</xdr:rowOff>
    </xdr:from>
    <xdr:to>
      <xdr:col>6</xdr:col>
      <xdr:colOff>2960769</xdr:colOff>
      <xdr:row>1</xdr:row>
      <xdr:rowOff>1051966</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91057" y="319316"/>
          <a:ext cx="896112" cy="9104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304800</xdr:colOff>
          <xdr:row>252</xdr:row>
          <xdr:rowOff>66675</xdr:rowOff>
        </xdr:from>
        <xdr:to>
          <xdr:col>1</xdr:col>
          <xdr:colOff>495300</xdr:colOff>
          <xdr:row>252</xdr:row>
          <xdr:rowOff>190500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10</xdr:col>
      <xdr:colOff>50800</xdr:colOff>
      <xdr:row>1</xdr:row>
      <xdr:rowOff>196850</xdr:rowOff>
    </xdr:from>
    <xdr:to>
      <xdr:col>10</xdr:col>
      <xdr:colOff>880722</xdr:colOff>
      <xdr:row>1</xdr:row>
      <xdr:rowOff>1158875</xdr:rowOff>
    </xdr:to>
    <xdr:pic>
      <xdr:nvPicPr>
        <xdr:cNvPr id="2" name="Picture 9" descr="CAAHEP logo">
          <a:extLst>
            <a:ext uri="{FF2B5EF4-FFF2-40B4-BE49-F238E27FC236}">
              <a16:creationId xmlns:a16="http://schemas.microsoft.com/office/drawing/2014/main" id="{00000000-0008-0000-04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097" t="14703" r="20572" b="20456"/>
        <a:stretch/>
      </xdr:blipFill>
      <xdr:spPr bwMode="auto">
        <a:xfrm>
          <a:off x="11201400" y="374650"/>
          <a:ext cx="829922"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254000</xdr:colOff>
      <xdr:row>1</xdr:row>
      <xdr:rowOff>114300</xdr:rowOff>
    </xdr:from>
    <xdr:to>
      <xdr:col>2</xdr:col>
      <xdr:colOff>184150</xdr:colOff>
      <xdr:row>1</xdr:row>
      <xdr:rowOff>1000126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3400" y="292100"/>
          <a:ext cx="1085850" cy="8858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isa's%20Place/2015%20SSR/Old%20EA/Old%20EASV%20Report%20CSSR%202015%20Standards%20SSFold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isa/Downloads/ISSR-2015%20Revised%202016.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A-I-CSSR"/>
      <sheetName val="Cover Page"/>
      <sheetName val="SV Findings"/>
      <sheetName val="Summary of Findings"/>
      <sheetName val="Response to the EA"/>
      <sheetName val="Interview Questions"/>
    </sheetNames>
    <sheetDataSet>
      <sheetData sheetId="0">
        <row r="25">
          <cell r="W25" t="str">
            <v>Yes</v>
          </cell>
        </row>
        <row r="26">
          <cell r="W26" t="str">
            <v>No</v>
          </cell>
        </row>
        <row r="27">
          <cell r="W27" t="str">
            <v>Inactive</v>
          </cell>
        </row>
      </sheetData>
      <sheetData sheetId="1">
        <row r="3">
          <cell r="U3" t="str">
            <v>Alex Stadthagen, MS, NRP, LP</v>
          </cell>
          <cell r="AA3" t="str">
            <v>Alex Stadthagen, MS, NRP, LP</v>
          </cell>
          <cell r="AF3" t="str">
            <v>Alex Stadthagen, MS, NRP, LP</v>
          </cell>
          <cell r="AK3" t="str">
            <v>Alex Stadthagen, MS, NRP, LP</v>
          </cell>
        </row>
        <row r="4">
          <cell r="U4" t="str">
            <v>Andrew Stern, MPA, MA, NRP</v>
          </cell>
          <cell r="AA4" t="str">
            <v>Andrew Stern, MPA, MA, NRP</v>
          </cell>
          <cell r="AF4" t="str">
            <v>Andrew Stern, MPA, MA, NRP</v>
          </cell>
          <cell r="AK4" t="str">
            <v>Andrew Stern, MPA, MA, NRP</v>
          </cell>
        </row>
        <row r="5">
          <cell r="U5" t="str">
            <v>Anthony Conrardy, MBA, MA, EMT-P, CIC</v>
          </cell>
          <cell r="AA5" t="str">
            <v>Anthony Conrardy, MBA, MA, EMT-P, CIC</v>
          </cell>
          <cell r="AF5" t="str">
            <v>Anthony Conrardy, MBA, MA, EMT-P, CIC</v>
          </cell>
          <cell r="AK5" t="str">
            <v>Anthony Conrardy, MBA, MA, EMT-P, CIC</v>
          </cell>
        </row>
        <row r="6">
          <cell r="U6" t="str">
            <v>Arthur Hsieh, MA, NRP</v>
          </cell>
          <cell r="AA6" t="str">
            <v>Arthur Hsieh, MA, NRP</v>
          </cell>
          <cell r="AF6" t="str">
            <v>Arthur Hsieh, MA, NRP</v>
          </cell>
          <cell r="AK6" t="str">
            <v>Arthur Hsieh, MA, NRP</v>
          </cell>
        </row>
        <row r="7">
          <cell r="U7" t="str">
            <v>Azeemuddin Ahmed, MD, MBA</v>
          </cell>
          <cell r="AA7" t="str">
            <v>Azeemuddin Ahmed, MD, MBA</v>
          </cell>
          <cell r="AF7" t="str">
            <v>Azeemuddin Ahmed, MD, MBA</v>
          </cell>
          <cell r="AK7" t="str">
            <v>Azeemuddin Ahmed, MD, MBA</v>
          </cell>
        </row>
        <row r="8">
          <cell r="U8" t="str">
            <v>Beth Natter, RN, BSN, EMT</v>
          </cell>
          <cell r="AA8" t="str">
            <v>Beth Natter, RN, BSN, EMT</v>
          </cell>
          <cell r="AF8" t="str">
            <v>Beth Natter, RN, BSN, EMT</v>
          </cell>
          <cell r="AK8" t="str">
            <v>Beth Natter, RN, BSN, EMT</v>
          </cell>
        </row>
        <row r="9">
          <cell r="U9" t="str">
            <v>Bill Drees, EdD, NRP</v>
          </cell>
          <cell r="AA9" t="str">
            <v>Bill Drees, EdD, NRP</v>
          </cell>
          <cell r="AF9" t="str">
            <v>Bill Drees, EdD, NRP</v>
          </cell>
          <cell r="AK9" t="str">
            <v>Bill Drees, EdD, NRP</v>
          </cell>
        </row>
        <row r="10">
          <cell r="U10" t="str">
            <v>Bill Young, EdD, NRP</v>
          </cell>
          <cell r="AA10" t="str">
            <v>Bill Young, EdD, NRP</v>
          </cell>
          <cell r="AF10" t="str">
            <v>Bill Young, EdD, NRP</v>
          </cell>
          <cell r="AK10" t="str">
            <v>Bill Young, EdD, NRP</v>
          </cell>
        </row>
        <row r="11">
          <cell r="U11" t="str">
            <v>Bradley E Dean, MA, NRP</v>
          </cell>
          <cell r="AA11" t="str">
            <v>Bradley E Dean, MA, NRP</v>
          </cell>
          <cell r="AF11" t="str">
            <v>Bradley E Dean, MA, NRP</v>
          </cell>
          <cell r="AK11" t="str">
            <v>Bradley E Dean, MA, NRP</v>
          </cell>
        </row>
        <row r="12">
          <cell r="U12" t="str">
            <v>Braiden Green, MPA, CCP NCEE</v>
          </cell>
          <cell r="AA12" t="str">
            <v>Braiden Green, MPA, CCP NCEE</v>
          </cell>
          <cell r="AF12" t="str">
            <v>Braiden Green, MPA, CCP NCEE</v>
          </cell>
          <cell r="AK12" t="str">
            <v>Braiden Green, MPA, CCP NCEE</v>
          </cell>
        </row>
        <row r="13">
          <cell r="U13" t="str">
            <v>Brian Hendrickson, MS, EMT-P</v>
          </cell>
          <cell r="AA13" t="str">
            <v>Brian Hendrickson, MS, EMT-P</v>
          </cell>
          <cell r="AF13" t="str">
            <v>Brian Hendrickson, MS, EMT-P</v>
          </cell>
          <cell r="AK13" t="str">
            <v>Brian Hendrickson, MS, EMT-P</v>
          </cell>
        </row>
        <row r="14">
          <cell r="U14" t="str">
            <v>Bryan Ericson, MEd, RN, NRP</v>
          </cell>
          <cell r="AA14" t="str">
            <v>Bryan Ericson, MEd, RN, NRP</v>
          </cell>
          <cell r="AF14" t="str">
            <v>Bryan Ericson, MEd, RN, NRP</v>
          </cell>
          <cell r="AK14" t="str">
            <v>Bryan Ericson, MEd, RN, NRP</v>
          </cell>
        </row>
        <row r="15">
          <cell r="U15" t="str">
            <v>Carl Voskamp, MBA, NRP, LP</v>
          </cell>
          <cell r="AA15" t="str">
            <v>Carl Voskamp, MBA, NRP, LP</v>
          </cell>
          <cell r="AF15" t="str">
            <v>Carl Voskamp, MBA, NRP, LP</v>
          </cell>
          <cell r="AK15" t="str">
            <v>Carl Voskamp, MBA, NRP, LP</v>
          </cell>
        </row>
        <row r="16">
          <cell r="U16" t="str">
            <v>Carol Ferguson, RN, MS, EMT-P</v>
          </cell>
          <cell r="AA16" t="str">
            <v>Carol Ferguson, RN, MS, EMT-P</v>
          </cell>
          <cell r="AF16" t="str">
            <v>Carol Ferguson, RN, MS, EMT-P</v>
          </cell>
          <cell r="AK16" t="str">
            <v>Carol Ferguson, RN, MS, EMT-P</v>
          </cell>
        </row>
        <row r="17">
          <cell r="U17" t="str">
            <v>Charles Foat, PhD, NRP</v>
          </cell>
          <cell r="AA17" t="str">
            <v>Charles Foat, PhD, NRP</v>
          </cell>
          <cell r="AF17" t="str">
            <v>Charles Foat, PhD, NRP</v>
          </cell>
          <cell r="AK17" t="str">
            <v>Charles Foat, PhD, NRP</v>
          </cell>
        </row>
        <row r="18">
          <cell r="U18" t="str">
            <v>Charles H Morton, BS, EMT-P</v>
          </cell>
          <cell r="AA18" t="str">
            <v>Charles H Morton, BS, EMT-P</v>
          </cell>
          <cell r="AF18" t="str">
            <v>Charles H Morton, BS, EMT-P</v>
          </cell>
          <cell r="AK18" t="str">
            <v>Charles H Morton, BS, EMT-P</v>
          </cell>
        </row>
        <row r="19">
          <cell r="U19" t="str">
            <v>Charles Sowerbrower, MEd, NRP, CCP-C</v>
          </cell>
          <cell r="AA19" t="str">
            <v>Charles Sowerbrower, MEd, NRP, CCP-C</v>
          </cell>
          <cell r="AF19" t="str">
            <v>Charles Sowerbrower, MEd, NRP, CCP-C</v>
          </cell>
          <cell r="AK19" t="str">
            <v>Charles Sowerbrower, MEd, NRP, CCP-C</v>
          </cell>
        </row>
        <row r="20">
          <cell r="U20" t="str">
            <v>Chris Caulkins, EdD, MPH, MA, NRP</v>
          </cell>
          <cell r="AA20" t="str">
            <v>Chris Caulkins, EdD, MPH, MA, NRP</v>
          </cell>
          <cell r="AF20" t="str">
            <v>Chris Caulkins, EdD, MPH, MA, NRP</v>
          </cell>
          <cell r="AK20" t="str">
            <v>Chris Caulkins, EdD, MPH, MA, NRP</v>
          </cell>
        </row>
        <row r="21">
          <cell r="U21" t="str">
            <v>Chris Hainsworth, MS, NRP</v>
          </cell>
          <cell r="AA21" t="str">
            <v>Chris Hainsworth, MS, NRP</v>
          </cell>
          <cell r="AF21" t="str">
            <v>Chris Hainsworth, MS, NRP</v>
          </cell>
          <cell r="AK21" t="str">
            <v>Chris Hainsworth, MS, NRP</v>
          </cell>
        </row>
        <row r="22">
          <cell r="U22" t="str">
            <v>Chris Nollette, EdD, NRP, LP</v>
          </cell>
          <cell r="AA22" t="str">
            <v>Chris Nollette, EdD, NRP, LP</v>
          </cell>
          <cell r="AF22" t="str">
            <v>Chris Nollette, EdD, NRP, LP</v>
          </cell>
          <cell r="AK22" t="str">
            <v>Chris Nollette, EdD, NRP, LP</v>
          </cell>
        </row>
        <row r="23">
          <cell r="U23" t="str">
            <v>Christopher DeMorse, DHSc, NRP</v>
          </cell>
          <cell r="AA23" t="str">
            <v>Christopher DeMorse, DHSc, NRP</v>
          </cell>
          <cell r="AF23" t="str">
            <v>Christopher DeMorse, DHSc, NRP</v>
          </cell>
          <cell r="AK23" t="str">
            <v>Christopher DeMorse, DHSc, NRP</v>
          </cell>
        </row>
        <row r="24">
          <cell r="U24" t="str">
            <v>Christopher Metsgar, MBA, MS, NRP, CCEMTP</v>
          </cell>
          <cell r="AA24" t="str">
            <v>Christopher Metsgar, MBA, MS, NRP, CCEMTP</v>
          </cell>
          <cell r="AF24" t="str">
            <v>Christopher Metsgar, MBA, MS, NRP, CCEMTP</v>
          </cell>
          <cell r="AK24" t="str">
            <v>Christopher Metsgar, MBA, MS, NRP, CCEMTP</v>
          </cell>
        </row>
        <row r="25">
          <cell r="U25" t="str">
            <v>Clary Mole, MSEM, NRP</v>
          </cell>
          <cell r="AA25" t="str">
            <v>Clary Mole, MSEM, NRP</v>
          </cell>
          <cell r="AF25" t="str">
            <v>Clary Mole, MSEM, NRP</v>
          </cell>
          <cell r="AK25" t="str">
            <v>Clary Mole, MSEM, NRP</v>
          </cell>
        </row>
        <row r="26">
          <cell r="U26" t="str">
            <v>Corey (Bryan) Grayson, EdD, NRP</v>
          </cell>
          <cell r="AA26" t="str">
            <v>Corey (Bryan) Grayson, EdD, NRP</v>
          </cell>
          <cell r="AF26" t="str">
            <v>Corey (Bryan) Grayson, EdD, NRP</v>
          </cell>
          <cell r="AK26" t="str">
            <v>Corey (Bryan) Grayson, EdD, NRP</v>
          </cell>
        </row>
        <row r="27">
          <cell r="U27" t="str">
            <v>Craig Davis, MEd, BS, EMT-P</v>
          </cell>
          <cell r="AA27" t="str">
            <v>Craig Davis, MEd, BS, EMT-P</v>
          </cell>
          <cell r="AF27" t="str">
            <v>Craig Davis, MEd, BS, EMT-P</v>
          </cell>
          <cell r="AK27" t="str">
            <v>Craig Davis, MEd, BS, EMT-P</v>
          </cell>
        </row>
        <row r="28">
          <cell r="U28" t="str">
            <v>Daniel Benard, MBA, EMT-P, I/C</v>
          </cell>
          <cell r="AA28" t="str">
            <v>Daniel Benard, MBA, EMT-P, I/C</v>
          </cell>
          <cell r="AF28" t="str">
            <v>Daniel Benard, MBA, EMT-P, I/C</v>
          </cell>
          <cell r="AK28" t="str">
            <v>Daniel Benard, MBA, EMT-P, I/C</v>
          </cell>
        </row>
        <row r="29">
          <cell r="U29" t="str">
            <v>Daniel Media, MA, RN, EMTP, I/C, PEM</v>
          </cell>
          <cell r="AA29" t="str">
            <v>Daniel Media, MA, RN, EMTP, I/C, PEM</v>
          </cell>
          <cell r="AF29" t="str">
            <v>Daniel Media, MA, RN, EMTP, I/C, PEM</v>
          </cell>
          <cell r="AK29" t="str">
            <v>Daniel Media, MA, RN, EMTP, I/C, PEM</v>
          </cell>
        </row>
        <row r="30">
          <cell r="U30" t="str">
            <v>Darryl Cleveland, BS, LP, EMT-P, CFO</v>
          </cell>
          <cell r="AA30" t="str">
            <v>Darryl Cleveland, BS, LP, EMT-P, CFO</v>
          </cell>
          <cell r="AF30" t="str">
            <v>Darryl Cleveland, BS, LP, EMT-P, CFO</v>
          </cell>
          <cell r="AK30" t="str">
            <v>Darryl Cleveland, BS, LP, EMT-P, CFO</v>
          </cell>
        </row>
        <row r="31">
          <cell r="U31" t="str">
            <v>David Becker, MA, EMT-P, EFO</v>
          </cell>
          <cell r="AA31" t="str">
            <v>David Becker, MA, EMT-P, EFO</v>
          </cell>
          <cell r="AF31" t="str">
            <v>David Becker, MA, EMT-P, EFO</v>
          </cell>
          <cell r="AK31" t="str">
            <v>David Becker, MA, EMT-P, EFO</v>
          </cell>
        </row>
        <row r="32">
          <cell r="U32" t="str">
            <v>David Cauthen, PsyD, EMT-P, IC</v>
          </cell>
          <cell r="AA32" t="str">
            <v>David Cauthen, PsyD, EMT-P, IC</v>
          </cell>
          <cell r="AF32" t="str">
            <v>David Cauthen, PsyD, EMT-P, IC</v>
          </cell>
          <cell r="AK32" t="str">
            <v>David Cauthen, PsyD, EMT-P, IC</v>
          </cell>
        </row>
        <row r="33">
          <cell r="U33" t="str">
            <v>David Hunt, MPA, NRP</v>
          </cell>
          <cell r="AA33" t="str">
            <v>David Hunt, MPA, NRP</v>
          </cell>
          <cell r="AF33" t="str">
            <v>David Hunt, MPA, NRP</v>
          </cell>
          <cell r="AK33" t="str">
            <v>David Hunt, MPA, NRP</v>
          </cell>
        </row>
        <row r="34">
          <cell r="U34" t="str">
            <v>David Page, MS, NRP</v>
          </cell>
          <cell r="AA34" t="str">
            <v>David Page, MS, NRP</v>
          </cell>
          <cell r="AF34" t="str">
            <v>David Page, MS, NRP</v>
          </cell>
          <cell r="AK34" t="str">
            <v>David Page, MS, NRP</v>
          </cell>
        </row>
        <row r="35">
          <cell r="U35" t="str">
            <v>Debra Cason, MS, RN, EMT-P</v>
          </cell>
          <cell r="AA35" t="str">
            <v>Debra Cason, MS, RN, EMT-P</v>
          </cell>
          <cell r="AF35" t="str">
            <v>Debra Cason, MS, RN, EMT-P</v>
          </cell>
          <cell r="AK35" t="str">
            <v>Debra Cason, MS, RN, EMT-P</v>
          </cell>
        </row>
        <row r="36">
          <cell r="U36" t="str">
            <v>Denise Wilfong, PhD,  NRP</v>
          </cell>
          <cell r="AA36" t="str">
            <v>Denise Wilfong, PhD,  NRP</v>
          </cell>
          <cell r="AF36" t="str">
            <v>Denise Wilfong, PhD,  NRP</v>
          </cell>
          <cell r="AK36" t="str">
            <v>Denise Wilfong, PhD,  NRP</v>
          </cell>
        </row>
        <row r="37">
          <cell r="U37" t="str">
            <v>Dennis Allin, MD, FACEP, FAAEM</v>
          </cell>
          <cell r="AA37" t="str">
            <v>Dennis Allin, MD, FACEP, FAAEM</v>
          </cell>
          <cell r="AF37" t="str">
            <v>Dennis Allin, MD, FACEP, FAAEM</v>
          </cell>
          <cell r="AK37" t="str">
            <v>Dennis Allin, MD, FACEP, FAAEM</v>
          </cell>
        </row>
        <row r="38">
          <cell r="U38" t="str">
            <v>Dewey Eric Anderson, MHA, EMT-P</v>
          </cell>
          <cell r="AA38" t="str">
            <v>Dewey Eric Anderson, MHA, EMT-P</v>
          </cell>
          <cell r="AF38" t="str">
            <v>Dewey Eric Anderson, MHA, EMT-P</v>
          </cell>
          <cell r="AK38" t="str">
            <v>Dewey Eric Anderson, MHA, EMT-P</v>
          </cell>
        </row>
        <row r="39">
          <cell r="U39" t="str">
            <v>Diane Flint, DPA, MS, NRP, CCEMTP</v>
          </cell>
          <cell r="AA39" t="str">
            <v>Diane Flint, DPA, MS, NRP, CCEMTP</v>
          </cell>
          <cell r="AF39" t="str">
            <v>Diane Flint, DPA, MS, NRP, CCEMTP</v>
          </cell>
          <cell r="AK39" t="str">
            <v>Diane Flint, DPA, MS, NRP, CCEMTP</v>
          </cell>
        </row>
        <row r="40">
          <cell r="U40" t="str">
            <v>Donald Locasto, MD</v>
          </cell>
          <cell r="AA40" t="str">
            <v>Donald Locasto, MD</v>
          </cell>
          <cell r="AF40" t="str">
            <v>Donald Locasto, MD</v>
          </cell>
          <cell r="AK40" t="str">
            <v>Donald Locasto, MD</v>
          </cell>
        </row>
        <row r="41">
          <cell r="U41" t="str">
            <v>Donna G Tidwell, MS, RN, EMT-P</v>
          </cell>
          <cell r="AA41" t="str">
            <v>Donna G Tidwell, MS, RN, EMT-P</v>
          </cell>
          <cell r="AF41" t="str">
            <v>Donna G Tidwell, MS, RN, EMT-P</v>
          </cell>
          <cell r="AK41" t="str">
            <v>Donna G Tidwell, MS, RN, EMT-P</v>
          </cell>
        </row>
        <row r="42">
          <cell r="U42" t="str">
            <v>Douglas Paris, MEd, NRP</v>
          </cell>
          <cell r="AA42" t="str">
            <v>Douglas Paris, MEd, NRP</v>
          </cell>
          <cell r="AF42" t="str">
            <v>Douglas Paris, MEd, NRP</v>
          </cell>
          <cell r="AK42" t="str">
            <v>Douglas Paris, MEd, NRP</v>
          </cell>
        </row>
        <row r="43">
          <cell r="U43" t="str">
            <v>Douglas K York, NRP, PS</v>
          </cell>
          <cell r="AA43" t="str">
            <v>Douglas K York, NRP, PS</v>
          </cell>
          <cell r="AF43" t="str">
            <v>Douglas K York, NRP, PS</v>
          </cell>
          <cell r="AK43" t="str">
            <v>Douglas K York, NRP, PS</v>
          </cell>
        </row>
        <row r="44">
          <cell r="U44" t="str">
            <v>Edward Lee, EdS, NRP, CCEMT-P</v>
          </cell>
          <cell r="AA44" t="str">
            <v>Edward Lee, EdS, NRP, CCEMT-P</v>
          </cell>
          <cell r="AF44" t="str">
            <v>Edward Lee, EdS, NRP, CCEMT-P</v>
          </cell>
          <cell r="AK44" t="str">
            <v>Edward Lee, EdS, NRP, CCEMT-P</v>
          </cell>
        </row>
        <row r="45">
          <cell r="U45" t="str">
            <v>Elaine Karr Remington, MS, EMTP</v>
          </cell>
          <cell r="AA45" t="str">
            <v>Elaine Karr Remington, MS, EMTP</v>
          </cell>
          <cell r="AF45" t="str">
            <v>Elaine Karr Remington, MS, EMTP</v>
          </cell>
          <cell r="AK45" t="str">
            <v>Elaine Karr Remington, MS, EMTP</v>
          </cell>
        </row>
        <row r="46">
          <cell r="U46" t="str">
            <v>Elliot Carhart, EdD, RRT, NRP</v>
          </cell>
          <cell r="AA46" t="str">
            <v>Elliot Carhart, EdD, RRT, NRP</v>
          </cell>
          <cell r="AF46" t="str">
            <v>Elliot Carhart, EdD, RRT, NRP</v>
          </cell>
          <cell r="AK46" t="str">
            <v>Elliot Carhart, EdD, RRT, NRP</v>
          </cell>
        </row>
        <row r="47">
          <cell r="U47" t="str">
            <v>Eric Allmon, MSEd, NRP, NCEE</v>
          </cell>
          <cell r="AA47" t="str">
            <v>Eric Allmon, MSEd, NRP, NCEE</v>
          </cell>
          <cell r="AF47" t="str">
            <v>Eric Allmon, MSEd, NRP, NCEE</v>
          </cell>
          <cell r="AK47" t="str">
            <v>Eric Allmon, MSEd, NRP, NCEE</v>
          </cell>
        </row>
        <row r="48">
          <cell r="U48" t="str">
            <v>Eric Bentley, MD, FACS</v>
          </cell>
          <cell r="AA48" t="str">
            <v>Eric Bentley, MD, FACS</v>
          </cell>
          <cell r="AF48" t="str">
            <v>Eric Bentley, MD, FACS</v>
          </cell>
          <cell r="AK48" t="str">
            <v>Eric Bentley, MD, FACS</v>
          </cell>
        </row>
        <row r="49">
          <cell r="U49" t="str">
            <v>Eve Kwiatkowski, BS, NRP</v>
          </cell>
          <cell r="AA49" t="str">
            <v>Eve Kwiatkowski, BS, NRP</v>
          </cell>
          <cell r="AF49" t="str">
            <v>Eve Kwiatkowski, BS, NRP</v>
          </cell>
          <cell r="AK49" t="str">
            <v>Eve Kwiatkowski, BS, NRP</v>
          </cell>
        </row>
        <row r="50">
          <cell r="U50" t="str">
            <v>Frank Mineo, PhD, EMT-P</v>
          </cell>
          <cell r="AA50" t="str">
            <v>Frank Mineo, PhD, EMT-P</v>
          </cell>
          <cell r="AF50" t="str">
            <v>Frank Mineo, PhD, EMT-P</v>
          </cell>
          <cell r="AK50" t="str">
            <v>Frank Mineo, PhD, EMT-P</v>
          </cell>
        </row>
        <row r="51">
          <cell r="U51" t="str">
            <v>Gary Bonewald, MEd, LP</v>
          </cell>
          <cell r="AA51" t="str">
            <v>Gary Bonewald, MEd, LP</v>
          </cell>
          <cell r="AF51" t="str">
            <v>Gary Bonewald, MEd, LP</v>
          </cell>
          <cell r="AK51" t="str">
            <v>Gary Bonewald, MEd, LP</v>
          </cell>
        </row>
        <row r="52">
          <cell r="U52" t="str">
            <v>Gina Riggs, MEd, CCEMTP</v>
          </cell>
          <cell r="AA52" t="str">
            <v>Gina Riggs, MEd, CCEMTP</v>
          </cell>
          <cell r="AF52" t="str">
            <v>Gina Riggs, MEd, CCEMTP</v>
          </cell>
          <cell r="AK52" t="str">
            <v>Gina Riggs, MEd, CCEMTP</v>
          </cell>
        </row>
        <row r="53">
          <cell r="U53" t="str">
            <v>Glen Mayhew, DHSc, NRP</v>
          </cell>
          <cell r="AA53" t="str">
            <v>Glen Mayhew, DHSc, NRP</v>
          </cell>
          <cell r="AF53" t="str">
            <v>Glen Mayhew, DHSc, NRP</v>
          </cell>
          <cell r="AK53" t="str">
            <v>Glen Mayhew, DHSc, NRP</v>
          </cell>
        </row>
        <row r="54">
          <cell r="U54" t="str">
            <v>Gordon Kokx, PhD, NRP</v>
          </cell>
          <cell r="AA54" t="str">
            <v>Gordon Kokx, PhD, NRP</v>
          </cell>
          <cell r="AF54" t="str">
            <v>Gordon Kokx, PhD, NRP</v>
          </cell>
          <cell r="AK54" t="str">
            <v>Gordon Kokx, PhD, NRP</v>
          </cell>
        </row>
        <row r="55">
          <cell r="U55" t="str">
            <v>Gregory Chapman, BS, RRT, EMT-P</v>
          </cell>
          <cell r="AA55" t="str">
            <v>Gregory Chapman, BS, RRT, EMT-P</v>
          </cell>
          <cell r="AF55" t="str">
            <v>Gregory Chapman, BS, RRT, EMT-P</v>
          </cell>
          <cell r="AK55" t="str">
            <v>Gregory Chapman, BS, RRT, EMT-P</v>
          </cell>
        </row>
        <row r="56">
          <cell r="U56" t="str">
            <v>Gregory Frailey, DO, FACOEP</v>
          </cell>
          <cell r="AA56" t="str">
            <v>Gregory Frailey, DO, FACOEP</v>
          </cell>
          <cell r="AF56" t="str">
            <v>Gregory Frailey, DO, FACOEP</v>
          </cell>
          <cell r="AK56" t="str">
            <v>Gregory Frailey, DO, FACOEP</v>
          </cell>
        </row>
        <row r="57">
          <cell r="U57" t="str">
            <v>Greg Mullen, MS, NRP</v>
          </cell>
          <cell r="AA57" t="str">
            <v>Greg Mullen, MS, NRP</v>
          </cell>
          <cell r="AF57" t="str">
            <v>Greg Mullen, MS, NRP</v>
          </cell>
          <cell r="AK57" t="str">
            <v>Greg Mullen, MS, NRP</v>
          </cell>
        </row>
        <row r="58">
          <cell r="U58" t="str">
            <v>Gregg Lander, BS, NRP</v>
          </cell>
          <cell r="AA58" t="str">
            <v>Gregg Lander, BS, NRP</v>
          </cell>
          <cell r="AF58" t="str">
            <v>Gregg Lander, BS, NRP</v>
          </cell>
          <cell r="AK58" t="str">
            <v>Gregg Lander, BS, NRP</v>
          </cell>
        </row>
        <row r="59">
          <cell r="U59" t="str">
            <v>Jackilyn E Williams, RN, MSN</v>
          </cell>
          <cell r="AA59" t="str">
            <v>Jackilyn E Williams, RN, MSN</v>
          </cell>
          <cell r="AF59" t="str">
            <v>Jackilyn E Williams, RN, MSN</v>
          </cell>
          <cell r="AK59" t="str">
            <v>Jackilyn E Williams, RN, MSN</v>
          </cell>
        </row>
        <row r="60">
          <cell r="U60" t="str">
            <v>James DiClemente, BS, NRP, NCEE</v>
          </cell>
          <cell r="AA60" t="str">
            <v>James DiClemente, BS, NRP, NCEE</v>
          </cell>
          <cell r="AF60" t="str">
            <v>James DiClemente, BS, NRP, NCEE</v>
          </cell>
          <cell r="AK60" t="str">
            <v>James DiClemente, BS, NRP, NCEE</v>
          </cell>
        </row>
        <row r="61">
          <cell r="U61" t="str">
            <v>James Dinsch, MS, NRP, CCEMTP</v>
          </cell>
          <cell r="AA61" t="str">
            <v>James Dinsch, MS, NRP, CCEMTP</v>
          </cell>
          <cell r="AF61" t="str">
            <v>James Dinsch, MS, NRP, CCEMTP</v>
          </cell>
          <cell r="AK61" t="str">
            <v>James Dinsch, MS, NRP, CCEMTP</v>
          </cell>
        </row>
        <row r="62">
          <cell r="U62" t="str">
            <v>James Jones, BAS, NRP</v>
          </cell>
          <cell r="AA62" t="str">
            <v>James Jones, BAS, NRP</v>
          </cell>
          <cell r="AF62" t="str">
            <v>James Jones, BAS, NRP</v>
          </cell>
          <cell r="AK62" t="str">
            <v>James Jones, BAS, NRP</v>
          </cell>
        </row>
        <row r="63">
          <cell r="U63" t="str">
            <v>Jason Hemler, MS, EMT-P</v>
          </cell>
          <cell r="AA63" t="str">
            <v>Jason Hemler, MS, EMT-P</v>
          </cell>
          <cell r="AF63" t="str">
            <v>Jason Hemler, MS, EMT-P</v>
          </cell>
          <cell r="AK63" t="str">
            <v>Jason Hemler, MS, EMT-P</v>
          </cell>
        </row>
        <row r="64">
          <cell r="U64" t="str">
            <v>Jeff Grunow, MSN, NRP, NCEE</v>
          </cell>
          <cell r="AA64" t="str">
            <v>Jeff Grunow, MSN, NRP, NCEE</v>
          </cell>
          <cell r="AF64" t="str">
            <v>Jeff Grunow, MSN, NRP, NCEE</v>
          </cell>
          <cell r="AK64" t="str">
            <v>Jeff Grunow, MSN, NRP, NCEE</v>
          </cell>
        </row>
        <row r="65">
          <cell r="U65" t="str">
            <v>Jeff McDonald, MEd, NRP</v>
          </cell>
          <cell r="AA65" t="str">
            <v>Jeff McDonald, MEd, NRP</v>
          </cell>
          <cell r="AF65" t="str">
            <v>Jeff McDonald, MEd, NRP</v>
          </cell>
          <cell r="AK65" t="str">
            <v>Jeff McDonald, MEd, NRP</v>
          </cell>
        </row>
        <row r="66">
          <cell r="U66" t="str">
            <v>Jerry Findley, MA, LP</v>
          </cell>
          <cell r="AA66" t="str">
            <v>Jerry Findley, MA, LP</v>
          </cell>
          <cell r="AF66" t="str">
            <v>Jerry Findley, MA, LP</v>
          </cell>
          <cell r="AK66" t="str">
            <v>Jerry Findley, MA, LP</v>
          </cell>
        </row>
        <row r="67">
          <cell r="U67" t="str">
            <v>Jesse Davis, MEd, NRP</v>
          </cell>
          <cell r="AA67" t="str">
            <v>Jesse Davis, MEd, NRP</v>
          </cell>
          <cell r="AF67" t="str">
            <v>Jesse Davis, MEd, NRP</v>
          </cell>
          <cell r="AK67" t="str">
            <v>Jesse Davis, MEd, NRP</v>
          </cell>
        </row>
        <row r="68">
          <cell r="U68" t="str">
            <v>Joey Thompson, MEd, EMT-P</v>
          </cell>
          <cell r="AA68" t="str">
            <v>Joey Thompson, MEd, EMT-P</v>
          </cell>
          <cell r="AF68" t="str">
            <v>Joey Thompson, MEd, EMT-P</v>
          </cell>
          <cell r="AK68" t="str">
            <v>Joey Thompson, MEd, EMT-P</v>
          </cell>
        </row>
        <row r="69">
          <cell r="U69" t="str">
            <v>John Brown, MD, MPA, FACEP, FAEMS</v>
          </cell>
          <cell r="AA69" t="str">
            <v>John Brown, MD, MPA, FACEP, FAEMS</v>
          </cell>
          <cell r="AF69" t="str">
            <v>John Brown, MD, MPA, FACEP, FAEMS</v>
          </cell>
          <cell r="AK69" t="str">
            <v>John Brown, MD, MPA, FACEP, FAEMS</v>
          </cell>
        </row>
        <row r="70">
          <cell r="U70" t="str">
            <v>John C Cook, EdD, MBA, NRP</v>
          </cell>
          <cell r="AA70" t="str">
            <v>John C Cook, EdD, MBA, NRP</v>
          </cell>
          <cell r="AF70" t="str">
            <v>John C Cook, EdD, MBA, NRP</v>
          </cell>
          <cell r="AK70" t="str">
            <v>John C Cook, EdD, MBA, NRP</v>
          </cell>
        </row>
        <row r="71">
          <cell r="U71" t="str">
            <v>Jon Berryman, BS, EMT-P</v>
          </cell>
          <cell r="AA71" t="str">
            <v>Jon Berryman, BS, EMT-P</v>
          </cell>
          <cell r="AF71" t="str">
            <v>Jon Berryman, BS, EMT-P</v>
          </cell>
          <cell r="AK71" t="str">
            <v>Jon Berryman, BS, EMT-P</v>
          </cell>
        </row>
        <row r="72">
          <cell r="U72" t="str">
            <v>Jonathan Willoughby, MEd, NRP</v>
          </cell>
          <cell r="AA72" t="str">
            <v>Jonathan Willoughby, MEd, NRP</v>
          </cell>
          <cell r="AF72" t="str">
            <v>Jonathan Willoughby, MEd, NRP</v>
          </cell>
          <cell r="AK72" t="str">
            <v>Jonathan Willoughby, MEd, NRP</v>
          </cell>
        </row>
        <row r="73">
          <cell r="U73" t="str">
            <v>Joseph Mistovich, MEd, NRP</v>
          </cell>
          <cell r="AA73" t="str">
            <v>Joseph Mistovich, MEd, NRP</v>
          </cell>
          <cell r="AF73" t="str">
            <v>Joseph Mistovich, MEd, NRP</v>
          </cell>
          <cell r="AK73" t="str">
            <v>Joseph Mistovich, MEd, NRP</v>
          </cell>
        </row>
        <row r="74">
          <cell r="U74" t="str">
            <v>Joshua Stilley, MD</v>
          </cell>
          <cell r="AA74" t="str">
            <v>Joshua Stilley, MD</v>
          </cell>
          <cell r="AF74" t="str">
            <v>Joshua Stilley, MD</v>
          </cell>
          <cell r="AK74" t="str">
            <v>Joshua Stilley, MD</v>
          </cell>
        </row>
        <row r="75">
          <cell r="U75" t="str">
            <v>Karen Barker, EdD, RN, EMT-P</v>
          </cell>
          <cell r="AA75" t="str">
            <v>Karen Barker, EdD, RN, EMT-P</v>
          </cell>
          <cell r="AF75" t="str">
            <v>Karen Barker, EdD, RN, EMT-P</v>
          </cell>
          <cell r="AK75" t="str">
            <v>Karen Barker, EdD, RN, EMT-P</v>
          </cell>
        </row>
        <row r="76">
          <cell r="U76" t="str">
            <v>Kelli Sears, BS, NRP</v>
          </cell>
          <cell r="AA76" t="str">
            <v>Kelli Sears, BS, NRP</v>
          </cell>
          <cell r="AF76" t="str">
            <v>Kelli Sears, BS, NRP</v>
          </cell>
          <cell r="AK76" t="str">
            <v>Kelli Sears, BS, NRP</v>
          </cell>
        </row>
        <row r="77">
          <cell r="U77" t="str">
            <v>Kelly Weller, EdD, RN, LP</v>
          </cell>
          <cell r="AA77" t="str">
            <v>Kelly Weller, EdD, RN, LP</v>
          </cell>
          <cell r="AF77" t="str">
            <v>Kelly Weller, EdD, RN, LP</v>
          </cell>
          <cell r="AK77" t="str">
            <v>Kelly Weller, EdD, RN, LP</v>
          </cell>
        </row>
        <row r="78">
          <cell r="U78" t="str">
            <v>Kenneth Williams, MDiv, BS, NRP</v>
          </cell>
          <cell r="AA78" t="str">
            <v>Kenneth Williams, MDiv, BS, NRP</v>
          </cell>
          <cell r="AF78" t="str">
            <v>Kenneth Williams, MDiv, BS, NRP</v>
          </cell>
          <cell r="AK78" t="str">
            <v>Kenneth Williams, MDiv, BS, NRP</v>
          </cell>
        </row>
        <row r="79">
          <cell r="U79" t="str">
            <v>Kent Spitler, MSEd, RN, NRP, CPP</v>
          </cell>
          <cell r="AA79" t="str">
            <v>Kent Spitler, MSEd, RN, NRP, CPP</v>
          </cell>
          <cell r="AF79" t="str">
            <v>Kent Spitler, MSEd, RN, NRP, CPP</v>
          </cell>
          <cell r="AK79" t="str">
            <v>Kent Spitler, MSEd, RN, NRP, CPP</v>
          </cell>
        </row>
        <row r="80">
          <cell r="U80" t="str">
            <v>Kim McKenna, PhD, RN, EMT-P</v>
          </cell>
          <cell r="AA80" t="str">
            <v>Kim McKenna, PhD, RN, EMT-P</v>
          </cell>
          <cell r="AF80" t="str">
            <v>Kim McKenna, PhD, RN, EMT-P</v>
          </cell>
          <cell r="AK80" t="str">
            <v>Kim McKenna, PhD, RN, EMT-P</v>
          </cell>
        </row>
        <row r="81">
          <cell r="U81" t="str">
            <v>Kim Miller, MEd, LP</v>
          </cell>
          <cell r="AA81" t="str">
            <v>Kim Miller, MEd, LP</v>
          </cell>
          <cell r="AF81" t="str">
            <v>Kim Miller, MEd, LP</v>
          </cell>
          <cell r="AK81" t="str">
            <v>Kim Miller, MEd, LP</v>
          </cell>
        </row>
        <row r="82">
          <cell r="U82" t="str">
            <v>Kristina Long, MPA, NRP</v>
          </cell>
          <cell r="AA82" t="str">
            <v>Kristina Long, MPA, NRP</v>
          </cell>
          <cell r="AF82" t="str">
            <v>Kristina Long, MPA, NRP</v>
          </cell>
          <cell r="AK82" t="str">
            <v>Kristina Long, MPA, NRP</v>
          </cell>
        </row>
        <row r="83">
          <cell r="U83" t="str">
            <v>Leaugeay Barnes, MS, NRP, CCEMPT</v>
          </cell>
          <cell r="AA83" t="str">
            <v>Leaugeay Barnes, MS, NRP, CCEMPT</v>
          </cell>
          <cell r="AF83" t="str">
            <v>Leaugeay Barnes, MS, NRP, CCEMPT</v>
          </cell>
          <cell r="AK83" t="str">
            <v>Leaugeay Barnes, MS, NRP, CCEMPT</v>
          </cell>
        </row>
        <row r="84">
          <cell r="U84" t="str">
            <v>Linda V Anderson, BSN, RN</v>
          </cell>
          <cell r="AA84" t="str">
            <v>Linda V Anderson, BSN, RN</v>
          </cell>
          <cell r="AF84" t="str">
            <v>Linda V Anderson, BSN, RN</v>
          </cell>
          <cell r="AK84" t="str">
            <v>Linda V Anderson, BSN, RN</v>
          </cell>
        </row>
        <row r="85">
          <cell r="U85" t="str">
            <v>Lindi Holt, PhD, NCEE, NRP</v>
          </cell>
          <cell r="AA85" t="str">
            <v>Lindi Holt, PhD, NCEE, NRP</v>
          </cell>
          <cell r="AF85" t="str">
            <v>Lindi Holt, PhD, NCEE, NRP</v>
          </cell>
          <cell r="AK85" t="str">
            <v>Lindi Holt, PhD, NCEE, NRP</v>
          </cell>
        </row>
        <row r="86">
          <cell r="U86" t="str">
            <v>Lindsay Eakes, BS, NRP</v>
          </cell>
          <cell r="AA86" t="str">
            <v>Lindsay Eakes, BS, NRP</v>
          </cell>
          <cell r="AF86" t="str">
            <v>Lindsay Eakes, BS, NRP</v>
          </cell>
          <cell r="AK86" t="str">
            <v>Lindsay Eakes, BS, NRP</v>
          </cell>
        </row>
        <row r="87">
          <cell r="U87" t="str">
            <v>Louis Mallory, MBA, PMD</v>
          </cell>
          <cell r="AA87" t="str">
            <v>Louis Mallory, MBA, PMD</v>
          </cell>
          <cell r="AF87" t="str">
            <v>Louis Mallory, MBA, PMD</v>
          </cell>
          <cell r="AK87" t="str">
            <v>Louis Mallory, MBA, PMD</v>
          </cell>
        </row>
        <row r="88">
          <cell r="U88" t="str">
            <v>Maia Dorsett, MD, PhD</v>
          </cell>
          <cell r="AA88" t="str">
            <v>Maia Dorsett, MD, PhD</v>
          </cell>
          <cell r="AF88" t="str">
            <v>Maia Dorsett, MD, PhD</v>
          </cell>
          <cell r="AK88" t="str">
            <v>Maia Dorsett, MD, PhD</v>
          </cell>
        </row>
        <row r="89">
          <cell r="U89" t="str">
            <v>Manuel Ramirez, BAT, LP</v>
          </cell>
          <cell r="AA89" t="str">
            <v>Manuel Ramirez, BAT, LP</v>
          </cell>
          <cell r="AF89" t="str">
            <v>Manuel Ramirez, BAT, LP</v>
          </cell>
          <cell r="AK89" t="str">
            <v>Manuel Ramirez, BAT, LP</v>
          </cell>
        </row>
        <row r="90">
          <cell r="U90" t="str">
            <v>Marie S Gospodareck, MA, NRP</v>
          </cell>
          <cell r="AA90" t="str">
            <v>Marie S Gospodareck, MA, NRP</v>
          </cell>
          <cell r="AF90" t="str">
            <v>Marie S Gospodareck, MA, NRP</v>
          </cell>
          <cell r="AK90" t="str">
            <v>Marie S Gospodareck, MA, NRP</v>
          </cell>
        </row>
        <row r="91">
          <cell r="U91" t="str">
            <v>Mark Branon, MA, NRP</v>
          </cell>
          <cell r="AA91" t="str">
            <v>Mark Branon, MA, NRP</v>
          </cell>
          <cell r="AF91" t="str">
            <v>Mark Branon, MA, NRP</v>
          </cell>
          <cell r="AK91" t="str">
            <v>Mark Branon, MA, NRP</v>
          </cell>
        </row>
        <row r="92">
          <cell r="U92" t="str">
            <v>Mark Simpson, MSN, NRP, RN, PHIC</v>
          </cell>
          <cell r="AA92" t="str">
            <v>Mark Simpson, MSN, NRP, RN, PHIC</v>
          </cell>
          <cell r="AF92" t="str">
            <v>Mark Simpson, MSN, NRP, RN, PHIC</v>
          </cell>
          <cell r="AK92" t="str">
            <v>Mark Simpson, MSN, NRP, RN, PHIC</v>
          </cell>
        </row>
        <row r="93">
          <cell r="U93" t="str">
            <v>Megan Corry, EdD, NRP</v>
          </cell>
          <cell r="AA93" t="str">
            <v>Megan Corry, EdD, NRP</v>
          </cell>
          <cell r="AF93" t="str">
            <v>Megan Corry, EdD, NRP</v>
          </cell>
          <cell r="AK93" t="str">
            <v>Megan Corry, EdD, NRP</v>
          </cell>
        </row>
        <row r="94">
          <cell r="U94" t="str">
            <v>Melissa Stuive, MEd, LP</v>
          </cell>
          <cell r="AA94" t="str">
            <v>Melissa Stuive, MEd, LP</v>
          </cell>
          <cell r="AF94" t="str">
            <v>Melissa Stuive, MEd, LP</v>
          </cell>
          <cell r="AK94" t="str">
            <v>Melissa Stuive, MEd, LP</v>
          </cell>
        </row>
        <row r="95">
          <cell r="U95" t="str">
            <v>Michael McLaughlin, PhD, NRP</v>
          </cell>
          <cell r="AA95" t="str">
            <v>Michael McLaughlin, PhD, NRP</v>
          </cell>
          <cell r="AF95" t="str">
            <v>Michael McLaughlin, PhD, NRP</v>
          </cell>
          <cell r="AK95" t="str">
            <v>Michael McLaughlin, PhD, NRP</v>
          </cell>
        </row>
        <row r="96">
          <cell r="U96" t="str">
            <v>Michael Miller, EdD, MS, BSEMS, RN</v>
          </cell>
          <cell r="AA96" t="str">
            <v>Michael Miller, EdD, MS, BSEMS, RN</v>
          </cell>
          <cell r="AF96" t="str">
            <v>Michael Miller, EdD, MS, BSEMS, RN</v>
          </cell>
          <cell r="AK96" t="str">
            <v>Michael Miller, EdD, MS, BSEMS, RN</v>
          </cell>
        </row>
        <row r="97">
          <cell r="U97" t="str">
            <v>Nerina J Stepanovsky, PhD, MSN, RN, EMT-P</v>
          </cell>
          <cell r="AA97" t="str">
            <v>Nerina J Stepanovsky, PhD, MSN, RN, EMT-P</v>
          </cell>
          <cell r="AF97" t="str">
            <v>Nerina J Stepanovsky, PhD, MSN, RN, EMT-P</v>
          </cell>
          <cell r="AK97" t="str">
            <v>Nerina J Stepanovsky, PhD, MSN, RN, EMT-P</v>
          </cell>
        </row>
        <row r="98">
          <cell r="U98" t="str">
            <v>Nicole Cecchini, BS, NRP</v>
          </cell>
          <cell r="AA98" t="str">
            <v>Nicole Cecchini, BS, NRP</v>
          </cell>
          <cell r="AF98" t="str">
            <v>Nicole Cecchini, BS, NRP</v>
          </cell>
          <cell r="AK98" t="str">
            <v>Nicole Cecchini, BS, NRP</v>
          </cell>
        </row>
        <row r="99">
          <cell r="U99" t="str">
            <v>Patricia Rand, MA, NRP</v>
          </cell>
          <cell r="AA99" t="str">
            <v>Patricia Rand, MA, NRP</v>
          </cell>
          <cell r="AF99" t="str">
            <v>Patricia Rand, MA, NRP</v>
          </cell>
          <cell r="AK99" t="str">
            <v>Patricia Rand, MA, NRP</v>
          </cell>
        </row>
        <row r="100">
          <cell r="U100" t="str">
            <v>Patricia Tritt, RN, MA</v>
          </cell>
          <cell r="AA100" t="str">
            <v>Patricia Tritt, RN, MA</v>
          </cell>
          <cell r="AF100" t="str">
            <v>Patricia Tritt, RN, MA</v>
          </cell>
          <cell r="AK100" t="str">
            <v>Patricia Tritt, RN, MA</v>
          </cell>
        </row>
        <row r="101">
          <cell r="U101" t="str">
            <v>Paul Arens, MEd, NRP</v>
          </cell>
          <cell r="AA101" t="str">
            <v>Paul Arens, MEd, NRP</v>
          </cell>
          <cell r="AF101" t="str">
            <v>Paul Arens, MEd, NRP</v>
          </cell>
          <cell r="AK101" t="str">
            <v>Paul Arens, MEd, NRP</v>
          </cell>
        </row>
        <row r="102">
          <cell r="U102" t="str">
            <v>Paul Berlin, MS, NRP</v>
          </cell>
          <cell r="AA102" t="str">
            <v>Paul Berlin, MS, NRP</v>
          </cell>
          <cell r="AF102" t="str">
            <v>Paul Berlin, MS, NRP</v>
          </cell>
          <cell r="AK102" t="str">
            <v>Paul Berlin, MS, NRP</v>
          </cell>
        </row>
        <row r="103">
          <cell r="U103" t="str">
            <v>Paul Blusys, MD, FACEP, FAAFP</v>
          </cell>
          <cell r="AA103" t="str">
            <v>Paul Blusys, MD, FACEP, FAAFP</v>
          </cell>
          <cell r="AF103" t="str">
            <v>Paul Blusys, MD, FACEP, FAAFP</v>
          </cell>
          <cell r="AK103" t="str">
            <v>Paul Blusys, MD, FACEP, FAAFP</v>
          </cell>
        </row>
        <row r="104">
          <cell r="U104" t="str">
            <v>Philip Merck, MBA, NRP</v>
          </cell>
          <cell r="AA104" t="str">
            <v>Philip Merck, MBA, NRP</v>
          </cell>
          <cell r="AF104" t="str">
            <v>Philip Merck, MBA, NRP</v>
          </cell>
          <cell r="AK104" t="str">
            <v>Philip Merck, MBA, NRP</v>
          </cell>
        </row>
        <row r="105">
          <cell r="U105" t="str">
            <v>Randolph Spies, BA, NRP</v>
          </cell>
          <cell r="AA105" t="str">
            <v>Randolph Spies, BA, NRP</v>
          </cell>
          <cell r="AF105" t="str">
            <v>Randolph Spies, BA, NRP</v>
          </cell>
          <cell r="AK105" t="str">
            <v>Randolph Spies, BA, NRP</v>
          </cell>
        </row>
        <row r="106">
          <cell r="U106" t="str">
            <v>Rebecca Brock, BAAS, LP</v>
          </cell>
          <cell r="AA106" t="str">
            <v>Rebecca Brock, BAAS, LP</v>
          </cell>
          <cell r="AF106" t="str">
            <v>Rebecca Brock, BAAS, LP</v>
          </cell>
          <cell r="AK106" t="str">
            <v>Rebecca Brock, BAAS, LP</v>
          </cell>
        </row>
        <row r="107">
          <cell r="U107" t="str">
            <v>Rebecca Burke, BS, NRP, RN</v>
          </cell>
          <cell r="AA107" t="str">
            <v>Rebecca Burke, BS, NRP, RN</v>
          </cell>
          <cell r="AF107" t="str">
            <v>Rebecca Burke, BS, NRP, RN</v>
          </cell>
          <cell r="AK107" t="str">
            <v>Rebecca Burke, BS, NRP, RN</v>
          </cell>
        </row>
        <row r="108">
          <cell r="U108" t="str">
            <v>Rick Ellis, MSEDM, NRP</v>
          </cell>
          <cell r="AA108" t="str">
            <v>Rick Ellis, MSEDM, NRP</v>
          </cell>
          <cell r="AF108" t="str">
            <v>Rick Ellis, MSEDM, NRP</v>
          </cell>
          <cell r="AK108" t="str">
            <v>Rick Ellis, MSEDM, NRP</v>
          </cell>
        </row>
        <row r="109">
          <cell r="U109" t="str">
            <v>Rick Foehr, BA, MICP</v>
          </cell>
          <cell r="AA109" t="str">
            <v>Rick Foehr, BA, MICP</v>
          </cell>
          <cell r="AF109" t="str">
            <v>Rick Foehr, BA, MICP</v>
          </cell>
          <cell r="AK109" t="str">
            <v>Rick Foehr, BA, MICP</v>
          </cell>
        </row>
        <row r="110">
          <cell r="U110" t="str">
            <v>Ritu Sahni, MD, MPH, FACEP, FAEM</v>
          </cell>
          <cell r="AA110" t="str">
            <v>Ritu Sahni, MD, MPH, FACEP, FAEM</v>
          </cell>
          <cell r="AF110" t="str">
            <v>Ritu Sahni, MD, MPH, FACEP, FAEM</v>
          </cell>
          <cell r="AK110" t="str">
            <v>Ritu Sahni, MD, MPH, FACEP, FAEM</v>
          </cell>
        </row>
        <row r="111">
          <cell r="U111" t="str">
            <v>Robert Fontaine, MA</v>
          </cell>
          <cell r="AA111" t="str">
            <v>Robert Fontaine, MA</v>
          </cell>
          <cell r="AF111" t="str">
            <v>Robert Fontaine, MA</v>
          </cell>
          <cell r="AK111" t="str">
            <v>Robert Fontaine, MA</v>
          </cell>
        </row>
        <row r="112">
          <cell r="U112" t="str">
            <v>Robert Henderson, MS, NRP, CCEMTP</v>
          </cell>
          <cell r="AA112" t="str">
            <v>Robert Henderson, MS, NRP, CCEMTP</v>
          </cell>
          <cell r="AF112" t="str">
            <v>Robert Henderson, MS, NRP, CCEMTP</v>
          </cell>
          <cell r="AK112" t="str">
            <v>Robert Henderson, MS, NRP, CCEMTP</v>
          </cell>
        </row>
        <row r="113">
          <cell r="U113" t="str">
            <v>Rod Hackwith, MSEd, NRP</v>
          </cell>
          <cell r="AA113" t="str">
            <v>Rod Hackwith, MSEd, NRP</v>
          </cell>
          <cell r="AF113" t="str">
            <v>Rod Hackwith, MSEd, NRP</v>
          </cell>
          <cell r="AK113" t="str">
            <v>Rod Hackwith, MSEd, NRP</v>
          </cell>
        </row>
        <row r="114">
          <cell r="U114" t="str">
            <v>Rodney McGinnes, MPH, BS, EMT-P</v>
          </cell>
          <cell r="AA114" t="str">
            <v>Rodney McGinnes, MPH, BS, EMT-P</v>
          </cell>
          <cell r="AF114" t="str">
            <v>Rodney McGinnes, MPH, BS, EMT-P</v>
          </cell>
          <cell r="AK114" t="str">
            <v>Rodney McGinnes, MPH, BS, EMT-P</v>
          </cell>
        </row>
        <row r="115">
          <cell r="U115" t="str">
            <v>Ronald Feller, MBA, NRP</v>
          </cell>
          <cell r="AA115" t="str">
            <v>Ronald Feller, MBA, NRP</v>
          </cell>
          <cell r="AF115" t="str">
            <v>Ronald Feller, MBA, NRP</v>
          </cell>
          <cell r="AK115" t="str">
            <v>Ronald Feller, MBA, NRP</v>
          </cell>
        </row>
        <row r="116">
          <cell r="U116" t="str">
            <v>Ronald Lawler, BUS, NRP</v>
          </cell>
          <cell r="AA116" t="str">
            <v>Ronald Lawler, BUS, NRP</v>
          </cell>
          <cell r="AF116" t="str">
            <v>Ronald Lawler, BUS, NRP</v>
          </cell>
          <cell r="AK116" t="str">
            <v>Ronald Lawler, BUS, NRP</v>
          </cell>
        </row>
        <row r="117">
          <cell r="U117" t="str">
            <v>Ryan Batenhorst, MEd, NRP, EMSI</v>
          </cell>
          <cell r="AA117" t="str">
            <v>Ryan Batenhorst, MEd, NRP, EMSI</v>
          </cell>
          <cell r="AF117" t="str">
            <v>Ryan Batenhorst, MEd, NRP, EMSI</v>
          </cell>
          <cell r="AK117" t="str">
            <v>Ryan Batenhorst, MEd, NRP, EMSI</v>
          </cell>
        </row>
        <row r="118">
          <cell r="U118" t="str">
            <v>Sandra Hartley, MS, EMT-P</v>
          </cell>
          <cell r="AA118" t="str">
            <v>Sandra Hartley, MS, EMT-P</v>
          </cell>
          <cell r="AF118" t="str">
            <v>Sandra Hartley, MS, EMT-P</v>
          </cell>
          <cell r="AK118" t="str">
            <v>Sandra Hartley, MS, EMT-P</v>
          </cell>
        </row>
        <row r="119">
          <cell r="U119" t="str">
            <v>Scott Corcoran, MS, CIC, AEMT-P</v>
          </cell>
          <cell r="AA119" t="str">
            <v>Scott Corcoran, MS, CIC, AEMT-P</v>
          </cell>
          <cell r="AF119" t="str">
            <v>Scott Corcoran, MS, CIC, AEMT-P</v>
          </cell>
          <cell r="AK119" t="str">
            <v>Scott Corcoran, MS, CIC, AEMT-P</v>
          </cell>
        </row>
        <row r="120">
          <cell r="U120" t="str">
            <v>Seth Izenberg, MD, FACS</v>
          </cell>
          <cell r="AA120" t="str">
            <v>Seth Izenberg, MD, FACS</v>
          </cell>
          <cell r="AF120" t="str">
            <v>Seth Izenberg, MD, FACS</v>
          </cell>
          <cell r="AK120" t="str">
            <v>Seth Izenberg, MD, FACS</v>
          </cell>
        </row>
        <row r="121">
          <cell r="U121" t="str">
            <v>Sharon Hollingsworth, BS, NRP</v>
          </cell>
          <cell r="AA121" t="str">
            <v>Sharon Hollingsworth, BS, NRP</v>
          </cell>
          <cell r="AF121" t="str">
            <v>Sharon Hollingsworth, BS, NRP</v>
          </cell>
          <cell r="AK121" t="str">
            <v>Sharon Hollingsworth, BS, NRP</v>
          </cell>
        </row>
        <row r="122">
          <cell r="U122" t="str">
            <v>Steven Kolar, MBA, RN, LP</v>
          </cell>
          <cell r="AA122" t="str">
            <v>Steven Kolar, MBA, RN, LP</v>
          </cell>
          <cell r="AF122" t="str">
            <v>Steven Kolar, MBA, RN, LP</v>
          </cell>
          <cell r="AK122" t="str">
            <v>Steven Kolar, MBA, RN, LP</v>
          </cell>
        </row>
        <row r="123">
          <cell r="U123" t="str">
            <v>Steven Moyers, EdD, NRP</v>
          </cell>
          <cell r="AA123" t="str">
            <v>Steven Moyers, EdD, NRP</v>
          </cell>
          <cell r="AF123" t="str">
            <v>Steven Moyers, EdD, NRP</v>
          </cell>
          <cell r="AK123" t="str">
            <v>Steven Moyers, EdD, NRP</v>
          </cell>
        </row>
        <row r="124">
          <cell r="U124" t="str">
            <v>Suzann Schmidt, BA, NRP</v>
          </cell>
          <cell r="AA124" t="str">
            <v>Suzann Schmidt, BA, NRP</v>
          </cell>
          <cell r="AF124" t="str">
            <v>Suzann Schmidt, BA, NRP</v>
          </cell>
          <cell r="AK124" t="str">
            <v>Suzann Schmidt, BA, NRP</v>
          </cell>
        </row>
        <row r="125">
          <cell r="U125" t="str">
            <v>Tammy Samarripa, MPH, EMT-P</v>
          </cell>
          <cell r="AA125" t="str">
            <v>Tammy Samarripa, MPH, EMT-P</v>
          </cell>
          <cell r="AF125" t="str">
            <v>Tammy Samarripa, MPH, EMT-P</v>
          </cell>
          <cell r="AK125" t="str">
            <v>Tammy Samarripa, MPH, EMT-P</v>
          </cell>
        </row>
        <row r="126">
          <cell r="U126" t="str">
            <v>Taylor Ratcliff, MD, FACEP, EMT-P, LP</v>
          </cell>
          <cell r="AA126" t="str">
            <v>Taylor Ratcliff, MD, FACEP, EMT-P, LP</v>
          </cell>
          <cell r="AF126" t="str">
            <v>Taylor Ratcliff, MD, FACEP, EMT-P, LP</v>
          </cell>
          <cell r="AK126" t="str">
            <v>Taylor Ratcliff, MD, FACEP, EMT-P, LP</v>
          </cell>
        </row>
        <row r="127">
          <cell r="U127" t="str">
            <v>Thomas Brazelton III, MD, MPH, FAAP</v>
          </cell>
          <cell r="AA127" t="str">
            <v>Thomas Brazelton III, MD, MPH, FAAP</v>
          </cell>
          <cell r="AF127" t="str">
            <v>Thomas Brazelton III, MD, MPH, FAAP</v>
          </cell>
          <cell r="AK127" t="str">
            <v>Thomas Brazelton III, MD, MPH, FAAP</v>
          </cell>
        </row>
        <row r="128">
          <cell r="U128" t="str">
            <v>Thomas Platt, EdD, NRP</v>
          </cell>
          <cell r="AA128" t="str">
            <v>Thomas Platt, EdD, NRP</v>
          </cell>
          <cell r="AF128" t="str">
            <v>Thomas Platt, EdD, NRP</v>
          </cell>
          <cell r="AK128" t="str">
            <v>Thomas Platt, EdD, NRP</v>
          </cell>
        </row>
        <row r="129">
          <cell r="U129" t="str">
            <v>Thomas Rothrock, RN, MSN, NRP</v>
          </cell>
          <cell r="AA129" t="str">
            <v>Thomas Rothrock, RN, MSN, NRP</v>
          </cell>
          <cell r="AF129" t="str">
            <v>Thomas Rothrock, RN, MSN, NRP</v>
          </cell>
          <cell r="AK129" t="str">
            <v>Thomas Rothrock, RN, MSN, NRP</v>
          </cell>
        </row>
        <row r="130">
          <cell r="U130" t="str">
            <v>Timothy Reitz, BS, NRP, NCEE</v>
          </cell>
          <cell r="AA130" t="str">
            <v>Timothy Reitz, BS, NRP, NCEE</v>
          </cell>
          <cell r="AF130" t="str">
            <v>Timothy Reitz, BS, NRP, NCEE</v>
          </cell>
          <cell r="AK130" t="str">
            <v>Timothy Reitz, BS, NRP, NCEE</v>
          </cell>
        </row>
        <row r="131">
          <cell r="U131" t="str">
            <v>Tracey Franklin, BA, NRP</v>
          </cell>
          <cell r="AA131" t="str">
            <v>Tracey Franklin, BA, NRP</v>
          </cell>
          <cell r="AF131" t="str">
            <v>Tracey Franklin, BA, NRP</v>
          </cell>
          <cell r="AK131" t="str">
            <v>Tracey Franklin, BA, NRP</v>
          </cell>
        </row>
        <row r="132">
          <cell r="U132" t="str">
            <v>Vincent Parker, MSEd, EMT-P</v>
          </cell>
          <cell r="AA132" t="str">
            <v>Vincent Parker, MSEd, EMT-P</v>
          </cell>
          <cell r="AF132" t="str">
            <v>Vincent Parker, MSEd, EMT-P</v>
          </cell>
          <cell r="AK132" t="str">
            <v>Vincent Parker, MSEd, EMT-P</v>
          </cell>
        </row>
        <row r="133">
          <cell r="U133" t="str">
            <v>Walt Stoy, PhD, EMT-P</v>
          </cell>
          <cell r="AA133" t="str">
            <v>Walt Stoy, PhD, EMT-P</v>
          </cell>
          <cell r="AF133" t="str">
            <v>Walt Stoy, PhD, EMT-P</v>
          </cell>
          <cell r="AK133" t="str">
            <v>Walt Stoy, PhD, EMT-P</v>
          </cell>
        </row>
        <row r="134">
          <cell r="U134" t="str">
            <v>William Fritz, BBA, NRP</v>
          </cell>
          <cell r="AA134" t="str">
            <v>William Fritz, BBA, NRP</v>
          </cell>
          <cell r="AF134" t="str">
            <v>William Fritz, BBA, NRP</v>
          </cell>
          <cell r="AK134" t="str">
            <v>William Fritz, BBA, NRP</v>
          </cell>
        </row>
        <row r="135">
          <cell r="U135" t="str">
            <v>William Raynovich, EdD, MPH, NRP</v>
          </cell>
          <cell r="AA135" t="str">
            <v>William Raynovich, EdD, MPH, NRP</v>
          </cell>
          <cell r="AF135" t="str">
            <v>William Raynovich, EdD, MPH, NRP</v>
          </cell>
          <cell r="AK135" t="str">
            <v>William Raynovich, EdD, MPH, NRP</v>
          </cell>
        </row>
        <row r="136">
          <cell r="U136"/>
          <cell r="AA136"/>
          <cell r="AF136"/>
          <cell r="AK136"/>
        </row>
      </sheetData>
      <sheetData sheetId="2">
        <row r="9">
          <cell r="AA9" t="str">
            <v>Please Select</v>
          </cell>
          <cell r="AB9" t="str">
            <v>I.A.1-Post-secondary</v>
          </cell>
          <cell r="AC9" t="str">
            <v>I.A.2.-Foreign post-secondary</v>
          </cell>
          <cell r="AD9" t="str">
            <v>I.A.3.-Hospital Clinical or Medical Center</v>
          </cell>
          <cell r="AE9" t="str">
            <v>I.A.4-Governmental</v>
          </cell>
          <cell r="AF9" t="str">
            <v>I.A.5-Branch of US Armed Forces</v>
          </cell>
          <cell r="AG9" t="str">
            <v>I.B.-Consortium-w/(I.A) College</v>
          </cell>
          <cell r="AH9" t="str">
            <v>I.B.-Consortium-w/(I.A) Hospital</v>
          </cell>
          <cell r="AI9" t="str">
            <v>I.B.-Consortium-w/(I.A) Government</v>
          </cell>
        </row>
      </sheetData>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itle Page"/>
      <sheetName val="General Information"/>
      <sheetName val="Brief History"/>
      <sheetName val="Program Info"/>
      <sheetName val="Standard I"/>
      <sheetName val="Standard II"/>
      <sheetName val="Standard III"/>
      <sheetName val="Standard IV"/>
      <sheetName val="Standard V"/>
      <sheetName val="Appendix A"/>
      <sheetName val="Appendix B"/>
      <sheetName val="Appendix C"/>
      <sheetName val="Appendix D"/>
      <sheetName val="Appendix E"/>
      <sheetName val="Appendix F"/>
      <sheetName val="Appendix G"/>
      <sheetName val="Appendices H - N"/>
      <sheetName val="Appendix O"/>
      <sheetName val="Appendices P - Q"/>
    </sheetNames>
    <sheetDataSet>
      <sheetData sheetId="0" refreshError="1"/>
      <sheetData sheetId="1"/>
      <sheetData sheetId="2"/>
      <sheetData sheetId="3"/>
      <sheetData sheetId="4"/>
      <sheetData sheetId="5">
        <row r="2">
          <cell r="K2" t="str">
            <v>U.S. Post-secondary institution (Standard I.A.1)</v>
          </cell>
        </row>
        <row r="3">
          <cell r="K3" t="str">
            <v>Foreign Post-Secondary Institution (Standard I.A.2)</v>
          </cell>
        </row>
        <row r="4">
          <cell r="K4" t="str">
            <v>Hospital, clinic, or medical center (Standard I.A.3)</v>
          </cell>
        </row>
        <row r="5">
          <cell r="K5" t="str">
            <v>Governmental education or medical service (Standard I.A.4)</v>
          </cell>
        </row>
        <row r="6">
          <cell r="K6" t="str">
            <v>Branch of the United States Armed Forces (Standard I.A.5)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CoAEMSP-2024">
  <a:themeElements>
    <a:clrScheme name="Custom 1">
      <a:dk1>
        <a:srgbClr val="243660"/>
      </a:dk1>
      <a:lt1>
        <a:srgbClr val="FFFFFF"/>
      </a:lt1>
      <a:dk2>
        <a:srgbClr val="318DC0"/>
      </a:dk2>
      <a:lt2>
        <a:srgbClr val="828281"/>
      </a:lt2>
      <a:accent1>
        <a:srgbClr val="F9C921"/>
      </a:accent1>
      <a:accent2>
        <a:srgbClr val="006C61"/>
      </a:accent2>
      <a:accent3>
        <a:srgbClr val="828281"/>
      </a:accent3>
      <a:accent4>
        <a:srgbClr val="318DC0"/>
      </a:accent4>
      <a:accent5>
        <a:srgbClr val="243660"/>
      </a:accent5>
      <a:accent6>
        <a:srgbClr val="C2252F"/>
      </a:accent6>
      <a:hlink>
        <a:srgbClr val="0563C1"/>
      </a:hlink>
      <a:folHlink>
        <a:srgbClr val="4795B7"/>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CoAEMSP-2024" id="{13E4A4ED-2BCA-BD4F-B895-9AFB706BD7EC}" vid="{0DA9FDAA-B147-244E-B49F-52024473D48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isa@coaemsp.org" TargetMode="External"/><Relationship Id="rId1" Type="http://schemas.openxmlformats.org/officeDocument/2006/relationships/hyperlink" Target="mailto:george@coaemsp.org"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jennifer@coaemsp.org" TargetMode="External"/><Relationship Id="rId7" Type="http://schemas.openxmlformats.org/officeDocument/2006/relationships/comments" Target="../comments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0.bin"/><Relationship Id="rId7" Type="http://schemas.openxmlformats.org/officeDocument/2006/relationships/ctrlProp" Target="../ctrlProps/ctrlProp2.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trlProp" Target="../ctrlProps/ctrlProp1.xml"/><Relationship Id="rId5" Type="http://schemas.openxmlformats.org/officeDocument/2006/relationships/vmlDrawing" Target="../drawings/vmlDrawing4.vml"/><Relationship Id="rId10" Type="http://schemas.openxmlformats.org/officeDocument/2006/relationships/ctrlProp" Target="../ctrlProps/ctrlProp5.xml"/><Relationship Id="rId4" Type="http://schemas.openxmlformats.org/officeDocument/2006/relationships/drawing" Target="../drawings/drawing4.xml"/><Relationship Id="rId9"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96C2E6"/>
    <pageSetUpPr fitToPage="1"/>
  </sheetPr>
  <dimension ref="A1:AJ82"/>
  <sheetViews>
    <sheetView showGridLines="0" zoomScaleNormal="100" workbookViewId="0">
      <selection activeCell="B7" sqref="B6:K20"/>
    </sheetView>
  </sheetViews>
  <sheetFormatPr defaultColWidth="9.125" defaultRowHeight="14.25"/>
  <cols>
    <col min="1" max="1" width="3.625" customWidth="1"/>
    <col min="2" max="2" width="28.125" customWidth="1"/>
    <col min="3" max="3" width="15.625" customWidth="1"/>
    <col min="4" max="4" width="9.5" customWidth="1"/>
    <col min="5" max="5" width="10.875" customWidth="1"/>
    <col min="6" max="6" width="45.375" customWidth="1"/>
    <col min="7" max="7" width="9.375" customWidth="1"/>
    <col min="8" max="8" width="15.5" customWidth="1"/>
    <col min="9" max="9" width="14.375" customWidth="1"/>
    <col min="10" max="10" width="12.625" customWidth="1"/>
    <col min="11" max="11" width="12.125" customWidth="1"/>
    <col min="12" max="12" width="14.375" customWidth="1"/>
    <col min="13" max="13" width="28" customWidth="1"/>
    <col min="14" max="14" width="19.375" customWidth="1"/>
    <col min="15" max="15" width="10.875" customWidth="1"/>
    <col min="16" max="16" width="10.5" customWidth="1"/>
    <col min="17" max="17" width="13.375" customWidth="1"/>
    <col min="18" max="18" width="11.375" customWidth="1"/>
  </cols>
  <sheetData>
    <row r="1" spans="1:13" ht="14.45" customHeight="1">
      <c r="C1" s="320" t="s">
        <v>108</v>
      </c>
      <c r="D1" s="320"/>
      <c r="E1" s="320"/>
      <c r="F1" s="320"/>
      <c r="G1" s="12"/>
    </row>
    <row r="2" spans="1:13" ht="14.45" customHeight="1">
      <c r="C2" s="320"/>
      <c r="D2" s="320"/>
      <c r="E2" s="320"/>
      <c r="F2" s="320"/>
      <c r="G2" s="12"/>
    </row>
    <row r="3" spans="1:13" ht="30" customHeight="1">
      <c r="C3" s="321" t="s">
        <v>506</v>
      </c>
      <c r="D3" s="321"/>
      <c r="E3" s="321"/>
      <c r="F3" s="321"/>
      <c r="I3" s="123" t="s">
        <v>109</v>
      </c>
      <c r="J3" s="322" t="s">
        <v>507</v>
      </c>
      <c r="K3" s="322"/>
    </row>
    <row r="4" spans="1:13" ht="15">
      <c r="F4" s="111" t="s">
        <v>110</v>
      </c>
      <c r="J4" t="s">
        <v>111</v>
      </c>
      <c r="K4" t="s">
        <v>112</v>
      </c>
    </row>
    <row r="5" spans="1:13" ht="18">
      <c r="B5" s="132" t="s">
        <v>113</v>
      </c>
      <c r="C5" s="134"/>
      <c r="D5" s="13"/>
      <c r="H5" s="323" t="s">
        <v>114</v>
      </c>
      <c r="I5" s="324"/>
      <c r="J5" s="14" t="s">
        <v>115</v>
      </c>
      <c r="K5" s="14" t="s">
        <v>115</v>
      </c>
    </row>
    <row r="6" spans="1:13" ht="14.45" customHeight="1">
      <c r="B6" s="133" t="s">
        <v>116</v>
      </c>
      <c r="C6" s="325"/>
      <c r="D6" s="325"/>
      <c r="E6" s="325"/>
      <c r="F6" s="325"/>
      <c r="G6" s="15">
        <f>LEN(C6)</f>
        <v>0</v>
      </c>
      <c r="I6" s="121" t="s">
        <v>436</v>
      </c>
      <c r="J6" s="16"/>
      <c r="K6" s="16"/>
      <c r="L6" s="72"/>
    </row>
    <row r="7" spans="1:13" ht="14.45" customHeight="1">
      <c r="C7" s="325"/>
      <c r="D7" s="325"/>
      <c r="E7" s="325"/>
      <c r="F7" s="325"/>
      <c r="G7" s="17"/>
      <c r="I7" s="121" t="s">
        <v>437</v>
      </c>
      <c r="J7" s="16"/>
      <c r="K7" s="18"/>
      <c r="L7" s="121"/>
    </row>
    <row r="8" spans="1:13" ht="18.75" customHeight="1">
      <c r="B8" s="132" t="s">
        <v>137</v>
      </c>
      <c r="C8" s="318"/>
      <c r="D8" s="319"/>
      <c r="E8" s="132" t="s">
        <v>2</v>
      </c>
      <c r="F8" s="82"/>
      <c r="G8" s="19"/>
      <c r="I8" s="121" t="s">
        <v>438</v>
      </c>
      <c r="J8" s="16"/>
      <c r="K8" s="18"/>
    </row>
    <row r="9" spans="1:13" ht="39" customHeight="1">
      <c r="B9" s="328" t="s">
        <v>470</v>
      </c>
      <c r="C9" s="330" t="s">
        <v>473</v>
      </c>
      <c r="D9" s="330"/>
      <c r="E9" s="330"/>
      <c r="F9" s="330"/>
      <c r="G9" s="19"/>
      <c r="I9" s="121"/>
    </row>
    <row r="10" spans="1:13" ht="24.75" customHeight="1">
      <c r="B10" s="329"/>
      <c r="C10" s="330" t="s">
        <v>472</v>
      </c>
      <c r="D10" s="330"/>
      <c r="E10" s="330"/>
      <c r="F10" s="330"/>
      <c r="G10" s="19"/>
      <c r="I10" s="121"/>
    </row>
    <row r="11" spans="1:13" ht="22.5" customHeight="1">
      <c r="B11" s="329"/>
      <c r="C11" s="330" t="s">
        <v>471</v>
      </c>
      <c r="D11" s="330"/>
      <c r="E11" s="330"/>
      <c r="F11" s="330"/>
      <c r="G11" s="19" t="s">
        <v>119</v>
      </c>
      <c r="I11" s="121"/>
    </row>
    <row r="12" spans="1:13" ht="9.75" customHeight="1">
      <c r="F12" s="1"/>
      <c r="G12" s="11"/>
    </row>
    <row r="13" spans="1:13" ht="73.5" customHeight="1">
      <c r="B13" s="331" t="str">
        <f>IF(OR(D15="Resubmit",D16="Resubmit",D18="Resubmit",D19="Resubmit",D23="Resubmit",D26="Resubmit",D27="Resubmit",D28="Resubmit",D29="Resubmit",D30="Resubmit",D31="Resubmit",D32="Resubmit",D33="Resubmit",D34="Resubmit",D35="Resubmit",D36="Resubmit",D40="Resubmit",D42="Resubmit",D43="Resubmit",D44="Resubmit",D45="Resubmit",D47="Resubmit",D49="Resubmit",D50="Resubmit",D51="Resubmit",D52="Resubmit",D53="Resubmit",D54="Resubmit",D55="Resubmit"),"The applicant program’s LoR Application submission is missing elements of information and/or required documentation. "&amp;"The item(s) below identified as Resubmit in the Answer/Evidence Provided column are required to be addressed by the applicant program's LoR Application resubmission no later than the date specified in the email.","Any item(s) below that are identified with 'LSSR' in the Answer/Evidence Provided column require edits/revisions when submitting the Letter of Review Self Study Report (LSSR).")</f>
        <v>Any item(s) below that are identified with 'LSSR' in the Answer/Evidence Provided column require edits/revisions when submitting the Letter of Review Self Study Report (LSSR).</v>
      </c>
      <c r="C13" s="332"/>
      <c r="D13" s="332"/>
      <c r="E13" s="332"/>
      <c r="F13" s="333"/>
      <c r="G13" s="19" t="str">
        <f>IF(OR(D15="Resubmit",D16="Resubmit",D18="Resubmit",D19="Resubmit",D23="Resubmit",D26="Resubmit",D27="Resubmit",D28="Resubmit",D29="Resubmit",D30="Resubmit",D31="Resubmit",D32="Resubmit",D33="Resubmit",D34="Resubmit",D35="Resubmit",D36="Resubmit",D40="Resubmit",D42="Resubmit",D43="Resubmit",D44="Resubmit",D45="Resubmit",D47="Resubmit",D49="Resubmit",D50="Resubmit",D51="Resubmit",D52="Resubmit",D53="Resubmit",D54="Resubmit",D55="Resubmit"),"1","")</f>
        <v/>
      </c>
    </row>
    <row r="14" spans="1:13" ht="36">
      <c r="B14" s="334" t="s">
        <v>508</v>
      </c>
      <c r="C14" s="335"/>
      <c r="D14" s="127" t="s">
        <v>392</v>
      </c>
      <c r="E14" s="336" t="s">
        <v>457</v>
      </c>
      <c r="F14" s="337"/>
      <c r="G14" s="86"/>
    </row>
    <row r="15" spans="1:13" ht="15">
      <c r="A15" s="65"/>
      <c r="B15" s="75" t="s">
        <v>462</v>
      </c>
      <c r="C15" s="120"/>
      <c r="D15" s="83"/>
      <c r="E15" s="326"/>
      <c r="F15" s="327"/>
      <c r="G15" s="1"/>
      <c r="H15" s="338"/>
      <c r="I15" s="338"/>
      <c r="J15" s="338"/>
      <c r="K15" s="3"/>
      <c r="L15" s="60"/>
    </row>
    <row r="16" spans="1:13" ht="15" customHeight="1">
      <c r="B16" s="75" t="s">
        <v>463</v>
      </c>
      <c r="C16" s="120"/>
      <c r="D16" s="83"/>
      <c r="E16" s="326"/>
      <c r="F16" s="327"/>
      <c r="G16" s="1"/>
      <c r="H16" s="339"/>
      <c r="I16" s="339"/>
      <c r="J16" s="339"/>
      <c r="K16" s="61"/>
      <c r="L16" s="60"/>
      <c r="M16" t="str">
        <f>IF(L15="Yes","&lt;== Select from drop down","")</f>
        <v/>
      </c>
    </row>
    <row r="17" spans="2:36" ht="15" customHeight="1">
      <c r="B17" s="340" t="s">
        <v>120</v>
      </c>
      <c r="C17" s="341"/>
      <c r="D17" s="341"/>
      <c r="E17" s="341"/>
      <c r="F17" s="342"/>
      <c r="G17" s="1"/>
      <c r="H17" s="74"/>
      <c r="I17" s="87"/>
      <c r="J17" s="88" t="s">
        <v>391</v>
      </c>
      <c r="K17" s="88" t="s">
        <v>509</v>
      </c>
      <c r="L17" s="89" t="s">
        <v>482</v>
      </c>
      <c r="M17" s="126"/>
      <c r="N17" s="90"/>
      <c r="O17" s="19"/>
      <c r="P17" s="19"/>
      <c r="Q17" s="19"/>
      <c r="R17" s="19"/>
      <c r="S17" s="19"/>
      <c r="T17" s="19"/>
      <c r="U17" s="19"/>
    </row>
    <row r="18" spans="2:36" ht="15">
      <c r="B18" s="75" t="s">
        <v>510</v>
      </c>
      <c r="C18" s="33"/>
      <c r="D18" s="83"/>
      <c r="E18" s="326"/>
      <c r="F18" s="327"/>
      <c r="G18" s="1"/>
      <c r="I18" s="19"/>
      <c r="J18" s="19"/>
      <c r="K18" s="91"/>
      <c r="L18" s="91"/>
      <c r="M18" s="19"/>
      <c r="N18" s="19"/>
      <c r="O18" s="19"/>
      <c r="P18" s="19"/>
      <c r="Q18" s="19"/>
      <c r="R18" s="19"/>
      <c r="S18" s="19"/>
      <c r="T18" s="19"/>
      <c r="U18" s="19"/>
    </row>
    <row r="19" spans="2:36" ht="15" customHeight="1">
      <c r="B19" s="343" t="s">
        <v>458</v>
      </c>
      <c r="C19" s="344"/>
      <c r="D19" s="85"/>
      <c r="H19" s="73"/>
      <c r="I19" s="92"/>
      <c r="J19" s="92"/>
      <c r="K19" s="92"/>
      <c r="L19" s="92"/>
      <c r="M19" s="93"/>
      <c r="N19" s="94"/>
      <c r="O19" s="93"/>
      <c r="P19" s="95"/>
      <c r="Q19" s="19"/>
      <c r="R19" s="19"/>
      <c r="S19" s="19"/>
      <c r="T19" s="19"/>
      <c r="U19" s="19"/>
    </row>
    <row r="20" spans="2:36" ht="15" customHeight="1">
      <c r="B20" s="343" t="s">
        <v>459</v>
      </c>
      <c r="C20" s="344"/>
      <c r="D20" s="85"/>
      <c r="H20" s="73"/>
      <c r="I20" s="92"/>
      <c r="J20" s="92"/>
      <c r="K20" s="92"/>
      <c r="L20" s="92"/>
      <c r="M20" s="93"/>
      <c r="N20" s="94"/>
      <c r="O20" s="93"/>
      <c r="P20" s="95"/>
      <c r="Q20" s="19"/>
      <c r="R20" s="19"/>
      <c r="S20" s="19"/>
      <c r="T20" s="19"/>
      <c r="U20" s="19"/>
    </row>
    <row r="21" spans="2:36" ht="15" customHeight="1">
      <c r="B21" s="343" t="s">
        <v>460</v>
      </c>
      <c r="C21" s="344"/>
      <c r="D21" s="85"/>
      <c r="H21" s="73"/>
      <c r="I21" s="92"/>
      <c r="J21" s="92"/>
      <c r="K21" s="92"/>
      <c r="L21" s="92"/>
      <c r="M21" s="93"/>
      <c r="N21" s="94"/>
      <c r="O21" s="93"/>
      <c r="P21" s="95"/>
      <c r="Q21" s="19"/>
      <c r="R21" s="19"/>
      <c r="S21" s="19"/>
      <c r="T21" s="19"/>
      <c r="U21" s="19"/>
    </row>
    <row r="22" spans="2:36" ht="15" customHeight="1">
      <c r="B22" s="343" t="s">
        <v>474</v>
      </c>
      <c r="C22" s="344"/>
      <c r="D22" s="85"/>
      <c r="H22" s="73"/>
      <c r="I22" s="92"/>
      <c r="J22" s="92"/>
      <c r="K22" s="92"/>
      <c r="L22" s="92"/>
      <c r="M22" s="93"/>
      <c r="N22" s="94"/>
      <c r="O22" s="93"/>
      <c r="P22" s="95"/>
      <c r="Q22" s="19"/>
      <c r="R22" s="19"/>
      <c r="S22" s="19"/>
      <c r="T22" s="19"/>
      <c r="U22" s="19"/>
    </row>
    <row r="23" spans="2:36" ht="15" customHeight="1">
      <c r="B23" s="75" t="s">
        <v>461</v>
      </c>
      <c r="C23" s="120"/>
      <c r="D23" s="83"/>
      <c r="E23" s="326"/>
      <c r="F23" s="327"/>
      <c r="H23" s="73"/>
      <c r="I23" s="92"/>
      <c r="J23" s="92"/>
      <c r="K23" s="92"/>
      <c r="L23" s="92"/>
      <c r="M23" s="93"/>
      <c r="N23" s="94"/>
      <c r="O23" s="93"/>
      <c r="P23" s="95"/>
      <c r="Q23" s="19"/>
      <c r="R23" s="19"/>
      <c r="S23" s="19"/>
      <c r="T23" s="19"/>
      <c r="U23" s="19"/>
    </row>
    <row r="24" spans="2:36" ht="25.35" customHeight="1">
      <c r="B24" s="345" t="s">
        <v>121</v>
      </c>
      <c r="C24" s="346"/>
      <c r="D24" s="346"/>
      <c r="E24" s="346"/>
      <c r="F24" s="347"/>
      <c r="I24" s="53"/>
      <c r="J24" s="96" t="s">
        <v>391</v>
      </c>
      <c r="K24" s="96" t="s">
        <v>509</v>
      </c>
      <c r="L24" s="96" t="s">
        <v>119</v>
      </c>
      <c r="M24" s="96" t="s">
        <v>482</v>
      </c>
      <c r="N24" s="64"/>
      <c r="O24" s="98"/>
      <c r="P24" s="98"/>
      <c r="Q24" s="19"/>
      <c r="R24" s="19"/>
      <c r="S24" s="19"/>
      <c r="T24" s="19"/>
      <c r="U24" s="19"/>
      <c r="W24" s="63" t="s">
        <v>299</v>
      </c>
    </row>
    <row r="25" spans="2:36" ht="30" customHeight="1">
      <c r="B25" s="348" t="s">
        <v>440</v>
      </c>
      <c r="C25" s="349"/>
      <c r="D25" s="350" t="s">
        <v>511</v>
      </c>
      <c r="E25" s="351"/>
      <c r="F25" s="352"/>
      <c r="I25" s="53"/>
      <c r="J25" s="53"/>
      <c r="K25" s="53"/>
      <c r="L25" s="53"/>
      <c r="M25" s="53"/>
      <c r="N25" s="97"/>
      <c r="O25" s="98"/>
      <c r="P25" s="98"/>
      <c r="Q25" s="19"/>
      <c r="R25" s="19"/>
      <c r="S25" s="19"/>
      <c r="T25" s="19"/>
      <c r="U25" s="19"/>
    </row>
    <row r="26" spans="2:36" ht="22.5" customHeight="1">
      <c r="B26" s="125" t="str">
        <f>IF(LEFT(D25,5)="I.A.1","   IA1 Institutional Accreditor",IF(LEFT(D25,5)="I.A.2","   Foreign Acceptability",IF(LEFT(D25,5)="I.A.3","   IA3 Hosp/Med Cntr Accreditor",IF(LEFT(D25,7)="I.A.4-G","   Gov't Medical or Educational",IF(LEFT(D25,7)="I.A.4-A","   Armed Services Branch",IF(LEFT(D25,23)="I.B-Consortium-w/(I.A)H","   Consortium IA3 Inst Accreditor",IF(LEFT(D25,23)="I.B-Consortium-w/(I.A)C","   Consortium IA1 Inst Accreditor","   Institutional Accreditator")))))))</f>
        <v xml:space="preserve">   Institutional Accreditator</v>
      </c>
      <c r="C26" s="23"/>
      <c r="D26" s="83"/>
      <c r="E26" s="84" t="s">
        <v>295</v>
      </c>
      <c r="F26" s="114"/>
      <c r="I26" s="99" t="s">
        <v>295</v>
      </c>
      <c r="J26" s="99" t="s">
        <v>411</v>
      </c>
      <c r="K26" s="99" t="s">
        <v>412</v>
      </c>
      <c r="L26" s="99" t="s">
        <v>413</v>
      </c>
      <c r="M26" s="99" t="s">
        <v>414</v>
      </c>
      <c r="N26" s="99" t="s">
        <v>415</v>
      </c>
      <c r="O26" s="99" t="s">
        <v>416</v>
      </c>
      <c r="P26" s="99" t="s">
        <v>417</v>
      </c>
      <c r="Q26" s="99" t="s">
        <v>418</v>
      </c>
      <c r="R26" s="99" t="s">
        <v>419</v>
      </c>
      <c r="S26" s="99" t="s">
        <v>420</v>
      </c>
      <c r="T26" s="100" t="s">
        <v>435</v>
      </c>
      <c r="U26" s="99" t="s">
        <v>421</v>
      </c>
      <c r="V26" s="99" t="s">
        <v>422</v>
      </c>
      <c r="W26" s="99" t="s">
        <v>423</v>
      </c>
      <c r="X26" s="99" t="s">
        <v>425</v>
      </c>
      <c r="Y26" s="99" t="s">
        <v>424</v>
      </c>
      <c r="Z26" s="99" t="s">
        <v>427</v>
      </c>
      <c r="AA26" s="99" t="s">
        <v>426</v>
      </c>
      <c r="AB26" s="99" t="s">
        <v>514</v>
      </c>
      <c r="AC26" s="99" t="s">
        <v>428</v>
      </c>
      <c r="AD26" s="99" t="s">
        <v>429</v>
      </c>
      <c r="AE26" s="99" t="s">
        <v>430</v>
      </c>
      <c r="AF26" s="99" t="s">
        <v>431</v>
      </c>
      <c r="AG26" s="100" t="s">
        <v>432</v>
      </c>
      <c r="AH26" s="99" t="s">
        <v>433</v>
      </c>
      <c r="AI26" s="99" t="s">
        <v>434</v>
      </c>
      <c r="AJ26" s="99" t="s">
        <v>119</v>
      </c>
    </row>
    <row r="27" spans="2:36" ht="18" customHeight="1">
      <c r="B27" s="353" t="s">
        <v>439</v>
      </c>
      <c r="C27" s="354"/>
      <c r="D27" s="83"/>
      <c r="E27" s="326"/>
      <c r="F27" s="327"/>
      <c r="I27" s="355"/>
      <c r="J27" s="355"/>
      <c r="K27" s="355"/>
      <c r="L27" s="355"/>
      <c r="M27" s="53"/>
      <c r="N27" s="97"/>
      <c r="O27" s="98"/>
      <c r="P27" s="98"/>
      <c r="Q27" s="19"/>
      <c r="R27" s="19"/>
      <c r="S27" s="19"/>
      <c r="T27" s="19"/>
      <c r="U27" s="19"/>
    </row>
    <row r="28" spans="2:36" ht="18" customHeight="1">
      <c r="B28" s="75" t="s">
        <v>388</v>
      </c>
      <c r="C28" s="23"/>
      <c r="D28" s="83"/>
      <c r="E28" s="326"/>
      <c r="F28" s="327"/>
      <c r="I28" s="19"/>
      <c r="J28" s="19"/>
      <c r="K28" s="19"/>
      <c r="L28" s="19"/>
      <c r="M28" s="19"/>
      <c r="N28" s="101"/>
      <c r="O28" s="19"/>
      <c r="P28" s="98"/>
      <c r="Q28" s="19"/>
      <c r="R28" s="19"/>
      <c r="S28" s="19"/>
      <c r="T28" s="19"/>
      <c r="U28" s="19"/>
    </row>
    <row r="29" spans="2:36" ht="22.5" customHeight="1">
      <c r="B29" s="75" t="s">
        <v>374</v>
      </c>
      <c r="C29" s="34"/>
      <c r="D29" s="83"/>
      <c r="E29" s="84" t="s">
        <v>295</v>
      </c>
      <c r="F29" s="114"/>
      <c r="I29" s="19" t="s">
        <v>295</v>
      </c>
      <c r="J29" s="19" t="s">
        <v>375</v>
      </c>
      <c r="K29" s="19" t="s">
        <v>376</v>
      </c>
      <c r="L29" s="19" t="s">
        <v>377</v>
      </c>
      <c r="M29" s="69" t="s">
        <v>393</v>
      </c>
      <c r="N29" s="19" t="s">
        <v>378</v>
      </c>
      <c r="O29" s="19" t="s">
        <v>379</v>
      </c>
      <c r="P29" s="19" t="s">
        <v>380</v>
      </c>
      <c r="Q29" s="19" t="s">
        <v>381</v>
      </c>
      <c r="R29" s="19" t="s">
        <v>382</v>
      </c>
      <c r="S29" s="19" t="s">
        <v>383</v>
      </c>
      <c r="T29" s="19" t="s">
        <v>384</v>
      </c>
      <c r="U29" s="19"/>
    </row>
    <row r="30" spans="2:36" ht="22.5" customHeight="1">
      <c r="B30" s="75" t="s">
        <v>385</v>
      </c>
      <c r="C30" s="34"/>
      <c r="D30" s="83"/>
      <c r="E30" s="84" t="s">
        <v>295</v>
      </c>
      <c r="F30" s="114"/>
      <c r="H30" s="66"/>
      <c r="I30" s="99" t="s">
        <v>295</v>
      </c>
      <c r="J30" s="102" t="s">
        <v>386</v>
      </c>
      <c r="K30" s="103" t="s">
        <v>395</v>
      </c>
      <c r="L30" s="103" t="s">
        <v>396</v>
      </c>
      <c r="M30" s="104" t="s">
        <v>397</v>
      </c>
      <c r="N30" s="105" t="s">
        <v>394</v>
      </c>
      <c r="O30" s="93" t="str">
        <f>IF($L$16&gt;=1, "LI Approved?","")</f>
        <v/>
      </c>
      <c r="P30" s="93" t="str">
        <f>IF($L$16&gt;=1, "Assistant MD Approved?","")</f>
        <v/>
      </c>
      <c r="Q30" s="93" t="str">
        <f>IF($L$16&gt;=1, "State Office of EMS Approved?","")</f>
        <v/>
      </c>
      <c r="R30" s="93" t="str">
        <f>IF($L$16&gt;=1, "CoAEMSP Approved?","")</f>
        <v/>
      </c>
      <c r="S30" s="19"/>
      <c r="T30" s="19"/>
      <c r="U30" s="19"/>
    </row>
    <row r="31" spans="2:36" ht="22.35" customHeight="1">
      <c r="B31" s="71" t="s">
        <v>387</v>
      </c>
      <c r="C31" s="34"/>
      <c r="D31" s="83"/>
      <c r="E31" s="326"/>
      <c r="F31" s="327"/>
      <c r="H31" t="str">
        <f>IF(L16&gt;=2, "Location #2:","")</f>
        <v/>
      </c>
      <c r="I31" s="356"/>
      <c r="J31" s="356"/>
      <c r="K31" s="356"/>
      <c r="L31" s="356"/>
      <c r="M31" s="19"/>
      <c r="N31" s="101"/>
      <c r="O31" s="98"/>
      <c r="P31" s="98"/>
      <c r="Q31" s="98"/>
      <c r="R31" s="98"/>
      <c r="S31" s="19"/>
      <c r="T31" s="19"/>
      <c r="U31" s="19"/>
    </row>
    <row r="32" spans="2:36" ht="22.35" customHeight="1">
      <c r="B32" s="71" t="s">
        <v>398</v>
      </c>
      <c r="C32" s="34"/>
      <c r="D32" s="83"/>
      <c r="E32" s="84" t="s">
        <v>295</v>
      </c>
      <c r="F32" s="114"/>
      <c r="I32" s="106" t="s">
        <v>295</v>
      </c>
      <c r="J32" s="106" t="s">
        <v>402</v>
      </c>
      <c r="K32" s="106" t="s">
        <v>406</v>
      </c>
      <c r="L32" s="106" t="s">
        <v>407</v>
      </c>
      <c r="M32" s="88" t="s">
        <v>408</v>
      </c>
      <c r="N32" s="107" t="s">
        <v>409</v>
      </c>
      <c r="O32" s="108" t="s">
        <v>410</v>
      </c>
      <c r="P32" s="109" t="s">
        <v>399</v>
      </c>
      <c r="Q32" s="109" t="s">
        <v>403</v>
      </c>
      <c r="R32" s="109" t="s">
        <v>404</v>
      </c>
      <c r="S32" s="109" t="s">
        <v>400</v>
      </c>
      <c r="T32" s="109" t="s">
        <v>405</v>
      </c>
      <c r="U32" s="109" t="s">
        <v>401</v>
      </c>
      <c r="V32" s="70"/>
      <c r="W32" s="70"/>
    </row>
    <row r="33" spans="2:21" ht="22.35" customHeight="1">
      <c r="B33" s="71" t="s">
        <v>389</v>
      </c>
      <c r="C33" s="34"/>
      <c r="D33" s="83" t="s">
        <v>119</v>
      </c>
      <c r="E33" s="84" t="s">
        <v>119</v>
      </c>
      <c r="F33" s="114"/>
      <c r="I33" s="91"/>
      <c r="J33" s="91"/>
      <c r="K33" s="91"/>
      <c r="L33" s="91"/>
      <c r="M33" s="19"/>
      <c r="N33" s="101"/>
      <c r="O33" s="98"/>
      <c r="P33" s="98"/>
      <c r="Q33" s="98"/>
      <c r="R33" s="98"/>
      <c r="S33" s="19"/>
      <c r="T33" s="19"/>
      <c r="U33" s="19"/>
    </row>
    <row r="34" spans="2:21" ht="15">
      <c r="B34" s="77" t="str">
        <f>IF(LEFT(D25,3)="I.B", "Consortium Agreement", "N/A")</f>
        <v>N/A</v>
      </c>
      <c r="C34" s="34"/>
      <c r="D34" s="83"/>
      <c r="E34" s="326"/>
      <c r="F34" s="327"/>
      <c r="H34" t="str">
        <f>IF(L16&gt;=3, "Location #3:","")</f>
        <v/>
      </c>
      <c r="I34" s="357"/>
      <c r="J34" s="357"/>
      <c r="K34" s="357"/>
      <c r="L34" s="357"/>
      <c r="N34" s="62"/>
      <c r="O34" s="22"/>
      <c r="P34" s="22"/>
      <c r="Q34" s="22"/>
      <c r="R34" s="22"/>
    </row>
    <row r="35" spans="2:21" ht="15">
      <c r="B35" s="77" t="str">
        <f>IF(LEFT(D25,3)="I.B", "Standard I.A Member (at least 1)", "N/A")</f>
        <v>N/A</v>
      </c>
      <c r="C35" s="34"/>
      <c r="D35" s="83"/>
      <c r="E35" s="326"/>
      <c r="F35" s="327"/>
      <c r="H35" t="str">
        <f>IF(L16&gt;=4, "Location #4:","")</f>
        <v/>
      </c>
      <c r="I35" s="357"/>
      <c r="J35" s="357"/>
      <c r="K35" s="357"/>
      <c r="L35" s="357"/>
      <c r="N35" s="62"/>
      <c r="O35" s="22"/>
      <c r="P35" s="22"/>
      <c r="Q35" s="22"/>
      <c r="R35" s="22"/>
    </row>
    <row r="36" spans="2:21" ht="32.25" customHeight="1">
      <c r="B36" s="365" t="str">
        <f>IF(LEFT(D25,3)="I.B", "Consortium Governing Body Minutes 
                         (most recent 3 meetings)", "N/A")</f>
        <v>N/A</v>
      </c>
      <c r="C36" s="366"/>
      <c r="D36" s="83"/>
      <c r="E36" s="326"/>
      <c r="F36" s="327"/>
      <c r="H36" t="str">
        <f>IF(L16&gt;=5, "Location #5:","")</f>
        <v/>
      </c>
      <c r="I36" s="357"/>
      <c r="J36" s="357"/>
      <c r="K36" s="357"/>
      <c r="L36" s="357"/>
      <c r="N36" s="62"/>
      <c r="O36" s="22"/>
      <c r="P36" s="22"/>
      <c r="Q36" s="22"/>
      <c r="R36" s="22"/>
    </row>
    <row r="37" spans="2:21" ht="15">
      <c r="B37" s="77" t="str">
        <f>IF(LEFT(D25,3)="I.B", "Consortium Organizational Chart", "N/A")</f>
        <v>N/A</v>
      </c>
      <c r="C37" s="34"/>
      <c r="D37" s="83"/>
      <c r="E37" s="326"/>
      <c r="F37" s="327"/>
      <c r="H37" t="str">
        <f>IF(L18&gt;=4, "Location #4:","")</f>
        <v/>
      </c>
      <c r="I37" s="357"/>
      <c r="J37" s="357"/>
      <c r="K37" s="357"/>
      <c r="L37" s="357"/>
      <c r="N37" s="62"/>
      <c r="O37" s="22"/>
      <c r="P37" s="22"/>
      <c r="Q37" s="22"/>
      <c r="R37" s="22"/>
    </row>
    <row r="38" spans="2:21" ht="15">
      <c r="B38" s="77" t="str">
        <f>IF(LEFT(D25,3)="I.B", "Corporate Structure Organizational Chart", "N/A")</f>
        <v>N/A</v>
      </c>
      <c r="C38" s="34"/>
      <c r="D38" s="83"/>
      <c r="E38" s="326"/>
      <c r="F38" s="327"/>
      <c r="H38" t="str">
        <f>IF(L18&gt;=5, "Location #5:","")</f>
        <v/>
      </c>
      <c r="I38" s="357"/>
      <c r="J38" s="357"/>
      <c r="K38" s="357"/>
      <c r="L38" s="357"/>
      <c r="N38" s="62"/>
      <c r="O38" s="22"/>
      <c r="P38" s="22"/>
      <c r="Q38" s="22"/>
      <c r="R38" s="22"/>
    </row>
    <row r="39" spans="2:21" ht="25.35" customHeight="1">
      <c r="B39" s="358" t="s">
        <v>373</v>
      </c>
      <c r="C39" s="359"/>
      <c r="D39" s="359"/>
      <c r="E39" s="359"/>
      <c r="F39" s="360"/>
      <c r="H39" t="str">
        <f>IF(L28&gt;=12, "Location #12:","")</f>
        <v/>
      </c>
      <c r="I39" s="361"/>
      <c r="J39" s="361"/>
      <c r="K39" s="361"/>
      <c r="L39" s="361"/>
      <c r="N39" s="62"/>
      <c r="O39" s="22"/>
      <c r="P39" s="22"/>
      <c r="Q39" s="22"/>
      <c r="R39" s="22"/>
    </row>
    <row r="40" spans="2:21" ht="23.25" customHeight="1">
      <c r="B40" s="76" t="s">
        <v>390</v>
      </c>
      <c r="C40" s="54"/>
      <c r="D40" s="83"/>
      <c r="E40" s="326"/>
      <c r="F40" s="327"/>
      <c r="N40" s="24"/>
    </row>
    <row r="41" spans="2:21" ht="15">
      <c r="B41" s="128" t="s">
        <v>464</v>
      </c>
      <c r="C41" s="129"/>
      <c r="D41" s="130"/>
      <c r="E41" s="130"/>
      <c r="F41" s="131"/>
      <c r="N41" s="24"/>
    </row>
    <row r="42" spans="2:21">
      <c r="B42" s="35" t="s">
        <v>183</v>
      </c>
      <c r="C42" s="37"/>
      <c r="D42" s="83"/>
      <c r="E42" s="326"/>
      <c r="F42" s="327"/>
      <c r="N42" s="24"/>
    </row>
    <row r="43" spans="2:21">
      <c r="B43" s="36" t="s">
        <v>453</v>
      </c>
      <c r="C43" s="37"/>
      <c r="D43" s="83"/>
      <c r="E43" s="326"/>
      <c r="F43" s="327"/>
      <c r="N43" s="24"/>
    </row>
    <row r="44" spans="2:21">
      <c r="B44" s="35" t="s">
        <v>122</v>
      </c>
      <c r="C44" s="37" t="s">
        <v>123</v>
      </c>
      <c r="D44" s="83" t="s">
        <v>119</v>
      </c>
      <c r="E44" s="84" t="s">
        <v>119</v>
      </c>
      <c r="F44" s="114"/>
      <c r="N44" s="24"/>
    </row>
    <row r="45" spans="2:21">
      <c r="B45" s="36" t="s">
        <v>124</v>
      </c>
      <c r="C45" s="37" t="s">
        <v>123</v>
      </c>
      <c r="D45" s="83" t="s">
        <v>119</v>
      </c>
      <c r="E45" s="84" t="s">
        <v>119</v>
      </c>
      <c r="F45" s="114"/>
      <c r="N45" s="24"/>
    </row>
    <row r="46" spans="2:21">
      <c r="B46" s="36" t="s">
        <v>372</v>
      </c>
      <c r="C46" s="124" t="s">
        <v>123</v>
      </c>
      <c r="D46" s="83" t="s">
        <v>119</v>
      </c>
      <c r="E46" s="84" t="s">
        <v>119</v>
      </c>
      <c r="F46" s="114"/>
      <c r="N46" s="24"/>
    </row>
    <row r="47" spans="2:21">
      <c r="B47" s="35" t="s">
        <v>448</v>
      </c>
      <c r="C47" s="37" t="s">
        <v>123</v>
      </c>
      <c r="D47" s="83" t="s">
        <v>119</v>
      </c>
      <c r="E47" s="326"/>
      <c r="F47" s="327"/>
      <c r="N47" s="24"/>
    </row>
    <row r="48" spans="2:21" ht="15">
      <c r="B48" s="77" t="s">
        <v>449</v>
      </c>
      <c r="C48" s="37"/>
      <c r="D48" s="83"/>
      <c r="E48" s="326"/>
      <c r="F48" s="327"/>
      <c r="N48" s="24"/>
    </row>
    <row r="49" spans="1:23" ht="15">
      <c r="B49" s="77" t="s">
        <v>451</v>
      </c>
      <c r="C49" s="37"/>
      <c r="D49" s="83"/>
      <c r="E49" s="326"/>
      <c r="F49" s="327"/>
      <c r="N49" s="24"/>
    </row>
    <row r="50" spans="1:23">
      <c r="B50" s="119" t="s">
        <v>465</v>
      </c>
      <c r="C50" s="37"/>
      <c r="D50" s="83"/>
      <c r="E50" s="326"/>
      <c r="F50" s="327"/>
      <c r="N50" s="24"/>
    </row>
    <row r="51" spans="1:23" ht="15">
      <c r="B51" s="77" t="s">
        <v>450</v>
      </c>
      <c r="C51" s="37"/>
      <c r="D51" s="83"/>
      <c r="E51" s="326"/>
      <c r="F51" s="327"/>
      <c r="N51" s="24"/>
    </row>
    <row r="52" spans="1:23" ht="15">
      <c r="B52" s="77" t="s">
        <v>452</v>
      </c>
      <c r="C52" s="37"/>
      <c r="D52" s="83"/>
      <c r="E52" s="326"/>
      <c r="F52" s="327"/>
      <c r="N52" s="24"/>
    </row>
    <row r="53" spans="1:23" ht="15">
      <c r="B53" s="79" t="s">
        <v>455</v>
      </c>
      <c r="C53" s="37"/>
      <c r="D53" s="83"/>
      <c r="E53" s="326"/>
      <c r="F53" s="327"/>
      <c r="N53" s="24"/>
    </row>
    <row r="54" spans="1:23">
      <c r="B54" s="78" t="s">
        <v>454</v>
      </c>
      <c r="C54" s="37"/>
      <c r="D54" s="83"/>
      <c r="E54" s="326"/>
      <c r="F54" s="327"/>
      <c r="N54" s="24"/>
    </row>
    <row r="55" spans="1:23" ht="15">
      <c r="B55" s="80" t="s">
        <v>456</v>
      </c>
      <c r="C55" s="124"/>
      <c r="D55" s="83"/>
      <c r="E55" s="326"/>
      <c r="F55" s="327"/>
      <c r="N55" s="24"/>
    </row>
    <row r="56" spans="1:23" ht="14.25" customHeight="1">
      <c r="K56" s="7"/>
      <c r="L56" s="7"/>
      <c r="M56" s="7"/>
      <c r="N56" s="7"/>
    </row>
    <row r="57" spans="1:23" ht="42" customHeight="1">
      <c r="B57" s="9" t="s">
        <v>125</v>
      </c>
      <c r="D57" s="362"/>
      <c r="E57" s="363"/>
      <c r="F57" s="364"/>
    </row>
    <row r="58" spans="1:23" s="122" customFormat="1" ht="17.25" customHeight="1">
      <c r="A58"/>
      <c r="B58"/>
      <c r="C58"/>
      <c r="D58"/>
      <c r="E58"/>
      <c r="F58"/>
      <c r="H58"/>
      <c r="I58"/>
      <c r="J58"/>
      <c r="K58"/>
      <c r="L58"/>
      <c r="M58"/>
      <c r="N58"/>
    </row>
    <row r="59" spans="1:23" ht="15.75">
      <c r="A59" s="122"/>
      <c r="B59" t="s">
        <v>126</v>
      </c>
      <c r="C59" s="25"/>
      <c r="D59" s="371" t="s">
        <v>295</v>
      </c>
      <c r="E59" s="372"/>
      <c r="F59" s="373"/>
      <c r="I59" s="19" t="s">
        <v>295</v>
      </c>
      <c r="J59" s="19" t="s">
        <v>466</v>
      </c>
      <c r="K59" s="19" t="s">
        <v>348</v>
      </c>
      <c r="L59" s="19" t="s">
        <v>145</v>
      </c>
      <c r="M59" s="19" t="s">
        <v>467</v>
      </c>
      <c r="N59" s="19" t="s">
        <v>503</v>
      </c>
      <c r="O59" s="19" t="s">
        <v>468</v>
      </c>
      <c r="P59" s="19" t="s">
        <v>533</v>
      </c>
      <c r="Q59" s="19" t="s">
        <v>265</v>
      </c>
      <c r="R59" s="19" t="s">
        <v>166</v>
      </c>
      <c r="S59" s="19" t="s">
        <v>367</v>
      </c>
      <c r="T59" s="19" t="s">
        <v>38</v>
      </c>
      <c r="U59" s="19" t="s">
        <v>469</v>
      </c>
      <c r="V59" s="19"/>
      <c r="W59" s="41"/>
    </row>
    <row r="60" spans="1:23">
      <c r="A60" s="122"/>
    </row>
    <row r="61" spans="1:23">
      <c r="A61" s="122"/>
      <c r="B61" s="42" t="s">
        <v>504</v>
      </c>
      <c r="C61" s="43"/>
      <c r="D61" s="43"/>
      <c r="E61" s="43"/>
      <c r="F61" s="44"/>
    </row>
    <row r="62" spans="1:23" s="7" customFormat="1" ht="27" customHeight="1">
      <c r="B62" s="47"/>
      <c r="C62" s="46"/>
      <c r="D62" s="48" t="s">
        <v>505</v>
      </c>
      <c r="E62" s="67"/>
      <c r="F62" s="68"/>
      <c r="H62"/>
      <c r="I62" s="19"/>
      <c r="J62" s="19"/>
      <c r="K62" s="19"/>
      <c r="L62" s="19"/>
      <c r="M62" s="19"/>
      <c r="N62"/>
    </row>
    <row r="63" spans="1:23">
      <c r="B63" s="369"/>
      <c r="C63" s="370"/>
      <c r="D63" s="369"/>
      <c r="E63" s="369"/>
      <c r="F63" s="370"/>
      <c r="I63" s="19" t="s">
        <v>117</v>
      </c>
      <c r="J63" s="19" t="s">
        <v>118</v>
      </c>
      <c r="K63" s="19" t="s">
        <v>447</v>
      </c>
      <c r="L63" s="19" t="s">
        <v>119</v>
      </c>
      <c r="M63" s="24"/>
    </row>
    <row r="64" spans="1:23" ht="15.75">
      <c r="B64" s="20" t="s">
        <v>127</v>
      </c>
      <c r="F64" s="26">
        <f>C5</f>
        <v>0</v>
      </c>
    </row>
    <row r="65" spans="2:6" ht="15" customHeight="1">
      <c r="B65" s="367" t="s">
        <v>128</v>
      </c>
      <c r="C65" s="368"/>
      <c r="D65" s="81" t="s">
        <v>117</v>
      </c>
      <c r="E65" s="21" t="str">
        <f>IF(OR($D65="No",$D65="Pending"),"as of","")</f>
        <v/>
      </c>
      <c r="F65" s="2"/>
    </row>
    <row r="66" spans="2:6" ht="15" customHeight="1">
      <c r="B66" s="367" t="s">
        <v>442</v>
      </c>
      <c r="C66" s="368"/>
      <c r="D66" s="81" t="s">
        <v>117</v>
      </c>
      <c r="E66" s="21" t="str">
        <f t="shared" ref="E66:E70" si="0">IF(OR($D66="No",$D66="Pending"),"as of","")</f>
        <v/>
      </c>
      <c r="F66" s="2"/>
    </row>
    <row r="67" spans="2:6" ht="15" customHeight="1">
      <c r="B67" s="367" t="s">
        <v>443</v>
      </c>
      <c r="C67" s="368"/>
      <c r="D67" s="81" t="s">
        <v>117</v>
      </c>
      <c r="E67" s="21" t="str">
        <f t="shared" si="0"/>
        <v/>
      </c>
      <c r="F67" s="2"/>
    </row>
    <row r="68" spans="2:6" ht="15" customHeight="1">
      <c r="B68" s="367" t="s">
        <v>444</v>
      </c>
      <c r="C68" s="368"/>
      <c r="D68" s="81" t="s">
        <v>119</v>
      </c>
      <c r="E68" s="21" t="str">
        <f t="shared" si="0"/>
        <v/>
      </c>
      <c r="F68" s="2"/>
    </row>
    <row r="69" spans="2:6" ht="15" customHeight="1">
      <c r="B69" s="367" t="s">
        <v>445</v>
      </c>
      <c r="C69" s="368"/>
      <c r="D69" s="81" t="s">
        <v>119</v>
      </c>
      <c r="E69" s="21" t="str">
        <f t="shared" si="0"/>
        <v/>
      </c>
      <c r="F69" s="2"/>
    </row>
    <row r="70" spans="2:6" ht="15" customHeight="1">
      <c r="B70" s="367" t="s">
        <v>446</v>
      </c>
      <c r="C70" s="368"/>
      <c r="D70" s="81" t="s">
        <v>119</v>
      </c>
      <c r="E70" s="21" t="str">
        <f t="shared" si="0"/>
        <v/>
      </c>
      <c r="F70" s="2"/>
    </row>
    <row r="71" spans="2:6" ht="15">
      <c r="B71" s="27"/>
    </row>
    <row r="73" spans="2:6" ht="66.75" customHeight="1">
      <c r="B73" s="331" t="str">
        <f>IF(OR(D15="Resubmit",D16="Resubmit",D18="Resubmit",D19="Resubmit",D23="Resubmit",D26="Resubmit",D27="Resubmit",D28="Resubmit",D29="Resubmit",D30="Resubmit",D31="Resubmit",D32="Resubmit",D33="Resubmit",D34="Resubmit",D35="Resubmit",D36="Resubmit",D40="Resubmit",D42="Resubmit",D43="Resubmit",D44="Resubmit",D45="Resubmit",D47="Resubmit",D49="Resubmit",D50="Resubmit",D51="Resubmit",D52="Resubmit",D53="Resubmit",D54="Resubmit",D55="Resubmit"),"The applicant program’s LoR Application submission is missing elements of information and/or required documentation.  "&amp;"The item(s) above identified as Resubmit in the Answer/Evidence Provided column are required to be addressed by the applicant program's LoR Application resubmission no later than the date specified in the email.","Any item(s) above that are identified with 'LSSR' in the Answer/Evidence Provided column require edits/revisions when submitting the Letter of Review Self Study Report (LSSR).")</f>
        <v>Any item(s) above that are identified with 'LSSR' in the Answer/Evidence Provided column require edits/revisions when submitting the Letter of Review Self Study Report (LSSR).</v>
      </c>
      <c r="C73" s="332"/>
      <c r="D73" s="332"/>
      <c r="E73" s="332"/>
      <c r="F73" s="333"/>
    </row>
    <row r="75" spans="2:6">
      <c r="E75" t="s">
        <v>129</v>
      </c>
      <c r="F75" s="11" t="s">
        <v>130</v>
      </c>
    </row>
    <row r="76" spans="2:6">
      <c r="B76" t="s">
        <v>131</v>
      </c>
      <c r="E76" s="28"/>
      <c r="F76" s="29"/>
    </row>
    <row r="77" spans="2:6">
      <c r="B77" t="s">
        <v>441</v>
      </c>
      <c r="E77" s="28"/>
      <c r="F77" s="29"/>
    </row>
    <row r="79" spans="2:6" ht="15">
      <c r="B79" s="30" t="s">
        <v>132</v>
      </c>
      <c r="D79" s="31" t="s">
        <v>133</v>
      </c>
    </row>
    <row r="80" spans="2:6">
      <c r="D80" s="32" t="s">
        <v>134</v>
      </c>
    </row>
    <row r="81" spans="4:6">
      <c r="D81" s="45" t="s">
        <v>135</v>
      </c>
      <c r="E81" s="45"/>
      <c r="F81" s="45"/>
    </row>
    <row r="82" spans="4:6" ht="15">
      <c r="D82" s="31" t="s">
        <v>136</v>
      </c>
    </row>
  </sheetData>
  <sheetProtection algorithmName="SHA-512" hashValue="4eU8ZzsKmSEtj/GqzcSU2jk7MksIT7TJ/nsaeOzV/im7i2mautq8dA10sZPHJzYC05Uupwm4BWE8Jjxu0Jv+aA==" saltValue="SZgm/ZTNXS35BO80vdFKKg==" spinCount="100000" sheet="1" formatRows="0" selectLockedCells="1"/>
  <mergeCells count="68">
    <mergeCell ref="B36:C36"/>
    <mergeCell ref="B70:C70"/>
    <mergeCell ref="B73:F73"/>
    <mergeCell ref="B63:F63"/>
    <mergeCell ref="B65:C65"/>
    <mergeCell ref="B66:C66"/>
    <mergeCell ref="B67:C67"/>
    <mergeCell ref="B68:C68"/>
    <mergeCell ref="B69:C69"/>
    <mergeCell ref="D59:F59"/>
    <mergeCell ref="E43:F43"/>
    <mergeCell ref="E47:F47"/>
    <mergeCell ref="E48:F48"/>
    <mergeCell ref="E49:F49"/>
    <mergeCell ref="E50:F50"/>
    <mergeCell ref="E51:F51"/>
    <mergeCell ref="E52:F52"/>
    <mergeCell ref="E53:F53"/>
    <mergeCell ref="E54:F54"/>
    <mergeCell ref="E55:F55"/>
    <mergeCell ref="D57:F57"/>
    <mergeCell ref="E42:F42"/>
    <mergeCell ref="E31:F31"/>
    <mergeCell ref="I31:L31"/>
    <mergeCell ref="E34:F34"/>
    <mergeCell ref="I34:L34"/>
    <mergeCell ref="E35:F35"/>
    <mergeCell ref="I35:L35"/>
    <mergeCell ref="E36:F36"/>
    <mergeCell ref="I36:L36"/>
    <mergeCell ref="B39:F39"/>
    <mergeCell ref="I39:L39"/>
    <mergeCell ref="E40:F40"/>
    <mergeCell ref="E37:F37"/>
    <mergeCell ref="I37:L37"/>
    <mergeCell ref="E38:F38"/>
    <mergeCell ref="I38:L38"/>
    <mergeCell ref="H15:J15"/>
    <mergeCell ref="E16:F16"/>
    <mergeCell ref="H16:J16"/>
    <mergeCell ref="B17:F17"/>
    <mergeCell ref="E28:F28"/>
    <mergeCell ref="B19:C19"/>
    <mergeCell ref="B20:C20"/>
    <mergeCell ref="B21:C21"/>
    <mergeCell ref="B22:C22"/>
    <mergeCell ref="E23:F23"/>
    <mergeCell ref="B24:F24"/>
    <mergeCell ref="B25:C25"/>
    <mergeCell ref="D25:F25"/>
    <mergeCell ref="B27:C27"/>
    <mergeCell ref="E27:F27"/>
    <mergeCell ref="I27:L27"/>
    <mergeCell ref="E18:F18"/>
    <mergeCell ref="B9:B11"/>
    <mergeCell ref="C9:F9"/>
    <mergeCell ref="C10:F10"/>
    <mergeCell ref="C11:F11"/>
    <mergeCell ref="B13:F13"/>
    <mergeCell ref="B14:C14"/>
    <mergeCell ref="E14:F14"/>
    <mergeCell ref="E15:F15"/>
    <mergeCell ref="C8:D8"/>
    <mergeCell ref="C1:F2"/>
    <mergeCell ref="C3:F3"/>
    <mergeCell ref="J3:K3"/>
    <mergeCell ref="H5:I5"/>
    <mergeCell ref="C6:F7"/>
  </mergeCells>
  <conditionalFormatting sqref="B34:B38">
    <cfRule type="expression" dxfId="1279" priority="36">
      <formula>B34="N/A"</formula>
    </cfRule>
  </conditionalFormatting>
  <conditionalFormatting sqref="B13:F13">
    <cfRule type="expression" dxfId="1278" priority="183">
      <formula>$G$13="1"</formula>
    </cfRule>
  </conditionalFormatting>
  <conditionalFormatting sqref="B73:F73">
    <cfRule type="expression" dxfId="1277" priority="37">
      <formula>$G$13="1"</formula>
    </cfRule>
  </conditionalFormatting>
  <conditionalFormatting sqref="C34:C35">
    <cfRule type="expression" dxfId="1276" priority="321">
      <formula>B34="N/A"</formula>
    </cfRule>
  </conditionalFormatting>
  <conditionalFormatting sqref="C37:C38">
    <cfRule type="expression" dxfId="1275" priority="35">
      <formula>B37="N/A"</formula>
    </cfRule>
  </conditionalFormatting>
  <conditionalFormatting sqref="D33 F33">
    <cfRule type="expression" dxfId="1274" priority="125">
      <formula>OR(AND($D33="N/A",$E33="Please Select"),AND($D33="N/A",$E33="N/A"))</formula>
    </cfRule>
    <cfRule type="expression" dxfId="1273" priority="126">
      <formula>AND($D33="LSSR",$E33&lt;&gt;"Please Select")</formula>
    </cfRule>
  </conditionalFormatting>
  <conditionalFormatting sqref="D34:D36">
    <cfRule type="expression" dxfId="1272" priority="114">
      <formula>B34="N/A"</formula>
    </cfRule>
  </conditionalFormatting>
  <conditionalFormatting sqref="D37:D38">
    <cfRule type="expression" dxfId="1271" priority="3">
      <formula>B37="N/A"</formula>
    </cfRule>
  </conditionalFormatting>
  <conditionalFormatting sqref="D65:D70 F65:F70">
    <cfRule type="expression" dxfId="1270" priority="215">
      <formula>$D65="No"</formula>
    </cfRule>
    <cfRule type="expression" dxfId="1269" priority="216">
      <formula>$D65="Pending"</formula>
    </cfRule>
  </conditionalFormatting>
  <conditionalFormatting sqref="D65:D70">
    <cfRule type="expression" dxfId="1268" priority="217">
      <formula>$D65="Yes"</formula>
    </cfRule>
  </conditionalFormatting>
  <conditionalFormatting sqref="D15:F16">
    <cfRule type="expression" dxfId="1267" priority="177">
      <formula>$D15="LSSR"</formula>
    </cfRule>
    <cfRule type="expression" dxfId="1266" priority="176">
      <formula>$D15="N/A"</formula>
    </cfRule>
    <cfRule type="expression" dxfId="1265" priority="175">
      <formula>$D15="Resubmit"</formula>
    </cfRule>
    <cfRule type="expression" dxfId="1264" priority="178">
      <formula>$D15="Complete"</formula>
    </cfRule>
  </conditionalFormatting>
  <conditionalFormatting sqref="D18:F18">
    <cfRule type="expression" dxfId="1263" priority="171">
      <formula>$D18="Complete"</formula>
    </cfRule>
    <cfRule type="expression" dxfId="1262" priority="169">
      <formula>$D18="N/A"</formula>
    </cfRule>
    <cfRule type="expression" dxfId="1261" priority="168">
      <formula>$D18="Resubmit"</formula>
    </cfRule>
    <cfRule type="expression" dxfId="1260" priority="170">
      <formula>$D18="LSSR"</formula>
    </cfRule>
  </conditionalFormatting>
  <conditionalFormatting sqref="D23:F23">
    <cfRule type="expression" dxfId="1259" priority="163">
      <formula>$D23="LSSR"</formula>
    </cfRule>
    <cfRule type="expression" dxfId="1258" priority="164">
      <formula>$D23="Complete"</formula>
    </cfRule>
    <cfRule type="expression" dxfId="1257" priority="161">
      <formula>$D23="Resubmit"</formula>
    </cfRule>
    <cfRule type="expression" dxfId="1256" priority="162">
      <formula>$D23="N/A"</formula>
    </cfRule>
  </conditionalFormatting>
  <conditionalFormatting sqref="D26:F26">
    <cfRule type="expression" dxfId="1255" priority="218">
      <formula>OR(AND($D26="N/A",$E26="Please Select"),AND($D26="N/A",$E26="N/A"))</formula>
    </cfRule>
    <cfRule type="expression" dxfId="1254" priority="219">
      <formula>AND($D26="LSSR",$E26&lt;&gt;"Please Select")</formula>
    </cfRule>
    <cfRule type="expression" dxfId="1253" priority="220">
      <formula>AND($D26="Complete",$E26&lt;&gt;"Please Select")</formula>
    </cfRule>
  </conditionalFormatting>
  <conditionalFormatting sqref="D26:F36">
    <cfRule type="expression" dxfId="1252" priority="42">
      <formula>$D26="Resubmit"</formula>
    </cfRule>
  </conditionalFormatting>
  <conditionalFormatting sqref="D27:F28">
    <cfRule type="expression" dxfId="1251" priority="148">
      <formula>$D27="LSSR"</formula>
    </cfRule>
    <cfRule type="expression" dxfId="1250" priority="149">
      <formula>$D27="Complete"</formula>
    </cfRule>
    <cfRule type="expression" dxfId="1249" priority="147">
      <formula>$D27="N/A"</formula>
    </cfRule>
  </conditionalFormatting>
  <conditionalFormatting sqref="D29:F30">
    <cfRule type="expression" dxfId="1248" priority="139">
      <formula>OR(AND($D29="N/A",$E29="Please Select"),AND($D29="N/A",$E29="N/A"))</formula>
    </cfRule>
    <cfRule type="expression" dxfId="1247" priority="141">
      <formula>AND($D29="Complete",$E29&lt;&gt;"Please Select")</formula>
    </cfRule>
    <cfRule type="expression" dxfId="1246" priority="140">
      <formula>AND($D29="LSSR",$E29&lt;&gt;"Please Select")</formula>
    </cfRule>
  </conditionalFormatting>
  <conditionalFormatting sqref="D31:F31">
    <cfRule type="expression" dxfId="1245" priority="133">
      <formula>$D31="LSSR"</formula>
    </cfRule>
    <cfRule type="expression" dxfId="1244" priority="134">
      <formula>$D31="Complete"</formula>
    </cfRule>
    <cfRule type="expression" dxfId="1243" priority="132">
      <formula>$D31="N/A"</formula>
    </cfRule>
  </conditionalFormatting>
  <conditionalFormatting sqref="D32:F32">
    <cfRule type="expression" dxfId="1242" priority="130">
      <formula>AND($D32="Complete",$E32&lt;&gt;"Please Select")</formula>
    </cfRule>
    <cfRule type="expression" dxfId="1241" priority="129">
      <formula>AND($D32="LSSR",$E32&lt;&gt;"Please Select")</formula>
    </cfRule>
    <cfRule type="expression" dxfId="1240" priority="128">
      <formula>OR(AND($D32="N/A",$E32="Please Select"),AND($D32="N/A",$E32="N/A"))</formula>
    </cfRule>
  </conditionalFormatting>
  <conditionalFormatting sqref="D33:F33">
    <cfRule type="expression" dxfId="1239" priority="41">
      <formula>AND($D33="Complete",$E33&lt;&gt;"Please Select")</formula>
    </cfRule>
  </conditionalFormatting>
  <conditionalFormatting sqref="D34:F36">
    <cfRule type="expression" dxfId="1238" priority="117">
      <formula>$D34="Complete"</formula>
    </cfRule>
    <cfRule type="expression" dxfId="1237" priority="115">
      <formula>$D34="N/A"</formula>
    </cfRule>
    <cfRule type="expression" dxfId="1236" priority="116">
      <formula>$D34="LSSR"</formula>
    </cfRule>
  </conditionalFormatting>
  <conditionalFormatting sqref="D37:F38">
    <cfRule type="expression" dxfId="1235" priority="4">
      <formula>$D37="N/A"</formula>
    </cfRule>
    <cfRule type="expression" dxfId="1234" priority="5">
      <formula>$D37="LSSR"</formula>
    </cfRule>
    <cfRule type="expression" dxfId="1233" priority="6">
      <formula>$D37="Complete"</formula>
    </cfRule>
    <cfRule type="expression" dxfId="1232" priority="1">
      <formula>$D37="Resubmit"</formula>
    </cfRule>
  </conditionalFormatting>
  <conditionalFormatting sqref="D40:F40">
    <cfRule type="expression" dxfId="1231" priority="106">
      <formula>$D40="N/A"</formula>
    </cfRule>
    <cfRule type="expression" dxfId="1230" priority="107">
      <formula>$D40="LSSR"</formula>
    </cfRule>
    <cfRule type="expression" dxfId="1229" priority="108">
      <formula>$D40="Complete"</formula>
    </cfRule>
    <cfRule type="expression" dxfId="1228" priority="105">
      <formula>$D40="Resubmit"</formula>
    </cfRule>
  </conditionalFormatting>
  <conditionalFormatting sqref="D42:F43">
    <cfRule type="expression" dxfId="1227" priority="94">
      <formula>$D42="Complete"</formula>
    </cfRule>
    <cfRule type="expression" dxfId="1226" priority="93">
      <formula>$D42="LSSR"</formula>
    </cfRule>
    <cfRule type="expression" dxfId="1225" priority="92">
      <formula>$D42="N/A"</formula>
    </cfRule>
  </conditionalFormatting>
  <conditionalFormatting sqref="D42:F55">
    <cfRule type="expression" dxfId="1224" priority="38">
      <formula>$D42="Resubmit"</formula>
    </cfRule>
  </conditionalFormatting>
  <conditionalFormatting sqref="D44:F46">
    <cfRule type="expression" dxfId="1223" priority="199">
      <formula>AND($D44="LSSR",$E44&lt;&gt;"Please Select")</formula>
    </cfRule>
    <cfRule type="expression" dxfId="1222" priority="200">
      <formula>AND($D44="Complete",$E44&lt;&gt;"Please Select")</formula>
    </cfRule>
    <cfRule type="expression" dxfId="1221" priority="198">
      <formula>OR(AND($D44="N/A",$E44="Please Select"),AND($D44="N/A",$E44="N/A"))</formula>
    </cfRule>
  </conditionalFormatting>
  <conditionalFormatting sqref="D47:F52">
    <cfRule type="expression" dxfId="1220" priority="59">
      <formula>$D47="Complete"</formula>
    </cfRule>
    <cfRule type="expression" dxfId="1219" priority="58">
      <formula>$D47="LSSR"</formula>
    </cfRule>
    <cfRule type="expression" dxfId="1218" priority="57">
      <formula>$D47="N/A"</formula>
    </cfRule>
  </conditionalFormatting>
  <conditionalFormatting sqref="D53:F55">
    <cfRule type="expression" dxfId="1217" priority="44">
      <formula>$D53="N/A"</formula>
    </cfRule>
    <cfRule type="expression" dxfId="1216" priority="45">
      <formula>$D53="LSSR"</formula>
    </cfRule>
    <cfRule type="expression" dxfId="1215" priority="46">
      <formula>$D53="Complete"</formula>
    </cfRule>
  </conditionalFormatting>
  <conditionalFormatting sqref="E34:F36">
    <cfRule type="expression" dxfId="1214" priority="113">
      <formula>B34="N/A"</formula>
    </cfRule>
  </conditionalFormatting>
  <conditionalFormatting sqref="E37:F38">
    <cfRule type="expression" dxfId="1213" priority="2">
      <formula>B37="N/A"</formula>
    </cfRule>
  </conditionalFormatting>
  <conditionalFormatting sqref="F12">
    <cfRule type="expression" dxfId="1212" priority="323">
      <formula>#REF!="Not OK"</formula>
    </cfRule>
  </conditionalFormatting>
  <conditionalFormatting sqref="F65:F70">
    <cfRule type="expression" dxfId="1211" priority="320">
      <formula>(OR($D65="No",$D65="Pending"))</formula>
    </cfRule>
  </conditionalFormatting>
  <conditionalFormatting sqref="G15:G18">
    <cfRule type="expression" dxfId="1210" priority="324">
      <formula>#REF!="Not OK"</formula>
    </cfRule>
  </conditionalFormatting>
  <conditionalFormatting sqref="H19:L23">
    <cfRule type="expression" dxfId="1209" priority="188">
      <formula>AND($L$17=$L$16,$L$16&gt;=1)</formula>
    </cfRule>
  </conditionalFormatting>
  <conditionalFormatting sqref="H19:M23">
    <cfRule type="expression" dxfId="1208" priority="191">
      <formula>$L$17-$L$16&gt;=1</formula>
    </cfRule>
  </conditionalFormatting>
  <conditionalFormatting sqref="I24:M24">
    <cfRule type="expression" dxfId="1207" priority="312">
      <formula>$L$17-$L$16&gt;=9</formula>
    </cfRule>
  </conditionalFormatting>
  <conditionalFormatting sqref="I25:M25">
    <cfRule type="expression" dxfId="1206" priority="311">
      <formula>$L$17-$L$16&gt;=10</formula>
    </cfRule>
  </conditionalFormatting>
  <conditionalFormatting sqref="I27:M27">
    <cfRule type="expression" dxfId="1205" priority="310">
      <formula>$L$17-$L$16&gt;=12</formula>
    </cfRule>
  </conditionalFormatting>
  <conditionalFormatting sqref="I31:M33">
    <cfRule type="expression" dxfId="1204" priority="275">
      <formula>$L$16&gt;=2</formula>
    </cfRule>
  </conditionalFormatting>
  <conditionalFormatting sqref="I34:M34">
    <cfRule type="expression" dxfId="1203" priority="274">
      <formula>$L$16&gt;=3</formula>
    </cfRule>
  </conditionalFormatting>
  <conditionalFormatting sqref="I35:M35">
    <cfRule type="expression" dxfId="1202" priority="273">
      <formula>$L$16&gt;=4</formula>
    </cfRule>
  </conditionalFormatting>
  <conditionalFormatting sqref="I36:M36">
    <cfRule type="expression" dxfId="1201" priority="272">
      <formula>$L$16&gt;=5</formula>
    </cfRule>
  </conditionalFormatting>
  <conditionalFormatting sqref="I37:M37">
    <cfRule type="expression" dxfId="1200" priority="26">
      <formula>$L$16&gt;=4</formula>
    </cfRule>
  </conditionalFormatting>
  <conditionalFormatting sqref="I38:M38">
    <cfRule type="expression" dxfId="1199" priority="25">
      <formula>$L$16&gt;=5</formula>
    </cfRule>
  </conditionalFormatting>
  <conditionalFormatting sqref="I39:M39">
    <cfRule type="expression" dxfId="1198" priority="233">
      <formula>$L$16&gt;=12</formula>
    </cfRule>
  </conditionalFormatting>
  <conditionalFormatting sqref="L15">
    <cfRule type="expression" dxfId="1197" priority="328">
      <formula>#REF!="Yes"</formula>
    </cfRule>
  </conditionalFormatting>
  <conditionalFormatting sqref="L16">
    <cfRule type="expression" dxfId="1196" priority="326">
      <formula>L15="Yes"</formula>
    </cfRule>
  </conditionalFormatting>
  <conditionalFormatting sqref="L17">
    <cfRule type="expression" dxfId="1195" priority="327">
      <formula>AND(J14="Yes",L15&lt;&gt;"")</formula>
    </cfRule>
  </conditionalFormatting>
  <conditionalFormatting sqref="M30">
    <cfRule type="expression" dxfId="1194" priority="286">
      <formula>$L$16&gt;=1</formula>
    </cfRule>
  </conditionalFormatting>
  <conditionalFormatting sqref="N19:N23">
    <cfRule type="expression" dxfId="1193" priority="190">
      <formula>$L$17-$L$16&gt;=1</formula>
    </cfRule>
  </conditionalFormatting>
  <conditionalFormatting sqref="N24">
    <cfRule type="expression" dxfId="1192" priority="309">
      <formula>$L$17-$L$16&gt;=9</formula>
    </cfRule>
  </conditionalFormatting>
  <conditionalFormatting sqref="N25">
    <cfRule type="expression" dxfId="1191" priority="308">
      <formula>$L$17-$L$16&gt;=10</formula>
    </cfRule>
  </conditionalFormatting>
  <conditionalFormatting sqref="N27">
    <cfRule type="expression" dxfId="1190" priority="307">
      <formula>$L$17-$L$16&gt;=12</formula>
    </cfRule>
  </conditionalFormatting>
  <conditionalFormatting sqref="N30">
    <cfRule type="expression" dxfId="1189" priority="285">
      <formula>$L$16&gt;=1</formula>
    </cfRule>
  </conditionalFormatting>
  <conditionalFormatting sqref="N31:N33">
    <cfRule type="expression" dxfId="1188" priority="295">
      <formula>$L$16&gt;=2</formula>
    </cfRule>
  </conditionalFormatting>
  <conditionalFormatting sqref="N34">
    <cfRule type="expression" dxfId="1187" priority="294">
      <formula>$L$16&gt;=3</formula>
    </cfRule>
  </conditionalFormatting>
  <conditionalFormatting sqref="N35">
    <cfRule type="expression" dxfId="1186" priority="293">
      <formula>$L$16&gt;=4</formula>
    </cfRule>
  </conditionalFormatting>
  <conditionalFormatting sqref="N36">
    <cfRule type="expression" dxfId="1185" priority="292">
      <formula>$L$16&gt;=5</formula>
    </cfRule>
  </conditionalFormatting>
  <conditionalFormatting sqref="N37">
    <cfRule type="expression" dxfId="1184" priority="32">
      <formula>$L$16&gt;=4</formula>
    </cfRule>
  </conditionalFormatting>
  <conditionalFormatting sqref="N38">
    <cfRule type="expression" dxfId="1183" priority="31">
      <formula>$L$16&gt;=5</formula>
    </cfRule>
  </conditionalFormatting>
  <conditionalFormatting sqref="N39">
    <cfRule type="expression" dxfId="1182" priority="234">
      <formula>$L$16&gt;=12</formula>
    </cfRule>
  </conditionalFormatting>
  <conditionalFormatting sqref="O24">
    <cfRule type="expression" dxfId="1181" priority="261">
      <formula>$O$24="No"</formula>
    </cfRule>
  </conditionalFormatting>
  <conditionalFormatting sqref="O25">
    <cfRule type="expression" dxfId="1180" priority="260">
      <formula>$O$25="No"</formula>
    </cfRule>
  </conditionalFormatting>
  <conditionalFormatting sqref="O27">
    <cfRule type="expression" dxfId="1179" priority="259">
      <formula>$O$27="No"</formula>
    </cfRule>
  </conditionalFormatting>
  <conditionalFormatting sqref="O31:O33 P32:W32">
    <cfRule type="expression" dxfId="1178" priority="291">
      <formula>$O$31="No"</formula>
    </cfRule>
    <cfRule type="expression" dxfId="1177" priority="300">
      <formula>$L$16&gt;=2</formula>
    </cfRule>
  </conditionalFormatting>
  <conditionalFormatting sqref="O34">
    <cfRule type="expression" dxfId="1176" priority="254">
      <formula>$O$34="No"</formula>
    </cfRule>
  </conditionalFormatting>
  <conditionalFormatting sqref="O35">
    <cfRule type="expression" dxfId="1175" priority="253">
      <formula>$O$35="No"</formula>
    </cfRule>
  </conditionalFormatting>
  <conditionalFormatting sqref="O36">
    <cfRule type="expression" dxfId="1174" priority="252">
      <formula>$O$36="No"</formula>
    </cfRule>
  </conditionalFormatting>
  <conditionalFormatting sqref="O37">
    <cfRule type="expression" dxfId="1173" priority="20">
      <formula>$O$35="No"</formula>
    </cfRule>
  </conditionalFormatting>
  <conditionalFormatting sqref="O38">
    <cfRule type="expression" dxfId="1172" priority="19">
      <formula>$O$36="No"</formula>
    </cfRule>
  </conditionalFormatting>
  <conditionalFormatting sqref="O19:P23">
    <cfRule type="expression" dxfId="1171" priority="189">
      <formula>$L$17-$L$16&gt;=1</formula>
    </cfRule>
  </conditionalFormatting>
  <conditionalFormatting sqref="O24:P24">
    <cfRule type="expression" dxfId="1170" priority="303">
      <formula>$L$17-$L$16&gt;=9</formula>
    </cfRule>
  </conditionalFormatting>
  <conditionalFormatting sqref="O25:P25">
    <cfRule type="expression" dxfId="1169" priority="302">
      <formula>$L$17-$L$16&gt;=10</formula>
    </cfRule>
  </conditionalFormatting>
  <conditionalFormatting sqref="O27:P27">
    <cfRule type="expression" dxfId="1168" priority="301">
      <formula>$L$17-$L$16&gt;=12</formula>
    </cfRule>
  </conditionalFormatting>
  <conditionalFormatting sqref="O30:R30">
    <cfRule type="expression" dxfId="1167" priority="281">
      <formula>$L$16&gt;=1</formula>
    </cfRule>
  </conditionalFormatting>
  <conditionalFormatting sqref="O34:R34">
    <cfRule type="expression" dxfId="1166" priority="265">
      <formula>$L$16&gt;=3</formula>
    </cfRule>
  </conditionalFormatting>
  <conditionalFormatting sqref="O35:R35">
    <cfRule type="expression" dxfId="1165" priority="264">
      <formula>$L$16&gt;=4</formula>
    </cfRule>
  </conditionalFormatting>
  <conditionalFormatting sqref="O36:R36">
    <cfRule type="expression" dxfId="1164" priority="263">
      <formula>$L$16&gt;=5</formula>
    </cfRule>
  </conditionalFormatting>
  <conditionalFormatting sqref="O37:R37">
    <cfRule type="expression" dxfId="1163" priority="22">
      <formula>$L$16&gt;=4</formula>
    </cfRule>
  </conditionalFormatting>
  <conditionalFormatting sqref="O38:R38">
    <cfRule type="expression" dxfId="1162" priority="21">
      <formula>$L$16&gt;=5</formula>
    </cfRule>
  </conditionalFormatting>
  <conditionalFormatting sqref="O39:R39">
    <cfRule type="expression" dxfId="1161" priority="236">
      <formula>#REF!="No"</formula>
    </cfRule>
    <cfRule type="expression" dxfId="1160" priority="262">
      <formula>$L$16&gt;=12</formula>
    </cfRule>
  </conditionalFormatting>
  <conditionalFormatting sqref="P24">
    <cfRule type="expression" dxfId="1159" priority="258">
      <formula>$P$24="No"</formula>
    </cfRule>
  </conditionalFormatting>
  <conditionalFormatting sqref="P25">
    <cfRule type="expression" dxfId="1158" priority="257">
      <formula>$P$25="No"</formula>
    </cfRule>
  </conditionalFormatting>
  <conditionalFormatting sqref="P27">
    <cfRule type="expression" dxfId="1157" priority="256">
      <formula>$P$27="No"</formula>
    </cfRule>
  </conditionalFormatting>
  <conditionalFormatting sqref="P31 P33">
    <cfRule type="expression" dxfId="1156" priority="250">
      <formula>$P$31="No"</formula>
    </cfRule>
  </conditionalFormatting>
  <conditionalFormatting sqref="P34">
    <cfRule type="expression" dxfId="1155" priority="249">
      <formula>$P$34="No"</formula>
    </cfRule>
  </conditionalFormatting>
  <conditionalFormatting sqref="P35">
    <cfRule type="expression" dxfId="1154" priority="248">
      <formula>$P$35="No"</formula>
    </cfRule>
  </conditionalFormatting>
  <conditionalFormatting sqref="P36">
    <cfRule type="expression" dxfId="1153" priority="247">
      <formula>$P$36="No"</formula>
    </cfRule>
  </conditionalFormatting>
  <conditionalFormatting sqref="P37">
    <cfRule type="expression" dxfId="1152" priority="18">
      <formula>$P$35="No"</formula>
    </cfRule>
  </conditionalFormatting>
  <conditionalFormatting sqref="P38">
    <cfRule type="expression" dxfId="1151" priority="17">
      <formula>$P$36="No"</formula>
    </cfRule>
  </conditionalFormatting>
  <conditionalFormatting sqref="P31:R31 P33:R33">
    <cfRule type="expression" dxfId="1150" priority="266">
      <formula>$L$16&gt;=2</formula>
    </cfRule>
  </conditionalFormatting>
  <conditionalFormatting sqref="Q31 Q33">
    <cfRule type="expression" dxfId="1149" priority="245">
      <formula>$Q$31="No"</formula>
    </cfRule>
  </conditionalFormatting>
  <conditionalFormatting sqref="Q34">
    <cfRule type="expression" dxfId="1148" priority="244">
      <formula>$Q$34="No"</formula>
    </cfRule>
  </conditionalFormatting>
  <conditionalFormatting sqref="Q35">
    <cfRule type="expression" dxfId="1147" priority="243">
      <formula>$Q$35="No"</formula>
    </cfRule>
  </conditionalFormatting>
  <conditionalFormatting sqref="Q36">
    <cfRule type="expression" dxfId="1146" priority="242">
      <formula>$Q$36="No"</formula>
    </cfRule>
  </conditionalFormatting>
  <conditionalFormatting sqref="Q37">
    <cfRule type="expression" dxfId="1145" priority="16">
      <formula>$Q$35="No"</formula>
    </cfRule>
  </conditionalFormatting>
  <conditionalFormatting sqref="Q38">
    <cfRule type="expression" dxfId="1144" priority="15">
      <formula>$Q$36="No"</formula>
    </cfRule>
  </conditionalFormatting>
  <conditionalFormatting sqref="R31 R33">
    <cfRule type="expression" dxfId="1143" priority="240">
      <formula>$R$31="No"</formula>
    </cfRule>
  </conditionalFormatting>
  <conditionalFormatting sqref="R34">
    <cfRule type="expression" dxfId="1142" priority="239">
      <formula>$R$34="No"</formula>
    </cfRule>
  </conditionalFormatting>
  <conditionalFormatting sqref="R35">
    <cfRule type="expression" dxfId="1141" priority="238">
      <formula>$R$35="No"</formula>
    </cfRule>
  </conditionalFormatting>
  <conditionalFormatting sqref="R36">
    <cfRule type="expression" dxfId="1140" priority="237">
      <formula>$R$36="No"</formula>
    </cfRule>
  </conditionalFormatting>
  <conditionalFormatting sqref="R37">
    <cfRule type="expression" dxfId="1139" priority="14">
      <formula>$R$35="No"</formula>
    </cfRule>
  </conditionalFormatting>
  <conditionalFormatting sqref="R38">
    <cfRule type="expression" dxfId="1138" priority="13">
      <formula>$R$36="No"</formula>
    </cfRule>
  </conditionalFormatting>
  <dataValidations count="15">
    <dataValidation type="list" allowBlank="1" showInputMessage="1" showErrorMessage="1" sqref="D59" xr:uid="{00000000-0002-0000-0000-000000000000}">
      <formula1>Readers</formula1>
    </dataValidation>
    <dataValidation type="list" allowBlank="1" showInputMessage="1" showErrorMessage="1" sqref="O27 O24:O25 O31 O33:O39" xr:uid="{00000000-0002-0000-0000-000001000000}">
      <formula1>YNNA</formula1>
    </dataValidation>
    <dataValidation type="list" allowBlank="1" showInputMessage="1" showErrorMessage="1" sqref="D34:D38 D48:D52 D40 D18 P31:Q31 D31 D15:D16 D42:D43 D23 D27:D28 P33:Q39" xr:uid="{00000000-0002-0000-0000-000002000000}">
      <formula1>YNApp</formula1>
    </dataValidation>
    <dataValidation type="list" allowBlank="1" showInputMessage="1" showErrorMessage="1" sqref="M31 F8 M33:M39" xr:uid="{00000000-0002-0000-0000-000003000000}">
      <formula1>"AK, AL, AR, AZ, CA, CO, CT, DC, DE, FL, GA, HI, IA, ID, IL, IN, KS, KY, LA, MA, MD, ME, MI, MN, MO, MS, MT, NC, ND, NE, NH, NJ, NM, NV, NY, OH, OK, OR, PA, RI, SC, SD, TN, TX, UT, VA, VT, WA, WI, WV, WY"</formula1>
    </dataValidation>
    <dataValidation type="list" allowBlank="1" showInputMessage="1" showErrorMessage="1" sqref="E44" xr:uid="{00000000-0002-0000-0000-000004000000}">
      <formula1>", N/A, Same as PD, 1, 2, 3, 4, 5, 6, 7, 8, 9, 10"</formula1>
    </dataValidation>
    <dataValidation type="list" allowBlank="1" showInputMessage="1" showErrorMessage="1" sqref="E45:E46" xr:uid="{00000000-0002-0000-0000-000005000000}">
      <formula1>"N/A, 1, 2, 3, 4, 5"</formula1>
    </dataValidation>
    <dataValidation type="list" allowBlank="1" showInputMessage="1" showErrorMessage="1" sqref="R31 P24:P25 P27:P28 R33:R39" xr:uid="{00000000-0002-0000-0000-000006000000}">
      <formula1>Satellites</formula1>
    </dataValidation>
    <dataValidation type="list" allowBlank="1" showInputMessage="1" showErrorMessage="1" sqref="E29" xr:uid="{00000000-0002-0000-0000-000007000000}">
      <formula1>EASType</formula1>
    </dataValidation>
    <dataValidation type="list" allowBlank="1" showInputMessage="1" showErrorMessage="1" sqref="E30" xr:uid="{00000000-0002-0000-0000-000008000000}">
      <formula1>EASStatus</formula1>
    </dataValidation>
    <dataValidation type="list" allowBlank="1" showInputMessage="1" showErrorMessage="1" sqref="E32" xr:uid="{00000000-0002-0000-0000-000009000000}">
      <formula1>EASDegree</formula1>
    </dataValidation>
    <dataValidation type="list" allowBlank="1" showInputMessage="1" showErrorMessage="1" sqref="E26" xr:uid="{00000000-0002-0000-0000-00000A000000}">
      <formula1>EASInst</formula1>
    </dataValidation>
    <dataValidation type="list" allowBlank="1" showInputMessage="1" showErrorMessage="1" sqref="E33" xr:uid="{00000000-0002-0000-0000-00000B000000}">
      <formula1>"Please Select, N/A, 1, 2, 3, 4"</formula1>
    </dataValidation>
    <dataValidation type="list" allowBlank="1" showInputMessage="1" showErrorMessage="1" errorTitle="Invalid Entry" error="_x000a_Please select the sponsor category from the dropdown list" prompt="Please select the sponsor category for the Paramedic educational program" sqref="D25:F25" xr:uid="{00000000-0002-0000-0000-00000C000000}">
      <formula1>"~ Please Select ~, I.A.1-Postsecondary, I.A.2-Foreign, I.A.3-Hospital/Med Cntr, I.A.4-Government, I.A.4-Armed Services, I.B-Consortium-w/(I.A)College, I.B-Consortium-w/(I.A)Hospital, I.B-Consortium-w/(I.A)Govenment"</formula1>
    </dataValidation>
    <dataValidation type="list" allowBlank="1" showInputMessage="1" showErrorMessage="1" sqref="D32:D33 D29:D30 D44:D47 D26 D53:D55" xr:uid="{00000000-0002-0000-0000-00000D000000}">
      <formula1>YNNApp</formula1>
    </dataValidation>
    <dataValidation type="list" allowBlank="1" showInputMessage="1" showErrorMessage="1" sqref="D65:D70" xr:uid="{00000000-0002-0000-0000-00000E000000}">
      <formula1>EASAdmin</formula1>
    </dataValidation>
  </dataValidations>
  <hyperlinks>
    <hyperlink ref="D81:F81" r:id="rId1" display="george@coaemsp.org" xr:uid="{00000000-0004-0000-0000-000000000000}"/>
    <hyperlink ref="D62" r:id="rId2" xr:uid="{00000000-0004-0000-0000-000001000000}"/>
  </hyperlinks>
  <printOptions horizontalCentered="1"/>
  <pageMargins left="0.25" right="0.25" top="0.75" bottom="0.75" header="0.3" footer="0.3"/>
  <pageSetup scale="76" fitToHeight="0" orientation="portrait" r:id="rId3"/>
  <rowBreaks count="1" manualBreakCount="1">
    <brk id="45" max="6" man="1"/>
  </rowBreaks>
  <colBreaks count="1" manualBreakCount="1">
    <brk id="7" max="147" man="1"/>
  </colBreaks>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theme="7"/>
    <pageSetUpPr fitToPage="1"/>
  </sheetPr>
  <dimension ref="A1:DD171"/>
  <sheetViews>
    <sheetView showGridLines="0" tabSelected="1" zoomScaleNormal="100" workbookViewId="0">
      <selection activeCell="C44" sqref="C44"/>
    </sheetView>
  </sheetViews>
  <sheetFormatPr defaultColWidth="9.125" defaultRowHeight="14.25"/>
  <cols>
    <col min="1" max="1" width="4.625" customWidth="1"/>
    <col min="2" max="2" width="5.875" customWidth="1"/>
    <col min="3" max="3" width="18.125" customWidth="1"/>
    <col min="4" max="4" width="12.625" customWidth="1"/>
    <col min="7" max="7" width="9.5" customWidth="1"/>
    <col min="9" max="10" width="9.125" customWidth="1"/>
    <col min="14" max="14" width="14" customWidth="1"/>
    <col min="15" max="17" width="9.125" style="41"/>
    <col min="18" max="18" width="9.125" style="19"/>
    <col min="19" max="19" width="34" style="19" customWidth="1"/>
    <col min="20" max="21" width="9.125" style="19"/>
    <col min="22" max="24" width="9.125" style="19" customWidth="1"/>
    <col min="25" max="25" width="36.125" style="19" customWidth="1"/>
    <col min="26" max="29" width="9.125" style="19" customWidth="1"/>
    <col min="30" max="30" width="36.125" customWidth="1"/>
    <col min="31" max="34" width="9.125" customWidth="1"/>
    <col min="35" max="35" width="36.125" customWidth="1"/>
    <col min="36" max="74" width="9.125" customWidth="1"/>
  </cols>
  <sheetData>
    <row r="1" spans="1:55">
      <c r="A1" s="2"/>
      <c r="AD1" s="19"/>
      <c r="AE1" s="19"/>
      <c r="AF1" s="19"/>
      <c r="AG1" s="19"/>
      <c r="AH1" s="19"/>
      <c r="AI1" s="19"/>
      <c r="AJ1" s="19"/>
      <c r="AK1" s="19"/>
      <c r="AL1" s="19"/>
      <c r="AM1" s="19"/>
      <c r="AN1" s="19"/>
      <c r="AO1" s="65"/>
      <c r="AP1" s="65"/>
      <c r="AQ1" s="65"/>
      <c r="AR1" s="65"/>
      <c r="AS1" s="65"/>
      <c r="AT1" s="65"/>
      <c r="AU1" s="65"/>
      <c r="AV1" s="65"/>
      <c r="AW1" s="65"/>
      <c r="AX1" s="65"/>
      <c r="AY1" s="65"/>
      <c r="AZ1" s="65"/>
      <c r="BA1" s="65"/>
      <c r="BB1" s="65"/>
      <c r="BC1" s="65"/>
    </row>
    <row r="2" spans="1:55" ht="69.75" customHeight="1">
      <c r="D2" s="395" t="s">
        <v>1</v>
      </c>
      <c r="E2" s="395"/>
      <c r="F2" s="395"/>
      <c r="G2" s="395"/>
      <c r="H2" s="395"/>
      <c r="I2" s="395"/>
      <c r="J2" s="395"/>
      <c r="K2" s="395"/>
      <c r="L2" s="395"/>
      <c r="AD2" s="19"/>
      <c r="AE2" s="19">
        <f>COUNTIF(AF3:AF133, "?*")</f>
        <v>128</v>
      </c>
      <c r="AF2" s="19"/>
      <c r="AG2" s="19"/>
      <c r="AH2" s="19"/>
      <c r="AI2" s="19"/>
      <c r="AJ2" s="19">
        <f>COUNTIF(AK3:AK133, "?*")</f>
        <v>128</v>
      </c>
      <c r="AK2" s="19"/>
      <c r="AL2" s="19"/>
      <c r="AM2" s="19"/>
      <c r="AN2" s="24"/>
      <c r="AO2" s="65"/>
      <c r="AP2" s="65"/>
      <c r="AQ2" s="65"/>
      <c r="AR2" s="65"/>
      <c r="AS2" s="65"/>
      <c r="AT2" s="65"/>
      <c r="AU2" s="65"/>
      <c r="AV2" s="65"/>
      <c r="AW2" s="65"/>
      <c r="AX2" s="65"/>
      <c r="AY2" s="65"/>
      <c r="AZ2" s="65"/>
      <c r="BA2" s="65"/>
      <c r="BB2" s="65"/>
      <c r="BC2" s="65"/>
    </row>
    <row r="3" spans="1:55" ht="43.5" customHeight="1">
      <c r="C3" s="400" t="s">
        <v>520</v>
      </c>
      <c r="D3" s="400"/>
      <c r="E3" s="400"/>
      <c r="F3" s="400"/>
      <c r="G3" s="400"/>
      <c r="H3" s="400"/>
      <c r="I3" s="400"/>
      <c r="J3" s="400"/>
      <c r="K3" s="400"/>
      <c r="L3" s="400"/>
      <c r="M3" s="400"/>
      <c r="N3" s="400"/>
      <c r="AD3" s="19" t="s">
        <v>485</v>
      </c>
      <c r="AE3" s="19" t="str">
        <f ca="1">OFFSET($AF$3,,,COUNTIF($AF$3:$AF$133,"?*"))</f>
        <v>Alex Stadthagen, MS, NRP, LP</v>
      </c>
      <c r="AF3" s="19" t="s">
        <v>485</v>
      </c>
      <c r="AG3" s="19"/>
      <c r="AH3" s="19">
        <f>IF(ISNUMBER(SEARCH($H$27,AI3)), MAX($AH$2:AH2)+1,0)</f>
        <v>1</v>
      </c>
      <c r="AI3" s="19" t="s">
        <v>485</v>
      </c>
      <c r="AJ3" s="19" t="str">
        <f ca="1">OFFSET($AK$3,,,COUNTIF($AK$3:$AK$133,"?*"))</f>
        <v>Alex Stadthagen, MS, NRP, LP</v>
      </c>
      <c r="AK3" s="19" t="s">
        <v>485</v>
      </c>
      <c r="AL3" s="19"/>
      <c r="AM3" s="19"/>
      <c r="AN3" s="24"/>
      <c r="AO3" s="65"/>
      <c r="AP3" s="65"/>
      <c r="AQ3" s="65"/>
      <c r="AR3" s="65"/>
      <c r="AS3" s="65"/>
      <c r="AT3" s="65"/>
      <c r="AU3" s="65"/>
      <c r="AV3" s="65"/>
      <c r="AW3" s="65"/>
      <c r="AX3" s="65"/>
      <c r="AY3" s="65"/>
      <c r="AZ3" s="65"/>
      <c r="BA3" s="65"/>
      <c r="BB3" s="65"/>
      <c r="BC3" s="65"/>
    </row>
    <row r="4" spans="1:55" ht="45">
      <c r="B4" s="396" t="str">
        <f>IF(H10="Seeking the CoAEMSP Letter of Review (LoR)","Preliminary Site Visit Report","Site Visit Report")</f>
        <v>Site Visit Report</v>
      </c>
      <c r="C4" s="396"/>
      <c r="D4" s="396"/>
      <c r="E4" s="396"/>
      <c r="F4" s="396"/>
      <c r="G4" s="396"/>
      <c r="H4" s="396"/>
      <c r="I4" s="396"/>
      <c r="J4" s="396"/>
      <c r="K4" s="396"/>
      <c r="L4" s="396"/>
      <c r="M4" s="396"/>
      <c r="N4" s="396"/>
      <c r="AD4" s="19" t="s">
        <v>21</v>
      </c>
      <c r="AE4" s="19"/>
      <c r="AF4" s="19" t="s">
        <v>21</v>
      </c>
      <c r="AG4" s="19"/>
      <c r="AH4" s="19">
        <f>IF(ISNUMBER(SEARCH($H$27,AI4)), MAX($AH$2:AH3)+1,0)</f>
        <v>2</v>
      </c>
      <c r="AI4" s="19" t="s">
        <v>21</v>
      </c>
      <c r="AJ4" s="19"/>
      <c r="AK4" s="19" t="s">
        <v>21</v>
      </c>
      <c r="AL4" s="19"/>
      <c r="AM4" s="19"/>
      <c r="AN4" s="24"/>
      <c r="AO4" s="65"/>
      <c r="AP4" s="65"/>
      <c r="AQ4" s="65"/>
      <c r="AR4" s="65"/>
      <c r="AS4" s="65"/>
      <c r="AT4" s="65"/>
      <c r="AU4" s="65"/>
      <c r="AV4" s="65"/>
      <c r="AW4" s="65"/>
      <c r="AX4" s="65"/>
      <c r="AY4" s="65"/>
      <c r="AZ4" s="65"/>
      <c r="BA4" s="65"/>
      <c r="BB4" s="65"/>
      <c r="BC4" s="65"/>
    </row>
    <row r="5" spans="1:55" ht="9" hidden="1" customHeight="1">
      <c r="AD5" s="19" t="s">
        <v>138</v>
      </c>
      <c r="AE5" s="19"/>
      <c r="AF5" s="19" t="s">
        <v>138</v>
      </c>
      <c r="AG5" s="19"/>
      <c r="AH5" s="19">
        <f>IF(ISNUMBER(SEARCH($H$27,AI5)), MAX($AH$2:AH4)+1,0)</f>
        <v>3</v>
      </c>
      <c r="AI5" s="19" t="s">
        <v>138</v>
      </c>
      <c r="AJ5" s="19"/>
      <c r="AK5" s="19" t="s">
        <v>138</v>
      </c>
      <c r="AL5" s="19"/>
      <c r="AM5" s="19"/>
      <c r="AN5" s="24"/>
      <c r="AO5" s="65"/>
      <c r="AP5" s="65"/>
      <c r="AQ5" s="65"/>
      <c r="AR5" s="65"/>
      <c r="AS5" s="65"/>
      <c r="AT5" s="65"/>
      <c r="AU5" s="65"/>
      <c r="AV5" s="65"/>
      <c r="AW5" s="65"/>
      <c r="AX5" s="65"/>
      <c r="AY5" s="65"/>
      <c r="AZ5" s="65"/>
      <c r="BA5" s="65"/>
      <c r="BB5" s="65"/>
      <c r="BC5" s="65"/>
    </row>
    <row r="6" spans="1:55" ht="30">
      <c r="B6" s="397" t="s">
        <v>597</v>
      </c>
      <c r="C6" s="397"/>
      <c r="D6" s="397"/>
      <c r="E6" s="397"/>
      <c r="F6" s="397"/>
      <c r="G6" s="397"/>
      <c r="H6" s="397"/>
      <c r="I6" s="397"/>
      <c r="J6" s="397"/>
      <c r="K6" s="397"/>
      <c r="L6" s="397"/>
      <c r="M6" s="397"/>
      <c r="N6" s="397"/>
      <c r="AD6" s="19" t="s">
        <v>22</v>
      </c>
      <c r="AE6" s="19"/>
      <c r="AF6" s="19" t="s">
        <v>22</v>
      </c>
      <c r="AG6" s="19"/>
      <c r="AH6" s="19">
        <f>IF(ISNUMBER(SEARCH($H$27,AI6)), MAX($AH$2:AH5)+1,0)</f>
        <v>4</v>
      </c>
      <c r="AI6" s="19" t="s">
        <v>22</v>
      </c>
      <c r="AJ6" s="19"/>
      <c r="AK6" s="19" t="s">
        <v>22</v>
      </c>
      <c r="AL6" s="19"/>
      <c r="AM6" s="19"/>
      <c r="AN6" s="24"/>
      <c r="AO6" s="65"/>
      <c r="AP6" s="65"/>
      <c r="AQ6" s="65"/>
      <c r="AR6" s="65"/>
      <c r="AS6" s="65"/>
      <c r="AT6" s="65"/>
      <c r="AU6" s="65"/>
      <c r="AV6" s="65"/>
      <c r="AW6" s="65"/>
      <c r="AX6" s="65"/>
      <c r="AY6" s="65"/>
      <c r="AZ6" s="65"/>
      <c r="BA6" s="65"/>
      <c r="BB6" s="65"/>
      <c r="BC6" s="65"/>
    </row>
    <row r="7" spans="1:55" ht="11.25" customHeight="1">
      <c r="AD7" s="19" t="s">
        <v>139</v>
      </c>
      <c r="AE7" s="19"/>
      <c r="AF7" s="19" t="s">
        <v>139</v>
      </c>
      <c r="AG7" s="19"/>
      <c r="AH7" s="19">
        <f>IF(ISNUMBER(SEARCH($H$27,AI7)), MAX($AH$2:AH6)+1,0)</f>
        <v>5</v>
      </c>
      <c r="AI7" s="19" t="s">
        <v>139</v>
      </c>
      <c r="AJ7" s="19"/>
      <c r="AK7" s="19" t="s">
        <v>139</v>
      </c>
      <c r="AL7" s="19"/>
      <c r="AM7" s="19"/>
      <c r="AN7" s="24"/>
      <c r="AO7" s="65"/>
      <c r="AP7" s="65"/>
      <c r="AQ7" s="65"/>
      <c r="AR7" s="65"/>
      <c r="AS7" s="65"/>
      <c r="AT7" s="65"/>
      <c r="AU7" s="65"/>
      <c r="AV7" s="65"/>
      <c r="AW7" s="65"/>
      <c r="AX7" s="65"/>
      <c r="AY7" s="65"/>
      <c r="AZ7" s="65"/>
      <c r="BA7" s="65"/>
      <c r="BB7" s="65"/>
      <c r="BC7" s="65"/>
    </row>
    <row r="8" spans="1:55" s="146" customFormat="1" ht="27" customHeight="1">
      <c r="B8" s="274"/>
      <c r="C8" s="264" t="s">
        <v>618</v>
      </c>
      <c r="D8" s="401" t="s">
        <v>295</v>
      </c>
      <c r="E8" s="402"/>
      <c r="F8" s="403"/>
    </row>
    <row r="9" spans="1:55" s="146" customFormat="1"/>
    <row r="10" spans="1:55" ht="25.5">
      <c r="B10" s="257"/>
      <c r="C10" s="264" t="s">
        <v>182</v>
      </c>
      <c r="D10" s="258"/>
      <c r="E10" s="213"/>
      <c r="F10" s="374" t="s">
        <v>590</v>
      </c>
      <c r="G10" s="375"/>
      <c r="H10" s="391"/>
      <c r="I10" s="392"/>
      <c r="J10" s="392"/>
      <c r="K10" s="392"/>
      <c r="L10" s="392"/>
      <c r="M10" s="393"/>
      <c r="N10" s="213"/>
      <c r="AD10" s="19" t="s">
        <v>140</v>
      </c>
      <c r="AE10" s="19"/>
      <c r="AF10" s="19" t="s">
        <v>140</v>
      </c>
      <c r="AG10" s="19"/>
      <c r="AH10" s="19">
        <f>IF(ISNUMBER(SEARCH($H$27,AI10)), MAX($AH$2:AH7)+1,0)</f>
        <v>6</v>
      </c>
      <c r="AI10" s="19" t="s">
        <v>140</v>
      </c>
      <c r="AJ10" s="19"/>
      <c r="AK10" s="19" t="s">
        <v>140</v>
      </c>
      <c r="AL10" s="19"/>
      <c r="AM10" s="19"/>
      <c r="AN10" s="24"/>
      <c r="AO10" s="65"/>
      <c r="AP10" s="65"/>
      <c r="AQ10" s="65"/>
      <c r="AR10" s="65"/>
      <c r="AS10" s="65"/>
      <c r="AT10" s="65"/>
      <c r="AU10" s="65"/>
      <c r="AV10" s="65"/>
      <c r="AW10" s="65"/>
      <c r="AX10" s="65"/>
      <c r="AY10" s="65"/>
      <c r="AZ10" s="65"/>
      <c r="BA10" s="65"/>
      <c r="BB10" s="65"/>
      <c r="BC10" s="65"/>
    </row>
    <row r="11" spans="1:55" ht="9" customHeight="1">
      <c r="B11" s="213"/>
      <c r="C11" s="259"/>
      <c r="D11" s="260"/>
      <c r="E11" s="213"/>
      <c r="F11" s="213"/>
      <c r="G11" s="213"/>
      <c r="H11" s="213"/>
      <c r="I11" s="213"/>
      <c r="J11" s="213"/>
      <c r="K11" s="213"/>
      <c r="L11" s="213"/>
      <c r="M11" s="213"/>
      <c r="N11" s="213"/>
      <c r="AD11" s="19" t="s">
        <v>141</v>
      </c>
      <c r="AE11" s="19"/>
      <c r="AF11" s="19" t="s">
        <v>141</v>
      </c>
      <c r="AG11" s="19"/>
      <c r="AH11" s="19">
        <f>IF(ISNUMBER(SEARCH($H$27,AI11)), MAX($AH$2:AH10)+1,0)</f>
        <v>7</v>
      </c>
      <c r="AI11" s="19" t="s">
        <v>141</v>
      </c>
      <c r="AJ11" s="19"/>
      <c r="AK11" s="19" t="s">
        <v>141</v>
      </c>
      <c r="AL11" s="19"/>
      <c r="AM11" s="19"/>
      <c r="AN11" s="24"/>
      <c r="AO11" s="65"/>
      <c r="AP11" s="65"/>
      <c r="AQ11" s="65"/>
      <c r="AR11" s="65"/>
      <c r="AS11" s="65"/>
      <c r="AT11" s="65"/>
      <c r="AU11" s="65"/>
      <c r="AV11" s="65"/>
      <c r="AW11" s="65"/>
      <c r="AX11" s="65"/>
      <c r="AY11" s="65"/>
      <c r="AZ11" s="65"/>
      <c r="BA11" s="65"/>
      <c r="BB11" s="65"/>
      <c r="BC11" s="65"/>
    </row>
    <row r="12" spans="1:55" ht="21.75" customHeight="1">
      <c r="B12" s="257"/>
      <c r="C12" s="264" t="s">
        <v>707</v>
      </c>
      <c r="D12" s="383"/>
      <c r="E12" s="384"/>
      <c r="F12" s="384"/>
      <c r="G12" s="384"/>
      <c r="H12" s="384"/>
      <c r="I12" s="384"/>
      <c r="J12" s="384"/>
      <c r="K12" s="384"/>
      <c r="L12" s="384"/>
      <c r="M12" s="385"/>
      <c r="N12" s="213"/>
      <c r="AD12" s="19" t="s">
        <v>348</v>
      </c>
      <c r="AE12" s="19"/>
      <c r="AF12" s="19" t="s">
        <v>348</v>
      </c>
      <c r="AG12" s="19"/>
      <c r="AH12" s="19">
        <f>IF(ISNUMBER(SEARCH($H$27,AI12)), MAX($AH$2:AH11)+1,0)</f>
        <v>8</v>
      </c>
      <c r="AI12" s="19" t="s">
        <v>348</v>
      </c>
      <c r="AJ12" s="19"/>
      <c r="AK12" s="19" t="s">
        <v>348</v>
      </c>
      <c r="AL12" s="19"/>
      <c r="AM12" s="19"/>
      <c r="AN12" s="24"/>
      <c r="AO12" s="65"/>
      <c r="AP12" s="65"/>
      <c r="AQ12" s="65"/>
      <c r="AR12" s="65"/>
      <c r="AS12" s="65"/>
      <c r="AT12" s="65"/>
      <c r="AU12" s="65"/>
      <c r="AV12" s="65"/>
      <c r="AW12" s="65"/>
      <c r="AX12" s="65"/>
      <c r="AY12" s="65"/>
      <c r="AZ12" s="65"/>
      <c r="BA12" s="65"/>
      <c r="BB12" s="65"/>
      <c r="BC12" s="65"/>
    </row>
    <row r="13" spans="1:55">
      <c r="B13" s="213"/>
      <c r="C13" s="213"/>
      <c r="D13" s="261"/>
      <c r="E13" s="213"/>
      <c r="F13" s="213"/>
      <c r="G13" s="213"/>
      <c r="H13" s="213"/>
      <c r="I13" s="213"/>
      <c r="J13" s="213"/>
      <c r="K13" s="213"/>
      <c r="L13" s="213"/>
      <c r="M13" s="213"/>
      <c r="N13" s="213"/>
      <c r="AD13" s="19" t="s">
        <v>349</v>
      </c>
      <c r="AE13" s="19"/>
      <c r="AF13" s="19" t="s">
        <v>349</v>
      </c>
      <c r="AG13" s="19"/>
      <c r="AH13" s="19">
        <f>IF(ISNUMBER(SEARCH($H$27,AI13)), MAX($AH$2:AH12)+1,0)</f>
        <v>9</v>
      </c>
      <c r="AI13" s="19" t="s">
        <v>349</v>
      </c>
      <c r="AJ13" s="19"/>
      <c r="AK13" s="19" t="s">
        <v>349</v>
      </c>
      <c r="AL13" s="19"/>
      <c r="AM13" s="19"/>
      <c r="AN13" s="24"/>
      <c r="AO13" s="65"/>
      <c r="AP13" s="65"/>
      <c r="AQ13" s="65"/>
      <c r="AR13" s="65"/>
      <c r="AS13" s="65"/>
      <c r="AT13" s="65"/>
      <c r="AU13" s="65"/>
      <c r="AV13" s="65"/>
      <c r="AW13" s="65"/>
      <c r="AX13" s="65"/>
      <c r="AY13" s="65"/>
      <c r="AZ13" s="65"/>
      <c r="BA13" s="65"/>
      <c r="BB13" s="65"/>
      <c r="BC13" s="65"/>
    </row>
    <row r="14" spans="1:55" ht="18">
      <c r="B14" s="213"/>
      <c r="C14" s="264" t="s">
        <v>137</v>
      </c>
      <c r="D14" s="383"/>
      <c r="E14" s="385"/>
      <c r="F14" s="398" t="s">
        <v>2</v>
      </c>
      <c r="G14" s="399"/>
      <c r="H14" s="262"/>
      <c r="I14" s="213"/>
      <c r="J14" s="213"/>
      <c r="K14" s="213"/>
      <c r="L14" s="213"/>
      <c r="M14" s="213"/>
      <c r="N14" s="213"/>
      <c r="AD14" s="19" t="s">
        <v>486</v>
      </c>
      <c r="AE14" s="19"/>
      <c r="AF14" s="19" t="s">
        <v>486</v>
      </c>
      <c r="AG14" s="19"/>
      <c r="AH14" s="19">
        <f>IF(ISNUMBER(SEARCH($H$27,AI14)), MAX($AH$2:AH13)+1,0)</f>
        <v>10</v>
      </c>
      <c r="AI14" s="19" t="s">
        <v>486</v>
      </c>
      <c r="AJ14" s="19"/>
      <c r="AK14" s="19" t="s">
        <v>486</v>
      </c>
      <c r="AL14" s="19"/>
      <c r="AM14" s="19"/>
      <c r="AN14" s="24"/>
      <c r="AO14" s="65"/>
      <c r="AP14" s="65"/>
      <c r="AQ14" s="65"/>
      <c r="AR14" s="65"/>
      <c r="AS14" s="65"/>
      <c r="AT14" s="65"/>
      <c r="AU14" s="65"/>
      <c r="AV14" s="65"/>
      <c r="AW14" s="65"/>
      <c r="AX14" s="65"/>
      <c r="AY14" s="65"/>
      <c r="AZ14" s="65"/>
      <c r="BA14" s="65"/>
      <c r="BB14" s="65"/>
      <c r="BC14" s="65"/>
    </row>
    <row r="15" spans="1:55" ht="6.75" customHeight="1">
      <c r="B15" s="213"/>
      <c r="C15" s="213"/>
      <c r="D15" s="213"/>
      <c r="E15" s="213"/>
      <c r="F15" s="213"/>
      <c r="G15" s="213"/>
      <c r="H15" s="213"/>
      <c r="I15" s="213"/>
      <c r="J15" s="213"/>
      <c r="K15" s="213"/>
      <c r="L15" s="213"/>
      <c r="M15" s="213"/>
      <c r="N15" s="213"/>
      <c r="AD15" s="19" t="s">
        <v>267</v>
      </c>
      <c r="AE15" s="19"/>
      <c r="AF15" s="19" t="s">
        <v>267</v>
      </c>
      <c r="AG15" s="19"/>
      <c r="AH15" s="19">
        <f>IF(ISNUMBER(SEARCH($H$27,AI15)), MAX($AH$2:AH14)+1,0)</f>
        <v>11</v>
      </c>
      <c r="AI15" s="19" t="s">
        <v>267</v>
      </c>
      <c r="AJ15" s="19"/>
      <c r="AK15" s="19" t="s">
        <v>267</v>
      </c>
      <c r="AL15" s="19"/>
      <c r="AM15" s="19"/>
      <c r="AN15" s="24"/>
      <c r="AO15" s="65"/>
      <c r="AP15" s="65"/>
      <c r="AQ15" s="65"/>
      <c r="AR15" s="65"/>
      <c r="AS15" s="65"/>
      <c r="AT15" s="65"/>
      <c r="AU15" s="65"/>
      <c r="AV15" s="65"/>
      <c r="AW15" s="65"/>
      <c r="AX15" s="65"/>
      <c r="AY15" s="65"/>
      <c r="AZ15" s="65"/>
      <c r="BA15" s="65"/>
      <c r="BB15" s="65"/>
      <c r="BC15" s="65"/>
    </row>
    <row r="16" spans="1:55" ht="9.75" customHeight="1">
      <c r="B16" s="213"/>
      <c r="C16" s="213"/>
      <c r="D16" s="213"/>
      <c r="E16" s="213"/>
      <c r="F16" s="213"/>
      <c r="G16" s="213"/>
      <c r="H16" s="213"/>
      <c r="I16" s="213"/>
      <c r="J16" s="213"/>
      <c r="K16" s="213"/>
      <c r="L16" s="213"/>
      <c r="M16" s="213"/>
      <c r="N16" s="213"/>
      <c r="AD16" s="19" t="s">
        <v>23</v>
      </c>
      <c r="AE16" s="19"/>
      <c r="AF16" s="19" t="s">
        <v>23</v>
      </c>
      <c r="AG16" s="19"/>
      <c r="AH16" s="19">
        <f>IF(ISNUMBER(SEARCH($H$27,AI16)), MAX($AH$2:AH15)+1,0)</f>
        <v>12</v>
      </c>
      <c r="AI16" s="19" t="s">
        <v>23</v>
      </c>
      <c r="AJ16" s="19"/>
      <c r="AK16" s="19" t="s">
        <v>23</v>
      </c>
      <c r="AL16" s="19"/>
      <c r="AM16" s="19"/>
      <c r="AN16" s="24"/>
      <c r="AO16" s="65"/>
      <c r="AP16" s="65"/>
      <c r="AQ16" s="65"/>
      <c r="AR16" s="65"/>
      <c r="AS16" s="65"/>
      <c r="AT16" s="65"/>
      <c r="AU16" s="65"/>
      <c r="AV16" s="65"/>
      <c r="AW16" s="65"/>
      <c r="AX16" s="65"/>
      <c r="AY16" s="65"/>
      <c r="AZ16" s="65"/>
      <c r="BA16" s="65"/>
      <c r="BB16" s="65"/>
      <c r="BC16" s="65"/>
    </row>
    <row r="17" spans="2:108" ht="18">
      <c r="B17" s="213"/>
      <c r="C17" s="213"/>
      <c r="D17" s="213"/>
      <c r="E17" s="213"/>
      <c r="F17" s="374" t="s">
        <v>595</v>
      </c>
      <c r="G17" s="375"/>
      <c r="H17" s="376"/>
      <c r="I17" s="377"/>
      <c r="J17" s="378"/>
      <c r="K17" s="263"/>
      <c r="L17" s="213"/>
      <c r="M17" s="213"/>
      <c r="N17" s="213"/>
      <c r="AD17" s="19" t="s">
        <v>142</v>
      </c>
      <c r="AE17" s="19"/>
      <c r="AF17" s="19" t="s">
        <v>142</v>
      </c>
      <c r="AG17" s="19"/>
      <c r="AH17" s="19">
        <f>IF(ISNUMBER(SEARCH($H$27,AI17)), MAX($AH$2:AH16)+1,0)</f>
        <v>13</v>
      </c>
      <c r="AI17" s="19" t="s">
        <v>142</v>
      </c>
      <c r="AJ17" s="19"/>
      <c r="AK17" s="19" t="s">
        <v>142</v>
      </c>
      <c r="AL17" s="19"/>
      <c r="AM17" s="19"/>
      <c r="AN17" s="24"/>
      <c r="AO17" s="65"/>
      <c r="AP17" s="65"/>
      <c r="AQ17" s="65"/>
      <c r="AR17" s="65"/>
      <c r="AS17" s="65"/>
      <c r="AT17" s="65"/>
      <c r="AU17" s="65"/>
      <c r="AV17" s="65"/>
      <c r="AW17" s="65"/>
      <c r="AX17" s="65"/>
      <c r="AY17" s="65"/>
      <c r="AZ17" s="65"/>
      <c r="BA17" s="65"/>
      <c r="BB17" s="65"/>
      <c r="BC17" s="65"/>
    </row>
    <row r="18" spans="2:108">
      <c r="B18" s="213"/>
      <c r="C18" s="213"/>
      <c r="D18" s="213"/>
      <c r="E18" s="213"/>
      <c r="F18" s="213"/>
      <c r="G18" s="213"/>
      <c r="H18" s="213"/>
      <c r="I18" s="213"/>
      <c r="J18" s="213"/>
      <c r="K18" s="213"/>
      <c r="L18" s="213"/>
      <c r="M18" s="213"/>
      <c r="N18" s="213"/>
      <c r="AD18" s="19" t="s">
        <v>143</v>
      </c>
      <c r="AE18" s="19"/>
      <c r="AF18" s="19" t="s">
        <v>143</v>
      </c>
      <c r="AG18" s="19"/>
      <c r="AH18" s="19">
        <f>IF(ISNUMBER(SEARCH($H$27,AI18)), MAX($AH$2:AH17)+1,0)</f>
        <v>14</v>
      </c>
      <c r="AI18" s="19" t="s">
        <v>143</v>
      </c>
      <c r="AJ18" s="19"/>
      <c r="AK18" s="19" t="s">
        <v>143</v>
      </c>
      <c r="AL18" s="19"/>
      <c r="AM18" s="19"/>
      <c r="AN18" s="24"/>
      <c r="AO18" s="65"/>
      <c r="AP18" s="65"/>
      <c r="AQ18" s="65"/>
      <c r="AR18" s="65"/>
      <c r="AS18" s="65"/>
      <c r="AT18" s="65"/>
      <c r="AU18" s="65"/>
      <c r="AV18" s="65"/>
      <c r="AW18" s="65"/>
      <c r="AX18" s="65"/>
      <c r="AY18" s="65"/>
      <c r="AZ18" s="65"/>
      <c r="BA18" s="65"/>
      <c r="BB18" s="65"/>
      <c r="BC18" s="65"/>
    </row>
    <row r="19" spans="2:108" ht="18">
      <c r="B19" s="260"/>
      <c r="C19" s="260"/>
      <c r="D19" s="374" t="s">
        <v>591</v>
      </c>
      <c r="E19" s="374"/>
      <c r="F19" s="374"/>
      <c r="G19" s="375"/>
      <c r="H19" s="391" t="s">
        <v>295</v>
      </c>
      <c r="I19" s="392"/>
      <c r="J19" s="393"/>
      <c r="K19" s="213"/>
      <c r="L19" s="213"/>
      <c r="M19" s="213"/>
      <c r="N19" s="213"/>
      <c r="AD19" s="19" t="s">
        <v>275</v>
      </c>
      <c r="AE19" s="19"/>
      <c r="AF19" s="19" t="s">
        <v>275</v>
      </c>
      <c r="AG19" s="19"/>
      <c r="AH19" s="19">
        <f>IF(ISNUMBER(SEARCH($H$27,AI19)), MAX($AH$2:AH18)+1,0)</f>
        <v>15</v>
      </c>
      <c r="AI19" s="19" t="s">
        <v>275</v>
      </c>
      <c r="AJ19" s="19"/>
      <c r="AK19" s="19" t="s">
        <v>275</v>
      </c>
      <c r="AL19" s="19"/>
      <c r="AM19" s="19"/>
      <c r="AN19" s="24"/>
      <c r="AO19" s="65"/>
      <c r="AP19" s="65"/>
      <c r="AQ19" s="65"/>
      <c r="AR19" s="65"/>
      <c r="AS19" s="65"/>
      <c r="AT19" s="65"/>
      <c r="AU19" s="65"/>
      <c r="AV19" s="65"/>
      <c r="AW19" s="65"/>
      <c r="AX19" s="65"/>
      <c r="AY19" s="65"/>
      <c r="AZ19" s="65"/>
      <c r="BA19" s="65"/>
      <c r="BB19" s="65"/>
      <c r="BC19" s="65"/>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row>
    <row r="20" spans="2:108" ht="23.25" customHeight="1">
      <c r="B20" s="213"/>
      <c r="C20" s="213" t="s">
        <v>3</v>
      </c>
      <c r="D20" s="213"/>
      <c r="E20" s="213"/>
      <c r="F20" s="213"/>
      <c r="G20" s="213"/>
      <c r="H20" s="213"/>
      <c r="I20" s="213"/>
      <c r="J20" s="213"/>
      <c r="K20" s="213"/>
      <c r="L20" s="213"/>
      <c r="M20" s="213"/>
      <c r="N20" s="213"/>
      <c r="AD20" s="19" t="s">
        <v>350</v>
      </c>
      <c r="AE20" s="19"/>
      <c r="AF20" s="19" t="s">
        <v>350</v>
      </c>
      <c r="AG20" s="19"/>
      <c r="AH20" s="19">
        <f>IF(ISNUMBER(SEARCH($H$27,AI20)), MAX($AH$2:AH19)+1,0)</f>
        <v>16</v>
      </c>
      <c r="AI20" s="19" t="s">
        <v>350</v>
      </c>
      <c r="AJ20" s="19"/>
      <c r="AK20" s="19" t="s">
        <v>350</v>
      </c>
      <c r="AL20" s="19"/>
      <c r="AM20" s="19"/>
      <c r="AN20" s="24"/>
      <c r="AO20" s="65"/>
      <c r="AP20" s="65"/>
      <c r="AQ20" s="65"/>
      <c r="AR20" s="65"/>
      <c r="AS20" s="65"/>
      <c r="AT20" s="65"/>
      <c r="AU20" s="65"/>
      <c r="AV20" s="65"/>
      <c r="AW20" s="65"/>
      <c r="AX20" s="65"/>
      <c r="AY20" s="65"/>
      <c r="AZ20" s="65"/>
      <c r="BA20" s="65"/>
      <c r="BB20" s="65"/>
      <c r="BC20" s="65"/>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row>
    <row r="21" spans="2:108" ht="18">
      <c r="B21" s="213"/>
      <c r="C21" s="266"/>
      <c r="D21" s="213"/>
      <c r="E21" s="374" t="s">
        <v>773</v>
      </c>
      <c r="F21" s="374"/>
      <c r="G21" s="375"/>
      <c r="H21" s="383"/>
      <c r="I21" s="384"/>
      <c r="J21" s="384"/>
      <c r="K21" s="384"/>
      <c r="L21" s="384"/>
      <c r="M21" s="385"/>
      <c r="N21" s="213"/>
      <c r="AD21" s="19" t="s">
        <v>144</v>
      </c>
      <c r="AE21" s="19"/>
      <c r="AF21" s="19" t="s">
        <v>144</v>
      </c>
      <c r="AG21" s="19"/>
      <c r="AH21" s="19">
        <f>IF(ISNUMBER(SEARCH($H$27,AI21)), MAX($AH$2:AH20)+1,0)</f>
        <v>17</v>
      </c>
      <c r="AI21" s="19" t="s">
        <v>144</v>
      </c>
      <c r="AJ21" s="19"/>
      <c r="AK21" s="19" t="s">
        <v>144</v>
      </c>
      <c r="AL21" s="19"/>
      <c r="AM21" s="19"/>
      <c r="AN21" s="24"/>
      <c r="AO21" s="65"/>
      <c r="AP21" s="65"/>
      <c r="AQ21" s="65"/>
      <c r="AR21" s="65"/>
      <c r="AS21" s="65"/>
      <c r="AT21" s="65"/>
      <c r="AU21" s="65"/>
      <c r="AV21" s="65"/>
      <c r="AW21" s="65"/>
      <c r="AX21" s="65"/>
      <c r="AY21" s="65"/>
      <c r="AZ21" s="65"/>
      <c r="BA21" s="65"/>
      <c r="BB21" s="65"/>
      <c r="BC21" s="65"/>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row>
    <row r="22" spans="2:108">
      <c r="B22" s="260"/>
      <c r="C22" s="260"/>
      <c r="D22" s="260"/>
      <c r="E22" s="213"/>
      <c r="F22" s="265"/>
      <c r="G22" s="265"/>
      <c r="H22" s="213"/>
      <c r="I22" s="213"/>
      <c r="J22" s="213"/>
      <c r="K22" s="213"/>
      <c r="L22" s="213"/>
      <c r="M22" s="213"/>
      <c r="N22" s="213"/>
      <c r="AD22" s="19" t="s">
        <v>145</v>
      </c>
      <c r="AE22" s="19"/>
      <c r="AF22" s="19" t="s">
        <v>145</v>
      </c>
      <c r="AG22" s="19"/>
      <c r="AH22" s="19">
        <f>IF(ISNUMBER(SEARCH($H$27,AI22)), MAX($AH$2:AH21)+1,0)</f>
        <v>18</v>
      </c>
      <c r="AI22" s="19" t="s">
        <v>145</v>
      </c>
      <c r="AJ22" s="19"/>
      <c r="AK22" s="19" t="s">
        <v>145</v>
      </c>
      <c r="AL22" s="19"/>
      <c r="AM22" s="19"/>
      <c r="AN22" s="24"/>
      <c r="AO22" s="65"/>
      <c r="AP22" s="65"/>
      <c r="AQ22" s="65"/>
      <c r="AR22" s="65"/>
      <c r="AS22" s="65"/>
      <c r="AT22" s="65"/>
      <c r="AU22" s="65"/>
      <c r="AV22" s="65"/>
      <c r="AW22" s="65"/>
      <c r="AX22" s="65"/>
      <c r="AY22" s="65"/>
      <c r="AZ22" s="65"/>
      <c r="BA22" s="65"/>
      <c r="BB22" s="65"/>
      <c r="BC22" s="65"/>
    </row>
    <row r="23" spans="2:108" ht="18">
      <c r="B23" s="260"/>
      <c r="C23" s="260"/>
      <c r="D23" s="260"/>
      <c r="E23" s="374" t="s">
        <v>708</v>
      </c>
      <c r="F23" s="374"/>
      <c r="G23" s="375"/>
      <c r="H23" s="383"/>
      <c r="I23" s="384"/>
      <c r="J23" s="384"/>
      <c r="K23" s="384"/>
      <c r="L23" s="384"/>
      <c r="M23" s="385"/>
      <c r="N23" s="213" t="str">
        <f>IF(B4="Preliminary Site Visit Report","(if applicable)","")</f>
        <v/>
      </c>
      <c r="AD23" s="19" t="s">
        <v>351</v>
      </c>
      <c r="AE23" s="19"/>
      <c r="AF23" s="19" t="s">
        <v>351</v>
      </c>
      <c r="AG23" s="19"/>
      <c r="AH23" s="19">
        <f>IF(ISNUMBER(SEARCH($H$27,AI23)), MAX($AH$2:AH22)+1,0)</f>
        <v>19</v>
      </c>
      <c r="AI23" s="19" t="s">
        <v>351</v>
      </c>
      <c r="AJ23" s="19"/>
      <c r="AK23" s="19" t="s">
        <v>351</v>
      </c>
      <c r="AL23" s="19"/>
      <c r="AM23" s="19"/>
      <c r="AN23" s="24"/>
      <c r="AO23" s="65"/>
      <c r="AP23" s="65"/>
      <c r="AQ23" s="65"/>
      <c r="AR23" s="65"/>
      <c r="AS23" s="65"/>
      <c r="AT23" s="65"/>
      <c r="AU23" s="65"/>
      <c r="AV23" s="65"/>
      <c r="AW23" s="65"/>
      <c r="AX23" s="65"/>
      <c r="AY23" s="65"/>
      <c r="AZ23" s="65"/>
      <c r="BA23" s="65"/>
      <c r="BB23" s="65"/>
      <c r="BC23" s="65"/>
    </row>
    <row r="24" spans="2:108">
      <c r="B24" s="213"/>
      <c r="C24" s="213"/>
      <c r="D24" s="213"/>
      <c r="E24" s="213"/>
      <c r="F24" s="265"/>
      <c r="G24" s="265"/>
      <c r="H24" s="213"/>
      <c r="I24" s="213"/>
      <c r="J24" s="213"/>
      <c r="K24" s="213"/>
      <c r="L24" s="213"/>
      <c r="M24" s="213"/>
      <c r="N24" s="213"/>
      <c r="AD24" s="19" t="s">
        <v>352</v>
      </c>
      <c r="AE24" s="19"/>
      <c r="AF24" s="19" t="s">
        <v>352</v>
      </c>
      <c r="AG24" s="19"/>
      <c r="AH24" s="19">
        <f>IF(ISNUMBER(SEARCH($H$27,AI24)), MAX($AH$2:AH23)+1,0)</f>
        <v>20</v>
      </c>
      <c r="AI24" s="19" t="s">
        <v>352</v>
      </c>
      <c r="AJ24" s="19"/>
      <c r="AK24" s="19" t="s">
        <v>352</v>
      </c>
      <c r="AL24" s="19"/>
      <c r="AM24" s="19"/>
      <c r="AN24" s="24"/>
      <c r="AO24" s="65"/>
      <c r="AP24" s="65"/>
      <c r="AQ24" s="65"/>
      <c r="AR24" s="65"/>
      <c r="AS24" s="65"/>
      <c r="AT24" s="65"/>
      <c r="AU24" s="65"/>
      <c r="AV24" s="65"/>
      <c r="AW24" s="65"/>
      <c r="AX24" s="65"/>
      <c r="AY24" s="65"/>
      <c r="AZ24" s="65"/>
      <c r="BA24" s="65"/>
      <c r="BB24" s="65"/>
      <c r="BC24" s="65"/>
    </row>
    <row r="25" spans="2:108" ht="18">
      <c r="B25" s="260"/>
      <c r="C25" s="260"/>
      <c r="D25" s="260"/>
      <c r="E25" s="386" t="s">
        <v>708</v>
      </c>
      <c r="F25" s="386"/>
      <c r="G25" s="404"/>
      <c r="H25" s="383"/>
      <c r="I25" s="384"/>
      <c r="J25" s="384"/>
      <c r="K25" s="384"/>
      <c r="L25" s="384"/>
      <c r="M25" s="385"/>
      <c r="N25" s="213" t="s">
        <v>6</v>
      </c>
      <c r="AD25" s="19" t="s">
        <v>487</v>
      </c>
      <c r="AE25" s="19"/>
      <c r="AF25" s="19" t="s">
        <v>487</v>
      </c>
      <c r="AG25" s="19"/>
      <c r="AH25" s="19">
        <f>IF(ISNUMBER(SEARCH($H$27,AI25)), MAX($AH$2:AH24)+1,0)</f>
        <v>21</v>
      </c>
      <c r="AI25" s="19" t="s">
        <v>487</v>
      </c>
      <c r="AJ25" s="19"/>
      <c r="AK25" s="19" t="s">
        <v>487</v>
      </c>
      <c r="AL25" s="19"/>
      <c r="AM25" s="19"/>
      <c r="AN25" s="24"/>
      <c r="AO25" s="65"/>
      <c r="AP25" s="65"/>
      <c r="AQ25" s="65"/>
      <c r="AR25" s="65"/>
      <c r="AS25" s="65"/>
      <c r="AT25" s="65"/>
      <c r="AU25" s="65"/>
      <c r="AV25" s="65"/>
      <c r="AW25" s="65"/>
      <c r="AX25" s="65"/>
      <c r="AY25" s="65"/>
      <c r="AZ25" s="65"/>
      <c r="BA25" s="65"/>
      <c r="BB25" s="65"/>
      <c r="BC25" s="65"/>
    </row>
    <row r="26" spans="2:108">
      <c r="B26" s="213"/>
      <c r="C26" s="213"/>
      <c r="D26" s="213"/>
      <c r="E26" s="213"/>
      <c r="F26" s="213"/>
      <c r="G26" s="213"/>
      <c r="H26" s="213"/>
      <c r="I26" s="213"/>
      <c r="J26" s="213"/>
      <c r="K26" s="213"/>
      <c r="L26" s="213"/>
      <c r="M26" s="213"/>
      <c r="N26" s="213"/>
      <c r="AD26" s="19" t="s">
        <v>488</v>
      </c>
      <c r="AE26" s="19"/>
      <c r="AF26" s="19" t="s">
        <v>488</v>
      </c>
      <c r="AG26" s="19"/>
      <c r="AH26" s="19">
        <f>IF(ISNUMBER(SEARCH($H$27,AI26)), MAX($AH$2:AH25)+1,0)</f>
        <v>22</v>
      </c>
      <c r="AI26" s="19" t="s">
        <v>488</v>
      </c>
      <c r="AJ26" s="19"/>
      <c r="AK26" s="19" t="s">
        <v>488</v>
      </c>
      <c r="AL26" s="19"/>
      <c r="AM26" s="19"/>
      <c r="AN26" s="24"/>
      <c r="AO26" s="65"/>
      <c r="AP26" s="65"/>
      <c r="AQ26" s="65"/>
      <c r="AR26" s="65"/>
      <c r="AS26" s="65"/>
      <c r="AT26" s="65"/>
      <c r="AU26" s="65"/>
      <c r="AV26" s="65"/>
      <c r="AW26" s="65"/>
      <c r="AX26" s="65"/>
      <c r="AY26" s="65"/>
      <c r="AZ26" s="65"/>
      <c r="BA26" s="65"/>
      <c r="BB26" s="65"/>
      <c r="BC26" s="65"/>
    </row>
    <row r="27" spans="2:108" ht="18">
      <c r="B27" s="260"/>
      <c r="C27" s="260"/>
      <c r="D27" s="260"/>
      <c r="E27" s="386" t="s">
        <v>708</v>
      </c>
      <c r="F27" s="386"/>
      <c r="G27" s="404"/>
      <c r="H27" s="383"/>
      <c r="I27" s="384"/>
      <c r="J27" s="384"/>
      <c r="K27" s="384"/>
      <c r="L27" s="384"/>
      <c r="M27" s="385"/>
      <c r="N27" s="213" t="s">
        <v>6</v>
      </c>
      <c r="AD27" s="19" t="s">
        <v>146</v>
      </c>
      <c r="AE27" s="19"/>
      <c r="AF27" s="19" t="s">
        <v>146</v>
      </c>
      <c r="AG27" s="19"/>
      <c r="AH27" s="19">
        <f>IF(ISNUMBER(SEARCH($H$27,AI27)), MAX($AH$2:AH26)+1,0)</f>
        <v>23</v>
      </c>
      <c r="AI27" s="19" t="s">
        <v>146</v>
      </c>
      <c r="AJ27" s="19"/>
      <c r="AK27" s="19" t="s">
        <v>146</v>
      </c>
      <c r="AL27" s="19"/>
      <c r="AM27" s="19"/>
      <c r="AN27" s="24"/>
      <c r="AO27" s="65"/>
      <c r="AP27" s="65"/>
      <c r="AQ27" s="65"/>
      <c r="AR27" s="65"/>
      <c r="AS27" s="65"/>
      <c r="AT27" s="65"/>
      <c r="AU27" s="65"/>
      <c r="AV27" s="65"/>
      <c r="AW27" s="65"/>
      <c r="AX27" s="65"/>
      <c r="AY27" s="65"/>
      <c r="AZ27" s="65"/>
      <c r="BA27" s="65"/>
      <c r="BB27" s="65"/>
      <c r="BC27" s="65"/>
    </row>
    <row r="28" spans="2:108">
      <c r="B28" s="213"/>
      <c r="C28" s="213"/>
      <c r="D28" s="213"/>
      <c r="E28" s="213"/>
      <c r="F28" s="386"/>
      <c r="G28" s="386"/>
      <c r="H28" s="386"/>
      <c r="I28" s="213"/>
      <c r="J28" s="213"/>
      <c r="K28" s="213"/>
      <c r="L28" s="213"/>
      <c r="M28" s="213"/>
      <c r="N28" s="213"/>
      <c r="AD28" s="19" t="s">
        <v>353</v>
      </c>
      <c r="AE28" s="19"/>
      <c r="AF28" s="19" t="s">
        <v>353</v>
      </c>
      <c r="AG28" s="19"/>
      <c r="AH28" s="19">
        <f>IF(ISNUMBER(SEARCH($H$27,AI28)), MAX($AH$2:AH27)+1,0)</f>
        <v>24</v>
      </c>
      <c r="AI28" s="19" t="s">
        <v>353</v>
      </c>
      <c r="AJ28" s="19"/>
      <c r="AK28" s="19" t="s">
        <v>353</v>
      </c>
      <c r="AL28" s="19"/>
      <c r="AM28" s="19"/>
      <c r="AN28" s="24"/>
      <c r="AO28" s="65"/>
      <c r="AP28" s="65"/>
      <c r="AQ28" s="65"/>
      <c r="AR28" s="65"/>
      <c r="AS28" s="65"/>
      <c r="AT28" s="65"/>
      <c r="AU28" s="65"/>
      <c r="AV28" s="65"/>
      <c r="AW28" s="65"/>
      <c r="AX28" s="65"/>
      <c r="AY28" s="65"/>
      <c r="AZ28" s="65"/>
      <c r="BA28" s="65"/>
      <c r="BB28" s="65"/>
      <c r="BC28" s="65"/>
    </row>
    <row r="29" spans="2:108">
      <c r="B29" s="260"/>
      <c r="C29" s="260"/>
      <c r="D29" s="260"/>
      <c r="E29" s="213"/>
      <c r="F29" s="386"/>
      <c r="G29" s="386"/>
      <c r="H29" s="213"/>
      <c r="I29" s="213"/>
      <c r="J29" s="213"/>
      <c r="K29" s="213"/>
      <c r="L29" s="213"/>
      <c r="M29" s="213"/>
      <c r="N29" s="213"/>
      <c r="AD29" s="19" t="s">
        <v>489</v>
      </c>
      <c r="AE29" s="19"/>
      <c r="AF29" s="19" t="s">
        <v>489</v>
      </c>
      <c r="AG29" s="19"/>
      <c r="AH29" s="19">
        <f>IF(ISNUMBER(SEARCH($H$27,AI29)), MAX($AH$2:AH28)+1,0)</f>
        <v>25</v>
      </c>
      <c r="AI29" s="19" t="s">
        <v>489</v>
      </c>
      <c r="AJ29" s="19"/>
      <c r="AK29" s="19" t="s">
        <v>489</v>
      </c>
      <c r="AL29" s="19"/>
      <c r="AM29" s="19"/>
      <c r="AN29" s="24"/>
      <c r="AO29" s="65"/>
      <c r="AP29" s="65"/>
      <c r="AQ29" s="65"/>
      <c r="AR29" s="65"/>
      <c r="AS29" s="65"/>
      <c r="AT29" s="65"/>
      <c r="AU29" s="65"/>
      <c r="AV29" s="65"/>
      <c r="AW29" s="65"/>
      <c r="AX29" s="65"/>
      <c r="AY29" s="65"/>
      <c r="AZ29" s="65"/>
      <c r="BA29" s="65"/>
      <c r="BB29" s="65"/>
      <c r="BC29" s="65"/>
    </row>
    <row r="30" spans="2:108" ht="18">
      <c r="B30" s="260"/>
      <c r="C30" s="260"/>
      <c r="D30" s="260"/>
      <c r="E30" s="374" t="s">
        <v>592</v>
      </c>
      <c r="F30" s="374"/>
      <c r="G30" s="375"/>
      <c r="H30" s="383"/>
      <c r="I30" s="384"/>
      <c r="J30" s="384"/>
      <c r="K30" s="384"/>
      <c r="L30" s="384"/>
      <c r="M30" s="385"/>
      <c r="N30" s="213"/>
      <c r="AD30" s="19" t="s">
        <v>354</v>
      </c>
      <c r="AE30" s="19"/>
      <c r="AF30" s="19" t="s">
        <v>354</v>
      </c>
      <c r="AG30" s="19"/>
      <c r="AH30" s="19">
        <f>IF(ISNUMBER(SEARCH($H$27,AI30)), MAX($AH$2:AH29)+1,0)</f>
        <v>26</v>
      </c>
      <c r="AI30" s="19" t="s">
        <v>354</v>
      </c>
      <c r="AJ30" s="19"/>
      <c r="AK30" s="19" t="s">
        <v>354</v>
      </c>
      <c r="AL30" s="19"/>
      <c r="AM30" s="19"/>
      <c r="AN30" s="24"/>
      <c r="AO30" s="65"/>
      <c r="AP30" s="65"/>
      <c r="AQ30" s="65"/>
      <c r="AR30" s="65"/>
      <c r="AS30" s="65"/>
      <c r="AT30" s="65"/>
      <c r="AU30" s="65"/>
      <c r="AV30" s="65"/>
      <c r="AW30" s="65"/>
      <c r="AX30" s="65"/>
      <c r="AY30" s="65"/>
      <c r="AZ30" s="65"/>
      <c r="BA30" s="65"/>
      <c r="BB30" s="65"/>
      <c r="BC30" s="65"/>
    </row>
    <row r="31" spans="2:108">
      <c r="B31" s="213"/>
      <c r="C31" s="213"/>
      <c r="D31" s="213"/>
      <c r="E31" s="213"/>
      <c r="F31" s="213"/>
      <c r="G31" s="213"/>
      <c r="H31" s="213"/>
      <c r="I31" s="213"/>
      <c r="J31" s="213"/>
      <c r="K31" s="213"/>
      <c r="L31" s="213"/>
      <c r="M31" s="213"/>
      <c r="N31" s="213"/>
      <c r="AD31" s="19" t="s">
        <v>276</v>
      </c>
      <c r="AE31" s="19"/>
      <c r="AF31" s="19" t="s">
        <v>276</v>
      </c>
      <c r="AG31" s="19"/>
      <c r="AH31" s="19">
        <f>IF(ISNUMBER(SEARCH($H$27,AI31)), MAX($AH$2:AH30)+1,0)</f>
        <v>27</v>
      </c>
      <c r="AI31" s="19" t="s">
        <v>276</v>
      </c>
      <c r="AJ31" s="19"/>
      <c r="AK31" s="19" t="s">
        <v>276</v>
      </c>
      <c r="AL31" s="19"/>
      <c r="AM31" s="19"/>
      <c r="AN31" s="24"/>
      <c r="AO31" s="65"/>
      <c r="AP31" s="65"/>
      <c r="AQ31" s="65"/>
      <c r="AR31" s="65"/>
      <c r="AS31" s="65"/>
      <c r="AT31" s="65"/>
      <c r="AU31" s="65"/>
      <c r="AV31" s="65"/>
      <c r="AW31" s="65"/>
      <c r="AX31" s="65"/>
      <c r="AY31" s="65"/>
      <c r="AZ31" s="65"/>
      <c r="BA31" s="65"/>
      <c r="BB31" s="65"/>
      <c r="BC31" s="65"/>
    </row>
    <row r="32" spans="2:108" ht="18.75" customHeight="1">
      <c r="B32" s="260"/>
      <c r="C32" s="260"/>
      <c r="D32" s="260"/>
      <c r="E32" s="265"/>
      <c r="F32" s="374" t="s">
        <v>593</v>
      </c>
      <c r="G32" s="375"/>
      <c r="H32" s="383"/>
      <c r="I32" s="384"/>
      <c r="J32" s="384"/>
      <c r="K32" s="384"/>
      <c r="L32" s="384"/>
      <c r="M32" s="385"/>
      <c r="N32" s="213"/>
      <c r="AD32" s="19" t="s">
        <v>147</v>
      </c>
      <c r="AE32" s="19"/>
      <c r="AF32" s="19" t="s">
        <v>147</v>
      </c>
      <c r="AG32" s="19"/>
      <c r="AH32" s="19">
        <f>IF(ISNUMBER(SEARCH($H$27,AI32)), MAX($AH$2:AH31)+1,0)</f>
        <v>28</v>
      </c>
      <c r="AI32" s="19" t="s">
        <v>147</v>
      </c>
      <c r="AJ32" s="19"/>
      <c r="AK32" s="19" t="s">
        <v>147</v>
      </c>
      <c r="AL32" s="19"/>
      <c r="AM32" s="19"/>
      <c r="AN32" s="24"/>
      <c r="AO32" s="65"/>
      <c r="AP32" s="65"/>
      <c r="AQ32" s="65"/>
      <c r="AR32" s="65"/>
      <c r="AS32" s="65"/>
      <c r="AT32" s="65"/>
      <c r="AU32" s="65"/>
      <c r="AV32" s="65"/>
      <c r="AW32" s="65"/>
      <c r="AX32" s="65"/>
      <c r="AY32" s="65"/>
      <c r="AZ32" s="65"/>
      <c r="BA32" s="65"/>
      <c r="BB32" s="65"/>
      <c r="BC32" s="65"/>
    </row>
    <row r="33" spans="1:55" ht="19.5" customHeight="1">
      <c r="B33" s="260"/>
      <c r="C33" s="260"/>
      <c r="D33" s="260"/>
      <c r="E33" s="374" t="s">
        <v>594</v>
      </c>
      <c r="F33" s="374"/>
      <c r="G33" s="375"/>
      <c r="H33" s="383"/>
      <c r="I33" s="384"/>
      <c r="J33" s="384"/>
      <c r="K33" s="384"/>
      <c r="L33" s="384"/>
      <c r="M33" s="385"/>
      <c r="N33" s="213"/>
      <c r="AD33" s="19" t="s">
        <v>284</v>
      </c>
      <c r="AE33" s="19"/>
      <c r="AF33" s="19" t="s">
        <v>284</v>
      </c>
      <c r="AG33" s="19"/>
      <c r="AH33" s="19">
        <f>IF(ISNUMBER(SEARCH($H$27,AI33)), MAX($AH$2:AH32)+1,0)</f>
        <v>29</v>
      </c>
      <c r="AI33" s="19" t="s">
        <v>284</v>
      </c>
      <c r="AJ33" s="19"/>
      <c r="AK33" s="19" t="s">
        <v>284</v>
      </c>
      <c r="AL33" s="19"/>
      <c r="AM33" s="19"/>
      <c r="AN33" s="24"/>
      <c r="AO33" s="65"/>
      <c r="AP33" s="65"/>
      <c r="AQ33" s="65"/>
      <c r="AR33" s="65"/>
      <c r="AS33" s="65"/>
      <c r="AT33" s="65"/>
      <c r="AU33" s="65"/>
      <c r="AV33" s="65"/>
      <c r="AW33" s="65"/>
      <c r="AX33" s="65"/>
      <c r="AY33" s="65"/>
      <c r="AZ33" s="65"/>
      <c r="BA33" s="65"/>
      <c r="BB33" s="65"/>
      <c r="BC33" s="65"/>
    </row>
    <row r="34" spans="1:55" ht="15" customHeight="1">
      <c r="B34" s="213"/>
      <c r="C34" s="213"/>
      <c r="D34" s="213"/>
      <c r="E34" s="213"/>
      <c r="F34" s="213"/>
      <c r="G34" s="213"/>
      <c r="H34" s="213"/>
      <c r="I34" s="213"/>
      <c r="J34" s="213"/>
      <c r="K34" s="213"/>
      <c r="L34" s="213"/>
      <c r="M34" s="213"/>
      <c r="N34" s="213"/>
      <c r="AD34" s="19" t="s">
        <v>24</v>
      </c>
      <c r="AE34" s="19"/>
      <c r="AF34" s="19" t="s">
        <v>24</v>
      </c>
      <c r="AG34" s="19"/>
      <c r="AH34" s="19">
        <f>IF(ISNUMBER(SEARCH($H$27,AI34)), MAX($AH$2:AH33)+1,0)</f>
        <v>30</v>
      </c>
      <c r="AI34" s="19" t="s">
        <v>24</v>
      </c>
      <c r="AJ34" s="19"/>
      <c r="AK34" s="19" t="s">
        <v>24</v>
      </c>
      <c r="AL34" s="19"/>
      <c r="AM34" s="19"/>
      <c r="AN34" s="24"/>
      <c r="AO34" s="65"/>
      <c r="AP34" s="65"/>
      <c r="AQ34" s="65"/>
      <c r="AR34" s="65"/>
      <c r="AS34" s="65"/>
      <c r="AT34" s="65"/>
      <c r="AU34" s="65"/>
      <c r="AV34" s="65"/>
      <c r="AW34" s="65"/>
      <c r="AX34" s="65"/>
      <c r="AY34" s="65"/>
      <c r="AZ34" s="65"/>
      <c r="BA34" s="65"/>
      <c r="BB34" s="65"/>
      <c r="BC34" s="65"/>
    </row>
    <row r="35" spans="1:55" ht="6" customHeight="1">
      <c r="AD35" s="19" t="s">
        <v>25</v>
      </c>
      <c r="AE35" s="19"/>
      <c r="AF35" s="19" t="s">
        <v>25</v>
      </c>
      <c r="AG35" s="19"/>
      <c r="AH35" s="19">
        <f>IF(ISNUMBER(SEARCH($H$27,AI35)), MAX($AH$2:AH34)+1,0)</f>
        <v>31</v>
      </c>
      <c r="AI35" s="19" t="s">
        <v>25</v>
      </c>
      <c r="AJ35" s="19"/>
      <c r="AK35" s="19" t="s">
        <v>25</v>
      </c>
      <c r="AL35" s="19"/>
      <c r="AM35" s="19"/>
      <c r="AN35" s="24"/>
      <c r="AO35" s="65"/>
      <c r="AP35" s="65"/>
      <c r="AQ35" s="65"/>
      <c r="AR35" s="65"/>
      <c r="AS35" s="65"/>
      <c r="AT35" s="65"/>
      <c r="AU35" s="65"/>
      <c r="AV35" s="65"/>
      <c r="AW35" s="65"/>
      <c r="AX35" s="65"/>
      <c r="AY35" s="65"/>
      <c r="AZ35" s="65"/>
      <c r="BA35" s="65"/>
      <c r="BB35" s="65"/>
      <c r="BC35" s="65"/>
    </row>
    <row r="36" spans="1:55" ht="30" customHeight="1">
      <c r="A36" s="6"/>
      <c r="B36" s="394"/>
      <c r="C36" s="394"/>
      <c r="D36" s="394"/>
      <c r="E36" s="394"/>
      <c r="F36" s="394"/>
      <c r="G36" s="394"/>
      <c r="H36" s="394"/>
      <c r="I36" s="394"/>
      <c r="J36" s="394"/>
      <c r="K36" s="394"/>
      <c r="L36" s="394"/>
      <c r="M36" s="394"/>
      <c r="N36" s="394"/>
      <c r="AD36" s="19" t="s">
        <v>355</v>
      </c>
      <c r="AE36" s="19"/>
      <c r="AF36" s="19" t="s">
        <v>355</v>
      </c>
      <c r="AG36" s="19"/>
      <c r="AH36" s="19">
        <f>IF(ISNUMBER(SEARCH($H$27,AI36)), MAX($AH$2:AH35)+1,0)</f>
        <v>32</v>
      </c>
      <c r="AI36" s="19" t="s">
        <v>355</v>
      </c>
      <c r="AJ36" s="19"/>
      <c r="AK36" s="19" t="s">
        <v>355</v>
      </c>
      <c r="AL36" s="19"/>
      <c r="AM36" s="19"/>
      <c r="AN36" s="24"/>
      <c r="AO36" s="65"/>
      <c r="AP36" s="65"/>
      <c r="AQ36" s="65"/>
      <c r="AR36" s="65"/>
      <c r="AS36" s="65"/>
      <c r="AT36" s="65"/>
      <c r="AU36" s="65"/>
      <c r="AV36" s="65"/>
      <c r="AW36" s="65"/>
      <c r="AX36" s="65"/>
      <c r="AY36" s="65"/>
      <c r="AZ36" s="65"/>
      <c r="BA36" s="65"/>
      <c r="BB36" s="65"/>
      <c r="BC36" s="65"/>
    </row>
    <row r="37" spans="1:55" ht="29.25" customHeight="1" thickBot="1">
      <c r="B37" s="382" t="s">
        <v>7</v>
      </c>
      <c r="C37" s="382"/>
      <c r="D37" s="382"/>
      <c r="E37" s="382"/>
      <c r="F37" s="382"/>
      <c r="G37" s="382"/>
      <c r="H37" s="382"/>
      <c r="I37" s="382"/>
      <c r="J37" s="382"/>
      <c r="K37" s="382"/>
      <c r="L37" s="382"/>
      <c r="M37" s="382"/>
      <c r="N37" s="382"/>
      <c r="AD37" s="19" t="s">
        <v>356</v>
      </c>
      <c r="AE37" s="19"/>
      <c r="AF37" s="19" t="s">
        <v>356</v>
      </c>
      <c r="AG37" s="19"/>
      <c r="AH37" s="19">
        <f>IF(ISNUMBER(SEARCH($H$27,AI37)), MAX($AH$2:AH36)+1,0)</f>
        <v>33</v>
      </c>
      <c r="AI37" s="19" t="s">
        <v>356</v>
      </c>
      <c r="AJ37" s="19"/>
      <c r="AK37" s="19" t="s">
        <v>356</v>
      </c>
      <c r="AL37" s="19"/>
      <c r="AM37" s="19"/>
      <c r="AN37" s="24"/>
      <c r="AO37" s="65"/>
      <c r="AP37" s="65"/>
      <c r="AQ37" s="65"/>
      <c r="AR37" s="65"/>
      <c r="AS37" s="65"/>
      <c r="AT37" s="65"/>
      <c r="AU37" s="65"/>
      <c r="AV37" s="65"/>
      <c r="AW37" s="65"/>
      <c r="AX37" s="65"/>
      <c r="AY37" s="65"/>
      <c r="AZ37" s="65"/>
      <c r="BA37" s="65"/>
      <c r="BB37" s="65"/>
      <c r="BC37" s="65"/>
    </row>
    <row r="38" spans="1:55" ht="5.25" customHeight="1">
      <c r="B38" s="167"/>
      <c r="C38" s="167"/>
      <c r="D38" s="167"/>
      <c r="E38" s="167"/>
      <c r="F38" s="167"/>
      <c r="G38" s="167"/>
      <c r="H38" s="167"/>
      <c r="I38" s="167"/>
      <c r="J38" s="167"/>
      <c r="K38" s="167"/>
      <c r="L38" s="167"/>
      <c r="M38" s="167"/>
      <c r="N38" s="167"/>
      <c r="AD38" s="19" t="s">
        <v>148</v>
      </c>
      <c r="AE38" s="19"/>
      <c r="AF38" s="19" t="s">
        <v>148</v>
      </c>
      <c r="AG38" s="19"/>
      <c r="AH38" s="19">
        <f>IF(ISNUMBER(SEARCH($H$27,AI38)), MAX($AH$2:AH37)+1,0)</f>
        <v>34</v>
      </c>
      <c r="AI38" s="19" t="s">
        <v>148</v>
      </c>
      <c r="AJ38" s="19"/>
      <c r="AK38" s="19" t="s">
        <v>148</v>
      </c>
      <c r="AL38" s="19"/>
      <c r="AM38" s="19"/>
      <c r="AN38" s="24"/>
      <c r="AO38" s="65"/>
      <c r="AP38" s="65"/>
      <c r="AQ38" s="65"/>
      <c r="AR38" s="65"/>
      <c r="AS38" s="65"/>
      <c r="AT38" s="65"/>
      <c r="AU38" s="65"/>
      <c r="AV38" s="65"/>
      <c r="AW38" s="65"/>
      <c r="AX38" s="65"/>
      <c r="AY38" s="65"/>
      <c r="AZ38" s="65"/>
      <c r="BA38" s="65"/>
      <c r="BB38" s="65"/>
      <c r="BC38" s="65"/>
    </row>
    <row r="39" spans="1:55" ht="60.95" customHeight="1">
      <c r="B39" s="387" t="s">
        <v>696</v>
      </c>
      <c r="C39" s="387"/>
      <c r="D39" s="387"/>
      <c r="E39" s="387"/>
      <c r="F39" s="387"/>
      <c r="G39" s="387"/>
      <c r="H39" s="387"/>
      <c r="I39" s="387"/>
      <c r="J39" s="387"/>
      <c r="K39" s="387"/>
      <c r="L39" s="387"/>
      <c r="M39" s="387"/>
      <c r="N39" s="387"/>
      <c r="AD39" s="19" t="s">
        <v>149</v>
      </c>
      <c r="AE39" s="19"/>
      <c r="AF39" s="19" t="s">
        <v>149</v>
      </c>
      <c r="AG39" s="19"/>
      <c r="AH39" s="19">
        <f>IF(ISNUMBER(SEARCH($H$27,AI39)), MAX($AH$2:AH38)+1,0)</f>
        <v>35</v>
      </c>
      <c r="AI39" s="19" t="s">
        <v>149</v>
      </c>
      <c r="AJ39" s="19"/>
      <c r="AK39" s="19" t="s">
        <v>149</v>
      </c>
      <c r="AL39" s="19"/>
      <c r="AM39" s="19"/>
      <c r="AN39" s="24"/>
      <c r="AO39" s="65"/>
      <c r="AP39" s="65"/>
      <c r="AQ39" s="65"/>
      <c r="AR39" s="65"/>
      <c r="AS39" s="65"/>
      <c r="AT39" s="65"/>
      <c r="AU39" s="65"/>
      <c r="AV39" s="65"/>
      <c r="AW39" s="65"/>
      <c r="AX39" s="65"/>
      <c r="AY39" s="65"/>
      <c r="AZ39" s="65"/>
      <c r="BA39" s="65"/>
      <c r="BB39" s="65"/>
      <c r="BC39" s="65"/>
    </row>
    <row r="40" spans="1:55" s="5" customFormat="1" ht="147" hidden="1" customHeight="1">
      <c r="A40"/>
      <c r="B40" s="387" t="s">
        <v>695</v>
      </c>
      <c r="C40" s="387"/>
      <c r="D40" s="387"/>
      <c r="E40" s="387"/>
      <c r="F40" s="387"/>
      <c r="G40" s="387"/>
      <c r="H40" s="387"/>
      <c r="I40" s="387"/>
      <c r="J40" s="387"/>
      <c r="K40" s="387"/>
      <c r="L40" s="387"/>
      <c r="M40" s="387"/>
      <c r="N40" s="387"/>
      <c r="O40" s="56"/>
      <c r="P40" s="56"/>
      <c r="Q40" s="56"/>
      <c r="R40" s="19"/>
      <c r="S40" s="19"/>
      <c r="T40" s="55"/>
      <c r="U40" s="19"/>
      <c r="V40" s="55"/>
      <c r="W40" s="55"/>
      <c r="X40" s="19"/>
      <c r="Y40" s="19"/>
      <c r="Z40" s="55"/>
      <c r="AA40" s="19"/>
      <c r="AB40" s="55"/>
      <c r="AC40" s="19"/>
      <c r="AD40" s="19" t="s">
        <v>268</v>
      </c>
      <c r="AE40" s="55"/>
      <c r="AF40" s="19" t="s">
        <v>268</v>
      </c>
      <c r="AG40" s="55"/>
      <c r="AH40" s="19">
        <f>IF(ISNUMBER(SEARCH($H$27,AI40)), MAX($AH$2:AH39)+1,0)</f>
        <v>36</v>
      </c>
      <c r="AI40" s="19" t="s">
        <v>268</v>
      </c>
      <c r="AJ40" s="55"/>
      <c r="AK40" s="19" t="s">
        <v>268</v>
      </c>
      <c r="AL40" s="55"/>
      <c r="AM40" s="55"/>
      <c r="AN40" s="118"/>
      <c r="AO40" s="59"/>
      <c r="AP40" s="59"/>
      <c r="AQ40" s="59"/>
      <c r="AR40" s="59"/>
      <c r="AS40" s="59"/>
      <c r="AT40" s="59"/>
      <c r="AU40" s="59"/>
      <c r="AV40" s="59"/>
      <c r="AW40" s="59"/>
      <c r="AX40" s="59"/>
      <c r="AY40" s="59"/>
      <c r="AZ40" s="59"/>
      <c r="BA40" s="59"/>
      <c r="BB40" s="59"/>
      <c r="BC40" s="59"/>
    </row>
    <row r="41" spans="1:55">
      <c r="E41" s="4"/>
      <c r="F41" s="4"/>
      <c r="G41" s="4"/>
      <c r="H41" s="4"/>
      <c r="I41" s="4"/>
      <c r="J41" s="4"/>
      <c r="AD41" s="19" t="s">
        <v>150</v>
      </c>
      <c r="AE41" s="19"/>
      <c r="AF41" s="19" t="s">
        <v>150</v>
      </c>
      <c r="AG41" s="19"/>
      <c r="AH41" s="19">
        <f>IF(ISNUMBER(SEARCH($H$27,AI41)), MAX($AH$2:AH40)+1,0)</f>
        <v>37</v>
      </c>
      <c r="AI41" s="19" t="s">
        <v>150</v>
      </c>
      <c r="AJ41" s="19"/>
      <c r="AK41" s="19" t="s">
        <v>150</v>
      </c>
      <c r="AL41" s="19"/>
      <c r="AM41" s="19"/>
      <c r="AN41" s="24"/>
      <c r="AO41" s="65"/>
      <c r="AP41" s="65"/>
      <c r="AQ41" s="65"/>
      <c r="AR41" s="65"/>
      <c r="AS41" s="65"/>
      <c r="AT41" s="65"/>
      <c r="AU41" s="65"/>
      <c r="AV41" s="65"/>
      <c r="AW41" s="65"/>
      <c r="AX41" s="65"/>
      <c r="AY41" s="65"/>
      <c r="AZ41" s="65"/>
      <c r="BA41" s="65"/>
      <c r="BB41" s="65"/>
      <c r="BC41" s="65"/>
    </row>
    <row r="42" spans="1:55" ht="26.25" customHeight="1">
      <c r="B42" s="267"/>
      <c r="C42" s="389" t="s">
        <v>181</v>
      </c>
      <c r="D42" s="390"/>
      <c r="E42" s="390"/>
      <c r="AD42" s="19" t="s">
        <v>266</v>
      </c>
      <c r="AE42" s="19"/>
      <c r="AF42" s="19" t="s">
        <v>266</v>
      </c>
      <c r="AG42" s="19"/>
      <c r="AH42" s="19">
        <f>IF(ISNUMBER(SEARCH($H$27,AI42)), MAX($AH$2:AH41)+1,0)</f>
        <v>38</v>
      </c>
      <c r="AI42" s="19" t="s">
        <v>266</v>
      </c>
      <c r="AJ42" s="19"/>
      <c r="AK42" s="19" t="s">
        <v>266</v>
      </c>
      <c r="AL42" s="19"/>
      <c r="AM42" s="19"/>
      <c r="AN42" s="24"/>
      <c r="AO42" s="65"/>
      <c r="AP42" s="65"/>
      <c r="AQ42" s="65"/>
      <c r="AR42" s="65"/>
      <c r="AS42" s="65"/>
      <c r="AT42" s="65"/>
      <c r="AU42" s="65"/>
      <c r="AV42" s="65"/>
      <c r="AW42" s="65"/>
      <c r="AX42" s="65"/>
      <c r="AY42" s="65"/>
      <c r="AZ42" s="65"/>
      <c r="BA42" s="65"/>
      <c r="BB42" s="65"/>
      <c r="BC42" s="65"/>
    </row>
    <row r="43" spans="1:55" ht="30" customHeight="1">
      <c r="P43" s="271"/>
      <c r="AD43" s="19" t="s">
        <v>151</v>
      </c>
      <c r="AE43" s="19"/>
      <c r="AF43" s="19" t="s">
        <v>151</v>
      </c>
      <c r="AG43" s="19"/>
      <c r="AH43" s="19">
        <f>IF(ISNUMBER(SEARCH($H$27,AI43)), MAX($AH$2:AH42)+1,0)</f>
        <v>39</v>
      </c>
      <c r="AI43" s="19" t="s">
        <v>151</v>
      </c>
      <c r="AJ43" s="19"/>
      <c r="AK43" s="19" t="s">
        <v>151</v>
      </c>
      <c r="AL43" s="19"/>
      <c r="AM43" s="19"/>
      <c r="AN43" s="24"/>
      <c r="AO43" s="65"/>
      <c r="AP43" s="65"/>
      <c r="AQ43" s="65"/>
      <c r="AR43" s="65"/>
      <c r="AS43" s="65"/>
      <c r="AT43" s="65"/>
      <c r="AU43" s="65"/>
      <c r="AV43" s="65"/>
      <c r="AW43" s="65"/>
      <c r="AX43" s="65"/>
      <c r="AY43" s="65"/>
      <c r="AZ43" s="65"/>
      <c r="BA43" s="65"/>
      <c r="BB43" s="65"/>
      <c r="BC43" s="65"/>
    </row>
    <row r="44" spans="1:55" ht="28.5">
      <c r="A44" s="5"/>
      <c r="B44" s="268" t="s">
        <v>0</v>
      </c>
      <c r="C44" s="270" t="s">
        <v>596</v>
      </c>
      <c r="D44" s="269" t="s">
        <v>8</v>
      </c>
      <c r="E44" s="5"/>
      <c r="F44" s="5"/>
      <c r="G44" s="5"/>
      <c r="H44" s="5"/>
      <c r="I44" s="5"/>
      <c r="J44" s="5"/>
      <c r="K44" s="5"/>
      <c r="L44" s="5"/>
      <c r="M44" s="5"/>
      <c r="N44" s="5"/>
      <c r="AD44" s="19" t="s">
        <v>490</v>
      </c>
      <c r="AE44" s="19"/>
      <c r="AF44" s="19" t="s">
        <v>490</v>
      </c>
      <c r="AG44" s="19"/>
      <c r="AH44" s="19">
        <f>IF(ISNUMBER(SEARCH($H$27,AI44)), MAX($AH$2:AH43)+1,0)</f>
        <v>40</v>
      </c>
      <c r="AI44" s="19" t="s">
        <v>490</v>
      </c>
      <c r="AJ44" s="19"/>
      <c r="AK44" s="19" t="s">
        <v>490</v>
      </c>
      <c r="AL44" s="19"/>
      <c r="AM44" s="19"/>
      <c r="AN44" s="24"/>
      <c r="AO44" s="65"/>
      <c r="AP44" s="65"/>
      <c r="AQ44" s="65"/>
      <c r="AR44" s="65"/>
      <c r="AS44" s="65"/>
      <c r="AT44" s="65"/>
      <c r="AU44" s="65"/>
      <c r="AV44" s="65"/>
      <c r="AW44" s="65"/>
      <c r="AX44" s="65"/>
      <c r="AY44" s="65"/>
      <c r="AZ44" s="65"/>
      <c r="BA44" s="65"/>
      <c r="BB44" s="65"/>
      <c r="BC44" s="65"/>
    </row>
    <row r="45" spans="1:55">
      <c r="AD45" s="19" t="s">
        <v>152</v>
      </c>
      <c r="AE45" s="19"/>
      <c r="AF45" s="19" t="s">
        <v>152</v>
      </c>
      <c r="AG45" s="19"/>
      <c r="AH45" s="19">
        <f>IF(ISNUMBER(SEARCH($H$27,AI45)), MAX($AH$2:AH44)+1,0)</f>
        <v>41</v>
      </c>
      <c r="AI45" s="19" t="s">
        <v>152</v>
      </c>
      <c r="AJ45" s="19"/>
      <c r="AK45" s="19" t="s">
        <v>152</v>
      </c>
      <c r="AL45" s="19"/>
      <c r="AM45" s="19"/>
      <c r="AN45" s="24"/>
      <c r="AO45" s="65"/>
      <c r="AP45" s="65"/>
      <c r="AQ45" s="65"/>
      <c r="AR45" s="65"/>
      <c r="AS45" s="65"/>
      <c r="AT45" s="65"/>
      <c r="AU45" s="65"/>
      <c r="AV45" s="65"/>
      <c r="AW45" s="65"/>
      <c r="AX45" s="65"/>
      <c r="AY45" s="65"/>
      <c r="AZ45" s="65"/>
      <c r="BA45" s="65"/>
      <c r="BB45" s="65"/>
      <c r="BC45" s="65"/>
    </row>
    <row r="46" spans="1:55" ht="26.25" customHeight="1">
      <c r="B46" s="388" t="s">
        <v>9</v>
      </c>
      <c r="C46" s="388"/>
      <c r="D46" s="388"/>
      <c r="E46" s="388"/>
      <c r="F46" s="388"/>
      <c r="G46" s="388"/>
      <c r="H46" s="388"/>
      <c r="I46" s="388"/>
      <c r="J46" s="388"/>
      <c r="K46" s="388"/>
      <c r="L46" s="388"/>
      <c r="M46" s="388"/>
      <c r="N46" s="388"/>
      <c r="AD46" s="19" t="s">
        <v>357</v>
      </c>
      <c r="AE46" s="19"/>
      <c r="AF46" s="19" t="s">
        <v>357</v>
      </c>
      <c r="AG46" s="19"/>
      <c r="AH46" s="19">
        <f>IF(ISNUMBER(SEARCH($H$27,AI46)), MAX($AH$2:AH45)+1,0)</f>
        <v>42</v>
      </c>
      <c r="AI46" s="19" t="s">
        <v>357</v>
      </c>
      <c r="AJ46" s="19"/>
      <c r="AK46" s="19" t="s">
        <v>357</v>
      </c>
      <c r="AL46" s="19"/>
      <c r="AM46" s="19"/>
      <c r="AN46" s="24"/>
      <c r="AO46" s="65"/>
      <c r="AP46" s="65"/>
      <c r="AQ46" s="65"/>
      <c r="AR46" s="65"/>
      <c r="AS46" s="65"/>
      <c r="AT46" s="65"/>
      <c r="AU46" s="65"/>
      <c r="AV46" s="65"/>
      <c r="AW46" s="65"/>
      <c r="AX46" s="65"/>
      <c r="AY46" s="65"/>
      <c r="AZ46" s="65"/>
      <c r="BA46" s="65"/>
      <c r="BB46" s="65"/>
      <c r="BC46" s="65"/>
    </row>
    <row r="47" spans="1:55" ht="65.25" customHeight="1">
      <c r="B47" s="380" t="s">
        <v>534</v>
      </c>
      <c r="C47" s="381"/>
      <c r="D47" s="381"/>
      <c r="E47" s="381"/>
      <c r="F47" s="381"/>
      <c r="G47" s="381"/>
      <c r="H47" s="381"/>
      <c r="I47" s="381"/>
      <c r="J47" s="381"/>
      <c r="K47" s="381"/>
      <c r="L47" s="381"/>
      <c r="M47" s="381"/>
      <c r="N47" s="381"/>
      <c r="AD47" s="19" t="s">
        <v>153</v>
      </c>
      <c r="AE47" s="19"/>
      <c r="AF47" s="19" t="s">
        <v>153</v>
      </c>
      <c r="AG47" s="19"/>
      <c r="AH47" s="19">
        <f>IF(ISNUMBER(SEARCH($H$27,AI47)), MAX($AH$2:AH46)+1,0)</f>
        <v>43</v>
      </c>
      <c r="AI47" s="19" t="s">
        <v>153</v>
      </c>
      <c r="AJ47" s="19"/>
      <c r="AK47" s="19" t="s">
        <v>153</v>
      </c>
      <c r="AL47" s="19"/>
      <c r="AM47" s="19"/>
      <c r="AN47" s="24"/>
      <c r="AO47" s="65"/>
      <c r="AP47" s="65"/>
      <c r="AQ47" s="65"/>
      <c r="AR47" s="65"/>
      <c r="AS47" s="65"/>
      <c r="AT47" s="65"/>
      <c r="AU47" s="65"/>
      <c r="AV47" s="65"/>
      <c r="AW47" s="65"/>
      <c r="AX47" s="65"/>
      <c r="AY47" s="65"/>
      <c r="AZ47" s="65"/>
      <c r="BA47" s="65"/>
      <c r="BB47" s="65"/>
      <c r="BC47" s="65"/>
    </row>
    <row r="48" spans="1:55">
      <c r="B48" s="379"/>
      <c r="C48" s="379"/>
      <c r="D48" s="379"/>
      <c r="AD48" s="19" t="s">
        <v>300</v>
      </c>
      <c r="AE48" s="19"/>
      <c r="AF48" s="19" t="s">
        <v>300</v>
      </c>
      <c r="AG48" s="19"/>
      <c r="AH48" s="19">
        <f>IF(ISNUMBER(SEARCH($H$27,AI48)), MAX($AH$2:AH47)+1,0)</f>
        <v>44</v>
      </c>
      <c r="AI48" s="19" t="s">
        <v>300</v>
      </c>
      <c r="AJ48" s="19"/>
      <c r="AK48" s="19" t="s">
        <v>300</v>
      </c>
      <c r="AL48" s="19"/>
      <c r="AM48" s="19"/>
      <c r="AN48" s="24"/>
      <c r="AO48" s="65"/>
      <c r="AP48" s="65"/>
      <c r="AQ48" s="65"/>
      <c r="AR48" s="65"/>
      <c r="AS48" s="65"/>
      <c r="AT48" s="65"/>
      <c r="AU48" s="65"/>
      <c r="AV48" s="65"/>
      <c r="AW48" s="65"/>
      <c r="AX48" s="65"/>
      <c r="AY48" s="65"/>
      <c r="AZ48" s="65"/>
      <c r="BA48" s="65"/>
      <c r="BB48" s="65"/>
      <c r="BC48" s="65"/>
    </row>
    <row r="49" spans="30:55">
      <c r="AD49" s="19" t="s">
        <v>269</v>
      </c>
      <c r="AE49" s="19"/>
      <c r="AF49" s="19" t="s">
        <v>269</v>
      </c>
      <c r="AG49" s="19"/>
      <c r="AH49" s="19">
        <f>IF(ISNUMBER(SEARCH($H$27,AI49)), MAX($AH$2:AH48)+1,0)</f>
        <v>45</v>
      </c>
      <c r="AI49" s="19" t="s">
        <v>269</v>
      </c>
      <c r="AJ49" s="19"/>
      <c r="AK49" s="19" t="s">
        <v>269</v>
      </c>
      <c r="AL49" s="19"/>
      <c r="AM49" s="19"/>
      <c r="AN49" s="24"/>
      <c r="AO49" s="65"/>
      <c r="AP49" s="65"/>
      <c r="AQ49" s="65"/>
      <c r="AR49" s="65"/>
      <c r="AS49" s="65"/>
      <c r="AT49" s="65"/>
      <c r="AU49" s="65"/>
      <c r="AV49" s="65"/>
      <c r="AW49" s="65"/>
      <c r="AX49" s="65"/>
      <c r="AY49" s="65"/>
      <c r="AZ49" s="65"/>
      <c r="BA49" s="65"/>
      <c r="BB49" s="65"/>
      <c r="BC49" s="65"/>
    </row>
    <row r="50" spans="30:55">
      <c r="AD50" s="19" t="s">
        <v>154</v>
      </c>
      <c r="AE50" s="19"/>
      <c r="AF50" s="19" t="s">
        <v>154</v>
      </c>
      <c r="AG50" s="19"/>
      <c r="AH50" s="19">
        <f>IF(ISNUMBER(SEARCH($H$27,AI50)), MAX($AH$2:AH49)+1,0)</f>
        <v>46</v>
      </c>
      <c r="AI50" s="19" t="s">
        <v>154</v>
      </c>
      <c r="AJ50" s="19"/>
      <c r="AK50" s="19" t="s">
        <v>154</v>
      </c>
      <c r="AL50" s="19"/>
      <c r="AM50" s="19"/>
      <c r="AN50" s="24"/>
      <c r="AO50" s="65"/>
      <c r="AP50" s="65"/>
      <c r="AQ50" s="65"/>
      <c r="AR50" s="65"/>
      <c r="AS50" s="65"/>
      <c r="AT50" s="65"/>
      <c r="AU50" s="65"/>
      <c r="AV50" s="65"/>
      <c r="AW50" s="65"/>
      <c r="AX50" s="65"/>
      <c r="AY50" s="65"/>
      <c r="AZ50" s="65"/>
      <c r="BA50" s="65"/>
      <c r="BB50" s="65"/>
      <c r="BC50" s="65"/>
    </row>
    <row r="51" spans="30:55">
      <c r="AD51" s="19" t="s">
        <v>155</v>
      </c>
      <c r="AE51" s="19"/>
      <c r="AF51" s="19" t="s">
        <v>155</v>
      </c>
      <c r="AG51" s="19"/>
      <c r="AH51" s="19">
        <f>IF(ISNUMBER(SEARCH($H$27,AI51)), MAX($AH$2:AH50)+1,0)</f>
        <v>47</v>
      </c>
      <c r="AI51" s="19" t="s">
        <v>155</v>
      </c>
      <c r="AJ51" s="19"/>
      <c r="AK51" s="19" t="s">
        <v>155</v>
      </c>
      <c r="AL51" s="19"/>
      <c r="AM51" s="19"/>
      <c r="AN51" s="24"/>
      <c r="AO51" s="65"/>
      <c r="AP51" s="65"/>
      <c r="AQ51" s="65"/>
      <c r="AR51" s="65"/>
      <c r="AS51" s="65"/>
      <c r="AT51" s="65"/>
      <c r="AU51" s="65"/>
      <c r="AV51" s="65"/>
      <c r="AW51" s="65"/>
      <c r="AX51" s="65"/>
      <c r="AY51" s="65"/>
      <c r="AZ51" s="65"/>
      <c r="BA51" s="65"/>
      <c r="BB51" s="65"/>
      <c r="BC51" s="65"/>
    </row>
    <row r="52" spans="30:55">
      <c r="AD52" s="19" t="s">
        <v>26</v>
      </c>
      <c r="AE52" s="19"/>
      <c r="AF52" s="19" t="s">
        <v>26</v>
      </c>
      <c r="AG52" s="19"/>
      <c r="AH52" s="19">
        <f>IF(ISNUMBER(SEARCH($H$27,AI52)), MAX($AH$2:AH51)+1,0)</f>
        <v>48</v>
      </c>
      <c r="AI52" s="19" t="s">
        <v>26</v>
      </c>
      <c r="AJ52" s="19"/>
      <c r="AK52" s="19" t="s">
        <v>26</v>
      </c>
      <c r="AL52" s="19"/>
      <c r="AM52" s="19"/>
      <c r="AN52" s="24"/>
      <c r="AO52" s="65"/>
      <c r="AP52" s="65"/>
      <c r="AQ52" s="65"/>
      <c r="AR52" s="65"/>
      <c r="AS52" s="65"/>
      <c r="AT52" s="65"/>
      <c r="AU52" s="65"/>
      <c r="AV52" s="65"/>
      <c r="AW52" s="65"/>
      <c r="AX52" s="65"/>
      <c r="AY52" s="65"/>
      <c r="AZ52" s="65"/>
      <c r="BA52" s="65"/>
      <c r="BB52" s="65"/>
      <c r="BC52" s="65"/>
    </row>
    <row r="53" spans="30:55">
      <c r="AD53" s="19" t="s">
        <v>27</v>
      </c>
      <c r="AE53" s="19"/>
      <c r="AF53" s="19" t="s">
        <v>27</v>
      </c>
      <c r="AG53" s="19"/>
      <c r="AH53" s="19">
        <f>IF(ISNUMBER(SEARCH($H$27,AI53)), MAX($AH$2:AH52)+1,0)</f>
        <v>49</v>
      </c>
      <c r="AI53" s="19" t="s">
        <v>27</v>
      </c>
      <c r="AJ53" s="19"/>
      <c r="AK53" s="19" t="s">
        <v>27</v>
      </c>
      <c r="AL53" s="19"/>
      <c r="AM53" s="19"/>
      <c r="AN53" s="24"/>
      <c r="AO53" s="41"/>
    </row>
    <row r="54" spans="30:55">
      <c r="AD54" s="19" t="s">
        <v>156</v>
      </c>
      <c r="AE54" s="19"/>
      <c r="AF54" s="19" t="s">
        <v>156</v>
      </c>
      <c r="AG54" s="19"/>
      <c r="AH54" s="19">
        <f>IF(ISNUMBER(SEARCH($H$27,AI54)), MAX($AH$2:AH53)+1,0)</f>
        <v>50</v>
      </c>
      <c r="AI54" s="19" t="s">
        <v>156</v>
      </c>
      <c r="AJ54" s="19"/>
      <c r="AK54" s="19" t="s">
        <v>156</v>
      </c>
      <c r="AL54" s="19"/>
      <c r="AM54" s="19"/>
      <c r="AN54" s="24"/>
      <c r="AO54" s="41"/>
    </row>
    <row r="55" spans="30:55">
      <c r="AD55" s="19" t="s">
        <v>358</v>
      </c>
      <c r="AE55" s="19"/>
      <c r="AF55" s="19" t="s">
        <v>358</v>
      </c>
      <c r="AG55" s="19"/>
      <c r="AH55" s="19">
        <f>IF(ISNUMBER(SEARCH($H$27,AI55)), MAX($AH$2:AH54)+1,0)</f>
        <v>51</v>
      </c>
      <c r="AI55" s="19" t="s">
        <v>358</v>
      </c>
      <c r="AJ55" s="19"/>
      <c r="AK55" s="19" t="s">
        <v>358</v>
      </c>
      <c r="AL55" s="19"/>
      <c r="AM55" s="19"/>
      <c r="AN55" s="24"/>
      <c r="AO55" s="41"/>
    </row>
    <row r="56" spans="30:55">
      <c r="AD56" s="19" t="s">
        <v>28</v>
      </c>
      <c r="AE56" s="19"/>
      <c r="AF56" s="19" t="s">
        <v>28</v>
      </c>
      <c r="AG56" s="19"/>
      <c r="AH56" s="19">
        <f>IF(ISNUMBER(SEARCH($H$27,AI56)), MAX($AH$2:AH55)+1,0)</f>
        <v>52</v>
      </c>
      <c r="AI56" s="19" t="s">
        <v>28</v>
      </c>
      <c r="AJ56" s="19"/>
      <c r="AK56" s="19" t="s">
        <v>28</v>
      </c>
      <c r="AL56" s="19"/>
      <c r="AM56" s="19"/>
      <c r="AN56" s="24"/>
      <c r="AO56" s="41"/>
    </row>
    <row r="57" spans="30:55">
      <c r="AD57" s="19" t="s">
        <v>29</v>
      </c>
      <c r="AE57" s="19"/>
      <c r="AF57" s="19" t="s">
        <v>29</v>
      </c>
      <c r="AG57" s="19"/>
      <c r="AH57" s="19">
        <f>IF(ISNUMBER(SEARCH($H$27,AI57)), MAX($AH$2:AH56)+1,0)</f>
        <v>53</v>
      </c>
      <c r="AI57" s="19" t="s">
        <v>29</v>
      </c>
      <c r="AJ57" s="19"/>
      <c r="AK57" s="19" t="s">
        <v>29</v>
      </c>
      <c r="AL57" s="19"/>
      <c r="AM57" s="19"/>
      <c r="AN57" s="24"/>
      <c r="AO57" s="41"/>
    </row>
    <row r="58" spans="30:55">
      <c r="AD58" s="19" t="s">
        <v>277</v>
      </c>
      <c r="AE58" s="19"/>
      <c r="AF58" s="19" t="s">
        <v>277</v>
      </c>
      <c r="AG58" s="19"/>
      <c r="AH58" s="19">
        <f>IF(ISNUMBER(SEARCH($H$27,AI58)), MAX($AH$2:AH57)+1,0)</f>
        <v>54</v>
      </c>
      <c r="AI58" s="19" t="s">
        <v>277</v>
      </c>
      <c r="AJ58" s="19"/>
      <c r="AK58" s="19" t="s">
        <v>277</v>
      </c>
      <c r="AL58" s="19"/>
      <c r="AM58" s="19"/>
      <c r="AN58" s="24"/>
      <c r="AO58" s="41"/>
    </row>
    <row r="59" spans="30:55">
      <c r="AD59" s="19" t="s">
        <v>157</v>
      </c>
      <c r="AE59" s="19"/>
      <c r="AF59" s="19" t="s">
        <v>157</v>
      </c>
      <c r="AG59" s="19"/>
      <c r="AH59" s="19">
        <f>IF(ISNUMBER(SEARCH($H$27,AI59)), MAX($AH$2:AH58)+1,0)</f>
        <v>55</v>
      </c>
      <c r="AI59" s="19" t="s">
        <v>157</v>
      </c>
      <c r="AJ59" s="19"/>
      <c r="AK59" s="19" t="s">
        <v>157</v>
      </c>
      <c r="AL59" s="19"/>
      <c r="AM59" s="19"/>
      <c r="AN59" s="24"/>
      <c r="AO59" s="41"/>
    </row>
    <row r="60" spans="30:55">
      <c r="AD60" s="19" t="s">
        <v>359</v>
      </c>
      <c r="AE60" s="19"/>
      <c r="AF60" s="19" t="s">
        <v>359</v>
      </c>
      <c r="AG60" s="19"/>
      <c r="AH60" s="19">
        <f>IF(ISNUMBER(SEARCH($H$27,AI60)), MAX($AH$2:AH59)+1,0)</f>
        <v>56</v>
      </c>
      <c r="AI60" s="19" t="s">
        <v>359</v>
      </c>
      <c r="AJ60" s="19"/>
      <c r="AK60" s="19" t="s">
        <v>359</v>
      </c>
      <c r="AL60" s="19"/>
      <c r="AM60" s="19"/>
      <c r="AN60" s="24"/>
      <c r="AO60" s="41"/>
    </row>
    <row r="61" spans="30:55">
      <c r="AD61" s="19" t="s">
        <v>158</v>
      </c>
      <c r="AE61" s="19"/>
      <c r="AF61" s="19" t="s">
        <v>158</v>
      </c>
      <c r="AG61" s="19"/>
      <c r="AH61" s="19">
        <f>IF(ISNUMBER(SEARCH($H$27,AI61)), MAX($AH$2:AH60)+1,0)</f>
        <v>57</v>
      </c>
      <c r="AI61" s="19" t="s">
        <v>158</v>
      </c>
      <c r="AJ61" s="19"/>
      <c r="AK61" s="19" t="s">
        <v>158</v>
      </c>
      <c r="AL61" s="19"/>
      <c r="AM61" s="19"/>
      <c r="AN61" s="24"/>
      <c r="AO61" s="41"/>
    </row>
    <row r="62" spans="30:55">
      <c r="AD62" s="19" t="s">
        <v>278</v>
      </c>
      <c r="AE62" s="19"/>
      <c r="AF62" s="19" t="s">
        <v>278</v>
      </c>
      <c r="AG62" s="19"/>
      <c r="AH62" s="19">
        <f>IF(ISNUMBER(SEARCH($H$27,AI62)), MAX($AH$2:AH61)+1,0)</f>
        <v>58</v>
      </c>
      <c r="AI62" s="19" t="s">
        <v>278</v>
      </c>
      <c r="AJ62" s="19"/>
      <c r="AK62" s="19" t="s">
        <v>278</v>
      </c>
      <c r="AL62" s="19"/>
      <c r="AM62" s="19"/>
      <c r="AN62" s="24"/>
      <c r="AO62" s="41"/>
    </row>
    <row r="63" spans="30:55">
      <c r="AD63" s="19" t="s">
        <v>30</v>
      </c>
      <c r="AE63" s="19"/>
      <c r="AF63" s="19" t="s">
        <v>30</v>
      </c>
      <c r="AG63" s="19"/>
      <c r="AH63" s="19">
        <f>IF(ISNUMBER(SEARCH($H$27,AI63)), MAX($AH$2:AH62)+1,0)</f>
        <v>59</v>
      </c>
      <c r="AI63" s="19" t="s">
        <v>30</v>
      </c>
      <c r="AJ63" s="19"/>
      <c r="AK63" s="19" t="s">
        <v>30</v>
      </c>
      <c r="AL63" s="19"/>
      <c r="AM63" s="19"/>
      <c r="AN63" s="24"/>
      <c r="AO63" s="41"/>
    </row>
    <row r="64" spans="30:55">
      <c r="AD64" s="19" t="s">
        <v>31</v>
      </c>
      <c r="AE64" s="19"/>
      <c r="AF64" s="19" t="s">
        <v>31</v>
      </c>
      <c r="AG64" s="19"/>
      <c r="AH64" s="19">
        <f>IF(ISNUMBER(SEARCH($H$27,AI64)), MAX($AH$2:AH63)+1,0)</f>
        <v>60</v>
      </c>
      <c r="AI64" s="19" t="s">
        <v>31</v>
      </c>
      <c r="AJ64" s="19"/>
      <c r="AK64" s="19" t="s">
        <v>31</v>
      </c>
      <c r="AL64" s="19"/>
      <c r="AM64" s="19"/>
      <c r="AN64" s="24"/>
      <c r="AO64" s="41"/>
    </row>
    <row r="65" spans="30:41">
      <c r="AD65" s="19" t="s">
        <v>360</v>
      </c>
      <c r="AE65" s="19"/>
      <c r="AF65" s="19" t="s">
        <v>360</v>
      </c>
      <c r="AG65" s="19"/>
      <c r="AH65" s="19">
        <f>IF(ISNUMBER(SEARCH($H$27,AI65)), MAX($AH$2:AH64)+1,0)</f>
        <v>61</v>
      </c>
      <c r="AI65" s="19" t="s">
        <v>360</v>
      </c>
      <c r="AJ65" s="19"/>
      <c r="AK65" s="19" t="s">
        <v>360</v>
      </c>
      <c r="AL65" s="19"/>
      <c r="AM65" s="19"/>
      <c r="AN65" s="24"/>
      <c r="AO65" s="41"/>
    </row>
    <row r="66" spans="30:41">
      <c r="AD66" s="19" t="s">
        <v>491</v>
      </c>
      <c r="AE66" s="19"/>
      <c r="AF66" s="19" t="s">
        <v>491</v>
      </c>
      <c r="AG66" s="19"/>
      <c r="AH66" s="19">
        <f>IF(ISNUMBER(SEARCH($H$27,AI66)), MAX($AH$2:AH65)+1,0)</f>
        <v>62</v>
      </c>
      <c r="AI66" s="19" t="s">
        <v>491</v>
      </c>
      <c r="AJ66" s="19"/>
      <c r="AK66" s="19" t="s">
        <v>491</v>
      </c>
      <c r="AL66" s="19"/>
      <c r="AM66" s="19"/>
      <c r="AN66" s="24"/>
      <c r="AO66" s="41"/>
    </row>
    <row r="67" spans="30:41">
      <c r="AD67" s="19" t="s">
        <v>301</v>
      </c>
      <c r="AE67" s="19"/>
      <c r="AF67" s="19" t="s">
        <v>301</v>
      </c>
      <c r="AG67" s="19"/>
      <c r="AH67" s="19">
        <f>IF(ISNUMBER(SEARCH($H$27,AI67)), MAX($AH$2:AH66)+1,0)</f>
        <v>63</v>
      </c>
      <c r="AI67" s="19" t="s">
        <v>301</v>
      </c>
      <c r="AJ67" s="19"/>
      <c r="AK67" s="19" t="s">
        <v>301</v>
      </c>
      <c r="AL67" s="19"/>
      <c r="AM67" s="19"/>
      <c r="AN67" s="24"/>
      <c r="AO67" s="41"/>
    </row>
    <row r="68" spans="30:41">
      <c r="AD68" s="19" t="s">
        <v>361</v>
      </c>
      <c r="AE68" s="19"/>
      <c r="AF68" s="19" t="s">
        <v>361</v>
      </c>
      <c r="AG68" s="19"/>
      <c r="AH68" s="19">
        <f>IF(ISNUMBER(SEARCH($H$27,AI68)), MAX($AH$2:AH67)+1,0)</f>
        <v>64</v>
      </c>
      <c r="AI68" s="19" t="s">
        <v>361</v>
      </c>
      <c r="AJ68" s="19"/>
      <c r="AK68" s="19" t="s">
        <v>361</v>
      </c>
      <c r="AL68" s="19"/>
      <c r="AM68" s="19"/>
      <c r="AN68" s="24"/>
      <c r="AO68" s="41"/>
    </row>
    <row r="69" spans="30:41">
      <c r="AD69" s="19" t="s">
        <v>362</v>
      </c>
      <c r="AE69" s="19"/>
      <c r="AF69" s="19" t="s">
        <v>362</v>
      </c>
      <c r="AG69" s="19"/>
      <c r="AH69" s="19">
        <f>IF(ISNUMBER(SEARCH($H$27,AI69)), MAX($AH$2:AH68)+1,0)</f>
        <v>65</v>
      </c>
      <c r="AI69" s="19" t="s">
        <v>362</v>
      </c>
      <c r="AJ69" s="19"/>
      <c r="AK69" s="19" t="s">
        <v>362</v>
      </c>
      <c r="AL69" s="19"/>
      <c r="AM69" s="19"/>
      <c r="AN69" s="24"/>
      <c r="AO69" s="41"/>
    </row>
    <row r="70" spans="30:41">
      <c r="AD70" s="19" t="s">
        <v>159</v>
      </c>
      <c r="AE70" s="19"/>
      <c r="AF70" s="19" t="s">
        <v>159</v>
      </c>
      <c r="AG70" s="19"/>
      <c r="AH70" s="19">
        <f>IF(ISNUMBER(SEARCH($H$27,AI70)), MAX($AH$2:AH69)+1,0)</f>
        <v>66</v>
      </c>
      <c r="AI70" s="19" t="s">
        <v>159</v>
      </c>
      <c r="AJ70" s="19"/>
      <c r="AK70" s="19" t="s">
        <v>159</v>
      </c>
      <c r="AL70" s="19"/>
      <c r="AM70" s="19"/>
      <c r="AN70" s="24"/>
      <c r="AO70" s="41"/>
    </row>
    <row r="71" spans="30:41">
      <c r="AD71" s="19" t="s">
        <v>302</v>
      </c>
      <c r="AE71" s="19"/>
      <c r="AF71" s="19" t="s">
        <v>302</v>
      </c>
      <c r="AG71" s="19"/>
      <c r="AH71" s="19">
        <f>IF(ISNUMBER(SEARCH($H$27,AI71)), MAX($AH$2:AH70)+1,0)</f>
        <v>67</v>
      </c>
      <c r="AI71" s="19" t="s">
        <v>302</v>
      </c>
      <c r="AJ71" s="19"/>
      <c r="AK71" s="19" t="s">
        <v>302</v>
      </c>
      <c r="AL71" s="19"/>
      <c r="AM71" s="19"/>
      <c r="AN71" s="24"/>
      <c r="AO71" s="41"/>
    </row>
    <row r="72" spans="30:41">
      <c r="AD72" s="19" t="s">
        <v>270</v>
      </c>
      <c r="AE72" s="19"/>
      <c r="AF72" s="19" t="s">
        <v>270</v>
      </c>
      <c r="AG72" s="19"/>
      <c r="AH72" s="19">
        <f>IF(ISNUMBER(SEARCH($H$27,AI72)), MAX($AH$2:AH71)+1,0)</f>
        <v>68</v>
      </c>
      <c r="AI72" s="19" t="s">
        <v>270</v>
      </c>
      <c r="AJ72" s="19"/>
      <c r="AK72" s="19" t="s">
        <v>270</v>
      </c>
      <c r="AL72" s="19"/>
      <c r="AM72" s="19"/>
      <c r="AN72" s="24"/>
      <c r="AO72" s="41"/>
    </row>
    <row r="73" spans="30:41">
      <c r="AD73" s="19" t="s">
        <v>160</v>
      </c>
      <c r="AE73" s="19"/>
      <c r="AF73" s="19" t="s">
        <v>160</v>
      </c>
      <c r="AG73" s="19"/>
      <c r="AH73" s="19">
        <f>IF(ISNUMBER(SEARCH($H$27,AI73)), MAX($AH$2:AH72)+1,0)</f>
        <v>69</v>
      </c>
      <c r="AI73" s="19" t="s">
        <v>160</v>
      </c>
      <c r="AJ73" s="19"/>
      <c r="AK73" s="19" t="s">
        <v>160</v>
      </c>
      <c r="AL73" s="19"/>
      <c r="AM73" s="19"/>
      <c r="AN73" s="24"/>
      <c r="AO73" s="41"/>
    </row>
    <row r="74" spans="30:41">
      <c r="AD74" s="19" t="s">
        <v>303</v>
      </c>
      <c r="AE74" s="19"/>
      <c r="AF74" s="19" t="s">
        <v>303</v>
      </c>
      <c r="AG74" s="19"/>
      <c r="AH74" s="19">
        <f>IF(ISNUMBER(SEARCH($H$27,AI74)), MAX($AH$2:AH73)+1,0)</f>
        <v>70</v>
      </c>
      <c r="AI74" s="19" t="s">
        <v>303</v>
      </c>
      <c r="AJ74" s="19"/>
      <c r="AK74" s="19" t="s">
        <v>303</v>
      </c>
      <c r="AL74" s="19"/>
      <c r="AM74" s="19"/>
      <c r="AN74" s="24"/>
      <c r="AO74" s="41"/>
    </row>
    <row r="75" spans="30:41">
      <c r="AD75" s="19" t="s">
        <v>492</v>
      </c>
      <c r="AE75" s="19"/>
      <c r="AF75" s="19" t="s">
        <v>492</v>
      </c>
      <c r="AG75" s="19"/>
      <c r="AH75" s="19">
        <f>IF(ISNUMBER(SEARCH($H$27,AI75)), MAX($AH$2:AH74)+1,0)</f>
        <v>71</v>
      </c>
      <c r="AI75" s="19" t="s">
        <v>492</v>
      </c>
      <c r="AJ75" s="19"/>
      <c r="AK75" s="19" t="s">
        <v>492</v>
      </c>
      <c r="AL75" s="19"/>
      <c r="AM75" s="19"/>
      <c r="AN75" s="24"/>
      <c r="AO75" s="41"/>
    </row>
    <row r="76" spans="30:41">
      <c r="AD76" s="19" t="s">
        <v>161</v>
      </c>
      <c r="AE76" s="19"/>
      <c r="AF76" s="19" t="s">
        <v>161</v>
      </c>
      <c r="AG76" s="19"/>
      <c r="AH76" s="19">
        <f>IF(ISNUMBER(SEARCH($H$27,AI76)), MAX($AH$2:AH75)+1,0)</f>
        <v>72</v>
      </c>
      <c r="AI76" s="19" t="s">
        <v>161</v>
      </c>
      <c r="AJ76" s="19"/>
      <c r="AK76" s="19" t="s">
        <v>161</v>
      </c>
      <c r="AL76" s="19"/>
      <c r="AM76" s="19"/>
      <c r="AN76" s="24"/>
      <c r="AO76" s="41"/>
    </row>
    <row r="77" spans="30:41">
      <c r="AD77" s="19" t="s">
        <v>496</v>
      </c>
      <c r="AE77" s="19"/>
      <c r="AF77" s="19" t="s">
        <v>496</v>
      </c>
      <c r="AG77" s="19"/>
      <c r="AH77" s="19">
        <f>IF(ISNUMBER(SEARCH($H$27,AI77)), MAX($AH$2:AH76)+1,0)</f>
        <v>73</v>
      </c>
      <c r="AI77" s="19" t="s">
        <v>496</v>
      </c>
      <c r="AJ77" s="19"/>
      <c r="AK77" s="19" t="s">
        <v>496</v>
      </c>
      <c r="AL77" s="19"/>
      <c r="AM77" s="19"/>
      <c r="AN77" s="24"/>
      <c r="AO77" s="41"/>
    </row>
    <row r="78" spans="30:41">
      <c r="AD78" s="19" t="s">
        <v>162</v>
      </c>
      <c r="AE78" s="19"/>
      <c r="AF78" s="19" t="s">
        <v>162</v>
      </c>
      <c r="AG78" s="19"/>
      <c r="AH78" s="19">
        <f>IF(ISNUMBER(SEARCH($H$27,AI78)), MAX($AH$2:AH77)+1,0)</f>
        <v>74</v>
      </c>
      <c r="AI78" s="19" t="s">
        <v>162</v>
      </c>
      <c r="AJ78" s="19"/>
      <c r="AK78" s="19" t="s">
        <v>162</v>
      </c>
      <c r="AL78" s="19"/>
      <c r="AM78" s="19"/>
      <c r="AN78" s="24"/>
      <c r="AO78" s="41"/>
    </row>
    <row r="79" spans="30:41">
      <c r="AD79" s="19" t="s">
        <v>363</v>
      </c>
      <c r="AE79" s="19"/>
      <c r="AF79" s="19" t="s">
        <v>363</v>
      </c>
      <c r="AG79" s="19"/>
      <c r="AH79" s="19">
        <f>IF(ISNUMBER(SEARCH($H$27,AI79)), MAX($AH$2:AH78)+1,0)</f>
        <v>75</v>
      </c>
      <c r="AI79" s="19" t="s">
        <v>363</v>
      </c>
      <c r="AJ79" s="19"/>
      <c r="AK79" s="19" t="s">
        <v>363</v>
      </c>
      <c r="AL79" s="19"/>
      <c r="AM79" s="19"/>
      <c r="AN79" s="24"/>
      <c r="AO79" s="41"/>
    </row>
    <row r="80" spans="30:41">
      <c r="AD80" s="19" t="s">
        <v>493</v>
      </c>
      <c r="AE80" s="19"/>
      <c r="AF80" s="19" t="s">
        <v>493</v>
      </c>
      <c r="AG80" s="19"/>
      <c r="AH80" s="19">
        <f>IF(ISNUMBER(SEARCH($H$27,AI80)), MAX($AH$2:AH79)+1,0)</f>
        <v>76</v>
      </c>
      <c r="AI80" s="19" t="s">
        <v>493</v>
      </c>
      <c r="AJ80" s="19"/>
      <c r="AK80" s="19" t="s">
        <v>493</v>
      </c>
      <c r="AL80" s="19"/>
      <c r="AM80" s="19"/>
      <c r="AN80" s="24"/>
      <c r="AO80" s="41"/>
    </row>
    <row r="81" spans="30:41">
      <c r="AD81" s="19" t="s">
        <v>364</v>
      </c>
      <c r="AE81" s="19"/>
      <c r="AF81" s="19" t="s">
        <v>364</v>
      </c>
      <c r="AG81" s="19"/>
      <c r="AH81" s="19">
        <f>IF(ISNUMBER(SEARCH($H$27,AI81)), MAX($AH$2:AH80)+1,0)</f>
        <v>77</v>
      </c>
      <c r="AI81" s="19" t="s">
        <v>364</v>
      </c>
      <c r="AJ81" s="19"/>
      <c r="AK81" s="19" t="s">
        <v>364</v>
      </c>
      <c r="AL81" s="19"/>
      <c r="AM81" s="19"/>
      <c r="AN81" s="24"/>
      <c r="AO81" s="41"/>
    </row>
    <row r="82" spans="30:41">
      <c r="AD82" s="19" t="s">
        <v>494</v>
      </c>
      <c r="AE82" s="19"/>
      <c r="AF82" s="19" t="s">
        <v>494</v>
      </c>
      <c r="AG82" s="19"/>
      <c r="AH82" s="19">
        <f>IF(ISNUMBER(SEARCH($H$27,AI82)), MAX($AH$2:AH81)+1,0)</f>
        <v>78</v>
      </c>
      <c r="AI82" s="19" t="s">
        <v>494</v>
      </c>
      <c r="AJ82" s="19"/>
      <c r="AK82" s="19" t="s">
        <v>494</v>
      </c>
      <c r="AL82" s="19"/>
      <c r="AM82" s="19"/>
      <c r="AN82" s="24"/>
      <c r="AO82" s="41"/>
    </row>
    <row r="83" spans="30:41">
      <c r="AD83" s="19" t="s">
        <v>163</v>
      </c>
      <c r="AE83" s="19"/>
      <c r="AF83" s="19" t="s">
        <v>163</v>
      </c>
      <c r="AG83" s="19"/>
      <c r="AH83" s="19">
        <f>IF(ISNUMBER(SEARCH($H$27,AI83)), MAX($AH$2:AH82)+1,0)</f>
        <v>79</v>
      </c>
      <c r="AI83" s="19" t="s">
        <v>163</v>
      </c>
      <c r="AJ83" s="19"/>
      <c r="AK83" s="19" t="s">
        <v>163</v>
      </c>
      <c r="AL83" s="19"/>
      <c r="AM83" s="19"/>
      <c r="AN83" s="24"/>
      <c r="AO83" s="41"/>
    </row>
    <row r="84" spans="30:41">
      <c r="AD84" s="19" t="s">
        <v>271</v>
      </c>
      <c r="AE84" s="19"/>
      <c r="AF84" s="19" t="s">
        <v>271</v>
      </c>
      <c r="AG84" s="19"/>
      <c r="AH84" s="19">
        <f>IF(ISNUMBER(SEARCH($H$27,AI84)), MAX($AH$2:AH83)+1,0)</f>
        <v>80</v>
      </c>
      <c r="AI84" s="19" t="s">
        <v>271</v>
      </c>
      <c r="AJ84" s="19"/>
      <c r="AK84" s="19" t="s">
        <v>271</v>
      </c>
      <c r="AL84" s="19"/>
      <c r="AM84" s="19"/>
      <c r="AN84" s="24"/>
      <c r="AO84" s="41"/>
    </row>
    <row r="85" spans="30:41">
      <c r="AD85" s="19" t="s">
        <v>164</v>
      </c>
      <c r="AE85" s="19"/>
      <c r="AF85" s="19" t="s">
        <v>164</v>
      </c>
      <c r="AG85" s="19"/>
      <c r="AH85" s="19">
        <f>IF(ISNUMBER(SEARCH($H$27,AI85)), MAX($AH$2:AH84)+1,0)</f>
        <v>81</v>
      </c>
      <c r="AI85" s="19" t="s">
        <v>164</v>
      </c>
      <c r="AJ85" s="19"/>
      <c r="AK85" s="19" t="s">
        <v>164</v>
      </c>
      <c r="AL85" s="19"/>
      <c r="AM85" s="19"/>
      <c r="AN85" s="24"/>
      <c r="AO85" s="41"/>
    </row>
    <row r="86" spans="30:41">
      <c r="AD86" s="19" t="s">
        <v>165</v>
      </c>
      <c r="AE86" s="19"/>
      <c r="AF86" s="19" t="s">
        <v>165</v>
      </c>
      <c r="AG86" s="19"/>
      <c r="AH86" s="19">
        <f>IF(ISNUMBER(SEARCH($H$27,AI86)), MAX($AH$2:AH85)+1,0)</f>
        <v>82</v>
      </c>
      <c r="AI86" s="19" t="s">
        <v>165</v>
      </c>
      <c r="AJ86" s="19"/>
      <c r="AK86" s="19" t="s">
        <v>165</v>
      </c>
      <c r="AL86" s="19"/>
      <c r="AM86" s="19"/>
      <c r="AN86" s="24"/>
      <c r="AO86" s="41"/>
    </row>
    <row r="87" spans="30:41">
      <c r="AD87" s="19" t="s">
        <v>495</v>
      </c>
      <c r="AE87" s="19"/>
      <c r="AF87" s="19" t="s">
        <v>495</v>
      </c>
      <c r="AG87" s="19"/>
      <c r="AH87" s="19">
        <f>IF(ISNUMBER(SEARCH($H$27,AI87)), MAX($AH$2:AH86)+1,0)</f>
        <v>83</v>
      </c>
      <c r="AI87" s="19" t="s">
        <v>495</v>
      </c>
      <c r="AJ87" s="19"/>
      <c r="AK87" s="19" t="s">
        <v>495</v>
      </c>
      <c r="AL87" s="19"/>
      <c r="AM87" s="19"/>
      <c r="AN87" s="24"/>
      <c r="AO87" s="41"/>
    </row>
    <row r="88" spans="30:41">
      <c r="AD88" s="19" t="s">
        <v>304</v>
      </c>
      <c r="AE88" s="19"/>
      <c r="AF88" s="19" t="s">
        <v>304</v>
      </c>
      <c r="AG88" s="19"/>
      <c r="AH88" s="19">
        <f>IF(ISNUMBER(SEARCH($H$27,AI88)), MAX($AH$2:AH87)+1,0)</f>
        <v>84</v>
      </c>
      <c r="AI88" s="19" t="s">
        <v>304</v>
      </c>
      <c r="AJ88" s="19"/>
      <c r="AK88" s="19" t="s">
        <v>304</v>
      </c>
      <c r="AL88" s="19"/>
      <c r="AM88" s="19"/>
      <c r="AN88" s="24"/>
      <c r="AO88" s="41"/>
    </row>
    <row r="89" spans="30:41">
      <c r="AD89" s="19" t="s">
        <v>497</v>
      </c>
      <c r="AE89" s="19"/>
      <c r="AF89" s="19" t="s">
        <v>497</v>
      </c>
      <c r="AG89" s="19"/>
      <c r="AH89" s="19">
        <f>IF(ISNUMBER(SEARCH($H$27,AI89)), MAX($AH$2:AH88)+1,0)</f>
        <v>85</v>
      </c>
      <c r="AI89" s="19" t="s">
        <v>497</v>
      </c>
      <c r="AJ89" s="19"/>
      <c r="AK89" s="19" t="s">
        <v>497</v>
      </c>
      <c r="AL89" s="19"/>
      <c r="AM89" s="19"/>
      <c r="AN89" s="24"/>
      <c r="AO89" s="41"/>
    </row>
    <row r="90" spans="30:41">
      <c r="AD90" s="19" t="s">
        <v>365</v>
      </c>
      <c r="AE90" s="19"/>
      <c r="AF90" s="19" t="s">
        <v>365</v>
      </c>
      <c r="AG90" s="19"/>
      <c r="AH90" s="19">
        <f>IF(ISNUMBER(SEARCH($H$27,AI90)), MAX($AH$2:AH89)+1,0)</f>
        <v>86</v>
      </c>
      <c r="AI90" s="19" t="s">
        <v>365</v>
      </c>
      <c r="AJ90" s="19"/>
      <c r="AK90" s="19" t="s">
        <v>365</v>
      </c>
      <c r="AL90" s="19"/>
      <c r="AM90" s="19"/>
      <c r="AN90" s="24"/>
      <c r="AO90" s="41"/>
    </row>
    <row r="91" spans="30:41">
      <c r="AD91" s="19" t="s">
        <v>366</v>
      </c>
      <c r="AE91" s="19"/>
      <c r="AF91" s="19" t="s">
        <v>366</v>
      </c>
      <c r="AG91" s="19"/>
      <c r="AH91" s="19">
        <f>IF(ISNUMBER(SEARCH($H$27,AI91)), MAX($AH$2:AH90)+1,0)</f>
        <v>87</v>
      </c>
      <c r="AI91" s="19" t="s">
        <v>366</v>
      </c>
      <c r="AJ91" s="19"/>
      <c r="AK91" s="19" t="s">
        <v>366</v>
      </c>
      <c r="AL91" s="19"/>
      <c r="AM91" s="19"/>
      <c r="AN91" s="24"/>
      <c r="AO91" s="41"/>
    </row>
    <row r="92" spans="30:41">
      <c r="AD92" s="19" t="s">
        <v>166</v>
      </c>
      <c r="AE92" s="19"/>
      <c r="AF92" s="19" t="s">
        <v>166</v>
      </c>
      <c r="AG92" s="19"/>
      <c r="AH92" s="19">
        <f>IF(ISNUMBER(SEARCH($H$27,AI92)), MAX($AH$2:AH91)+1,0)</f>
        <v>88</v>
      </c>
      <c r="AI92" s="19" t="s">
        <v>166</v>
      </c>
      <c r="AJ92" s="19"/>
      <c r="AK92" s="19" t="s">
        <v>166</v>
      </c>
      <c r="AL92" s="19"/>
      <c r="AM92" s="19"/>
      <c r="AN92" s="24"/>
      <c r="AO92" s="41"/>
    </row>
    <row r="93" spans="30:41">
      <c r="AD93" s="19" t="s">
        <v>498</v>
      </c>
      <c r="AE93" s="19"/>
      <c r="AF93" s="19" t="s">
        <v>498</v>
      </c>
      <c r="AG93" s="19"/>
      <c r="AH93" s="19">
        <f>IF(ISNUMBER(SEARCH($H$27,AI93)), MAX($AH$2:AH92)+1,0)</f>
        <v>89</v>
      </c>
      <c r="AI93" s="19" t="s">
        <v>498</v>
      </c>
      <c r="AJ93" s="19"/>
      <c r="AK93" s="19" t="s">
        <v>498</v>
      </c>
      <c r="AL93" s="19"/>
      <c r="AM93" s="19"/>
      <c r="AN93" s="24"/>
      <c r="AO93" s="41"/>
    </row>
    <row r="94" spans="30:41">
      <c r="AD94" s="19" t="s">
        <v>367</v>
      </c>
      <c r="AE94" s="19"/>
      <c r="AF94" s="19" t="s">
        <v>367</v>
      </c>
      <c r="AG94" s="19"/>
      <c r="AH94" s="19">
        <f>IF(ISNUMBER(SEARCH($H$27,AI94)), MAX($AH$2:AH93)+1,0)</f>
        <v>90</v>
      </c>
      <c r="AI94" s="19" t="s">
        <v>367</v>
      </c>
      <c r="AJ94" s="19"/>
      <c r="AK94" s="19" t="s">
        <v>367</v>
      </c>
      <c r="AL94" s="19"/>
      <c r="AM94" s="19"/>
      <c r="AN94" s="24"/>
      <c r="AO94" s="41"/>
    </row>
    <row r="95" spans="30:41">
      <c r="AD95" s="19" t="s">
        <v>279</v>
      </c>
      <c r="AE95" s="19"/>
      <c r="AF95" s="19" t="s">
        <v>279</v>
      </c>
      <c r="AG95" s="19"/>
      <c r="AH95" s="19">
        <f>IF(ISNUMBER(SEARCH($H$27,AI95)), MAX($AH$2:AH94)+1,0)</f>
        <v>91</v>
      </c>
      <c r="AI95" s="19" t="s">
        <v>279</v>
      </c>
      <c r="AJ95" s="19"/>
      <c r="AK95" s="19" t="s">
        <v>279</v>
      </c>
      <c r="AL95" s="19"/>
      <c r="AM95" s="19"/>
      <c r="AN95" s="24"/>
      <c r="AO95" s="41"/>
    </row>
    <row r="96" spans="30:41">
      <c r="AD96" s="19" t="s">
        <v>499</v>
      </c>
      <c r="AE96" s="19"/>
      <c r="AF96" s="19" t="s">
        <v>499</v>
      </c>
      <c r="AG96" s="19"/>
      <c r="AH96" s="19">
        <f>IF(ISNUMBER(SEARCH($H$27,AI96)), MAX($AH$2:AH95)+1,0)</f>
        <v>92</v>
      </c>
      <c r="AI96" s="19" t="s">
        <v>499</v>
      </c>
      <c r="AJ96" s="19"/>
      <c r="AK96" s="19" t="s">
        <v>499</v>
      </c>
      <c r="AL96" s="19"/>
      <c r="AM96" s="19"/>
      <c r="AN96" s="24"/>
      <c r="AO96" s="41"/>
    </row>
    <row r="97" spans="30:41">
      <c r="AD97" s="19" t="s">
        <v>32</v>
      </c>
      <c r="AE97" s="19"/>
      <c r="AF97" s="19" t="s">
        <v>32</v>
      </c>
      <c r="AG97" s="19"/>
      <c r="AH97" s="19">
        <f>IF(ISNUMBER(SEARCH($H$27,AI97)), MAX($AH$2:AH96)+1,0)</f>
        <v>93</v>
      </c>
      <c r="AI97" s="19" t="s">
        <v>32</v>
      </c>
      <c r="AJ97" s="19"/>
      <c r="AK97" s="19" t="s">
        <v>32</v>
      </c>
      <c r="AL97" s="19"/>
      <c r="AM97" s="19"/>
      <c r="AN97" s="24"/>
      <c r="AO97" s="41"/>
    </row>
    <row r="98" spans="30:41">
      <c r="AD98" s="19" t="s">
        <v>272</v>
      </c>
      <c r="AE98" s="19"/>
      <c r="AF98" s="19" t="s">
        <v>272</v>
      </c>
      <c r="AG98" s="19"/>
      <c r="AH98" s="19">
        <f>IF(ISNUMBER(SEARCH($H$27,AI98)), MAX($AH$2:AH97)+1,0)</f>
        <v>94</v>
      </c>
      <c r="AI98" s="19" t="s">
        <v>272</v>
      </c>
      <c r="AJ98" s="19"/>
      <c r="AK98" s="19" t="s">
        <v>272</v>
      </c>
      <c r="AL98" s="19"/>
      <c r="AM98" s="19"/>
      <c r="AN98" s="24"/>
      <c r="AO98" s="41"/>
    </row>
    <row r="99" spans="30:41">
      <c r="AD99" s="19" t="s">
        <v>167</v>
      </c>
      <c r="AE99" s="19"/>
      <c r="AF99" s="19" t="s">
        <v>167</v>
      </c>
      <c r="AG99" s="19"/>
      <c r="AH99" s="19">
        <f>IF(ISNUMBER(SEARCH($H$27,AI99)), MAX($AH$2:AH98)+1,0)</f>
        <v>95</v>
      </c>
      <c r="AI99" s="19" t="s">
        <v>167</v>
      </c>
      <c r="AJ99" s="19"/>
      <c r="AK99" s="19" t="s">
        <v>167</v>
      </c>
      <c r="AL99" s="19"/>
      <c r="AM99" s="19"/>
      <c r="AN99" s="24"/>
      <c r="AO99" s="41"/>
    </row>
    <row r="100" spans="30:41">
      <c r="AD100" s="19" t="s">
        <v>33</v>
      </c>
      <c r="AE100" s="19"/>
      <c r="AF100" s="19" t="s">
        <v>33</v>
      </c>
      <c r="AG100" s="19"/>
      <c r="AH100" s="19">
        <f>IF(ISNUMBER(SEARCH($H$27,AI100)), MAX($AH$2:AH99)+1,0)</f>
        <v>96</v>
      </c>
      <c r="AI100" s="19" t="s">
        <v>33</v>
      </c>
      <c r="AJ100" s="19"/>
      <c r="AK100" s="19" t="s">
        <v>33</v>
      </c>
      <c r="AL100" s="19"/>
      <c r="AM100" s="19"/>
      <c r="AN100" s="24"/>
      <c r="AO100" s="41"/>
    </row>
    <row r="101" spans="30:41">
      <c r="AD101" s="19" t="s">
        <v>368</v>
      </c>
      <c r="AE101" s="19"/>
      <c r="AF101" s="19" t="s">
        <v>368</v>
      </c>
      <c r="AG101" s="19"/>
      <c r="AH101" s="19">
        <f>IF(ISNUMBER(SEARCH($H$27,AI101)), MAX($AH$2:AH100)+1,0)</f>
        <v>97</v>
      </c>
      <c r="AI101" s="19" t="s">
        <v>368</v>
      </c>
      <c r="AJ101" s="19"/>
      <c r="AK101" s="19" t="s">
        <v>368</v>
      </c>
      <c r="AL101" s="19"/>
      <c r="AM101" s="19"/>
      <c r="AN101" s="24"/>
      <c r="AO101" s="41"/>
    </row>
    <row r="102" spans="30:41">
      <c r="AD102" s="19" t="s">
        <v>500</v>
      </c>
      <c r="AE102" s="19"/>
      <c r="AF102" s="19" t="s">
        <v>500</v>
      </c>
      <c r="AG102" s="19"/>
      <c r="AH102" s="19">
        <f>IF(ISNUMBER(SEARCH($H$27,AI102)), MAX($AH$2:AH101)+1,0)</f>
        <v>98</v>
      </c>
      <c r="AI102" s="19" t="s">
        <v>500</v>
      </c>
      <c r="AJ102" s="19"/>
      <c r="AK102" s="19" t="s">
        <v>500</v>
      </c>
      <c r="AL102" s="19"/>
      <c r="AM102" s="19"/>
      <c r="AN102" s="24"/>
      <c r="AO102" s="41"/>
    </row>
    <row r="103" spans="30:41">
      <c r="AD103" s="19" t="s">
        <v>168</v>
      </c>
      <c r="AE103" s="19"/>
      <c r="AF103" s="19" t="s">
        <v>168</v>
      </c>
      <c r="AG103" s="19"/>
      <c r="AH103" s="19">
        <f>IF(ISNUMBER(SEARCH($H$27,AI103)), MAX($AH$2:AH102)+1,0)</f>
        <v>99</v>
      </c>
      <c r="AI103" s="19" t="s">
        <v>168</v>
      </c>
      <c r="AJ103" s="19"/>
      <c r="AK103" s="19" t="s">
        <v>168</v>
      </c>
      <c r="AL103" s="19"/>
      <c r="AM103" s="19"/>
      <c r="AN103" s="24"/>
      <c r="AO103" s="41"/>
    </row>
    <row r="104" spans="30:41">
      <c r="AD104" s="19" t="s">
        <v>169</v>
      </c>
      <c r="AE104" s="19"/>
      <c r="AF104" s="19" t="s">
        <v>169</v>
      </c>
      <c r="AG104" s="19"/>
      <c r="AH104" s="19">
        <f>IF(ISNUMBER(SEARCH($H$27,AI104)), MAX($AH$2:AH103)+1,0)</f>
        <v>100</v>
      </c>
      <c r="AI104" s="19" t="s">
        <v>169</v>
      </c>
      <c r="AJ104" s="19"/>
      <c r="AK104" s="19" t="s">
        <v>169</v>
      </c>
      <c r="AL104" s="19"/>
      <c r="AM104" s="19"/>
      <c r="AN104" s="24"/>
      <c r="AO104" s="41"/>
    </row>
    <row r="105" spans="30:41">
      <c r="AD105" s="19" t="s">
        <v>170</v>
      </c>
      <c r="AE105" s="19"/>
      <c r="AF105" s="19" t="s">
        <v>170</v>
      </c>
      <c r="AG105" s="19"/>
      <c r="AH105" s="19">
        <f>IF(ISNUMBER(SEARCH($H$27,AI105)), MAX($AH$2:AH104)+1,0)</f>
        <v>101</v>
      </c>
      <c r="AI105" s="19" t="s">
        <v>170</v>
      </c>
      <c r="AJ105" s="19"/>
      <c r="AK105" s="19" t="s">
        <v>170</v>
      </c>
      <c r="AL105" s="19"/>
      <c r="AM105" s="19"/>
      <c r="AN105" s="24"/>
      <c r="AO105" s="41"/>
    </row>
    <row r="106" spans="30:41">
      <c r="AD106" s="19" t="s">
        <v>346</v>
      </c>
      <c r="AE106" s="19"/>
      <c r="AF106" s="19" t="s">
        <v>346</v>
      </c>
      <c r="AG106" s="19"/>
      <c r="AH106" s="19">
        <f>IF(ISNUMBER(SEARCH($H$27,AI106)), MAX($AH$2:AH105)+1,0)</f>
        <v>102</v>
      </c>
      <c r="AI106" s="19" t="s">
        <v>346</v>
      </c>
      <c r="AJ106" s="19"/>
      <c r="AK106" s="19" t="s">
        <v>346</v>
      </c>
      <c r="AL106" s="19"/>
      <c r="AM106" s="19"/>
      <c r="AN106" s="24"/>
      <c r="AO106" s="41"/>
    </row>
    <row r="107" spans="30:41">
      <c r="AD107" s="19" t="s">
        <v>34</v>
      </c>
      <c r="AE107" s="19"/>
      <c r="AF107" s="19" t="s">
        <v>34</v>
      </c>
      <c r="AG107" s="19"/>
      <c r="AH107" s="19">
        <f>IF(ISNUMBER(SEARCH($H$27,AI107)), MAX($AH$2:AH106)+1,0)</f>
        <v>103</v>
      </c>
      <c r="AI107" s="19" t="s">
        <v>34</v>
      </c>
      <c r="AJ107" s="19"/>
      <c r="AK107" s="19" t="s">
        <v>34</v>
      </c>
      <c r="AL107" s="19"/>
      <c r="AM107" s="19"/>
      <c r="AN107" s="24"/>
      <c r="AO107" s="41"/>
    </row>
    <row r="108" spans="30:41">
      <c r="AD108" s="19" t="s">
        <v>347</v>
      </c>
      <c r="AE108" s="19"/>
      <c r="AF108" s="19" t="s">
        <v>347</v>
      </c>
      <c r="AG108" s="19"/>
      <c r="AH108" s="19">
        <f>IF(ISNUMBER(SEARCH($H$27,AI108)), MAX($AH$2:AH107)+1,0)</f>
        <v>104</v>
      </c>
      <c r="AI108" s="19" t="s">
        <v>347</v>
      </c>
      <c r="AJ108" s="19"/>
      <c r="AK108" s="19" t="s">
        <v>347</v>
      </c>
      <c r="AL108" s="19"/>
      <c r="AM108" s="19"/>
      <c r="AN108" s="24"/>
      <c r="AO108" s="41"/>
    </row>
    <row r="109" spans="30:41">
      <c r="AD109" s="19" t="s">
        <v>501</v>
      </c>
      <c r="AE109" s="19"/>
      <c r="AF109" s="19" t="s">
        <v>501</v>
      </c>
      <c r="AG109" s="19"/>
      <c r="AH109" s="19">
        <f>IF(ISNUMBER(SEARCH($H$27,AI109)), MAX($AH$2:AH108)+1,0)</f>
        <v>105</v>
      </c>
      <c r="AI109" s="19" t="s">
        <v>501</v>
      </c>
      <c r="AJ109" s="19"/>
      <c r="AK109" s="19" t="s">
        <v>501</v>
      </c>
      <c r="AL109" s="19"/>
      <c r="AM109" s="19"/>
      <c r="AN109" s="24"/>
      <c r="AO109" s="41"/>
    </row>
    <row r="110" spans="30:41">
      <c r="AD110" s="19" t="s">
        <v>171</v>
      </c>
      <c r="AE110" s="19"/>
      <c r="AF110" s="19" t="s">
        <v>171</v>
      </c>
      <c r="AG110" s="19"/>
      <c r="AH110" s="19">
        <f>IF(ISNUMBER(SEARCH($H$27,AI110)), MAX($AH$2:AH109)+1,0)</f>
        <v>106</v>
      </c>
      <c r="AI110" s="19" t="s">
        <v>171</v>
      </c>
      <c r="AJ110" s="19"/>
      <c r="AK110" s="19" t="s">
        <v>171</v>
      </c>
      <c r="AL110" s="19"/>
      <c r="AM110" s="19"/>
      <c r="AN110" s="24"/>
      <c r="AO110" s="41"/>
    </row>
    <row r="111" spans="30:41">
      <c r="AD111" s="19" t="s">
        <v>35</v>
      </c>
      <c r="AE111" s="19"/>
      <c r="AF111" s="19" t="s">
        <v>35</v>
      </c>
      <c r="AG111" s="19"/>
      <c r="AH111" s="19">
        <f>IF(ISNUMBER(SEARCH($H$27,AI111)), MAX($AH$2:AH110)+1,0)</f>
        <v>107</v>
      </c>
      <c r="AI111" s="19" t="s">
        <v>35</v>
      </c>
      <c r="AJ111" s="19"/>
      <c r="AK111" s="19" t="s">
        <v>35</v>
      </c>
      <c r="AL111" s="19"/>
      <c r="AM111" s="19"/>
      <c r="AN111" s="24"/>
      <c r="AO111" s="41"/>
    </row>
    <row r="112" spans="30:41">
      <c r="AD112" s="19" t="s">
        <v>172</v>
      </c>
      <c r="AE112" s="19"/>
      <c r="AF112" s="19" t="s">
        <v>172</v>
      </c>
      <c r="AG112" s="19"/>
      <c r="AH112" s="19">
        <f>IF(ISNUMBER(SEARCH($H$27,AI112)), MAX($AH$2:AH111)+1,0)</f>
        <v>108</v>
      </c>
      <c r="AI112" s="19" t="s">
        <v>172</v>
      </c>
      <c r="AJ112" s="19"/>
      <c r="AK112" s="19" t="s">
        <v>172</v>
      </c>
      <c r="AL112" s="19"/>
      <c r="AM112" s="19"/>
      <c r="AN112" s="24"/>
      <c r="AO112" s="41"/>
    </row>
    <row r="113" spans="30:41">
      <c r="AD113" s="19" t="s">
        <v>173</v>
      </c>
      <c r="AE113" s="19"/>
      <c r="AF113" s="19" t="s">
        <v>173</v>
      </c>
      <c r="AG113" s="19"/>
      <c r="AH113" s="19">
        <f>IF(ISNUMBER(SEARCH($H$27,AI113)), MAX($AH$2:AH112)+1,0)</f>
        <v>109</v>
      </c>
      <c r="AI113" s="19" t="s">
        <v>173</v>
      </c>
      <c r="AJ113" s="19"/>
      <c r="AK113" s="19" t="s">
        <v>173</v>
      </c>
      <c r="AL113" s="19"/>
      <c r="AM113" s="19"/>
      <c r="AN113" s="24"/>
      <c r="AO113" s="41"/>
    </row>
    <row r="114" spans="30:41">
      <c r="AD114" s="19" t="s">
        <v>285</v>
      </c>
      <c r="AE114" s="19"/>
      <c r="AF114" s="19" t="s">
        <v>285</v>
      </c>
      <c r="AG114" s="19"/>
      <c r="AH114" s="19">
        <f>IF(ISNUMBER(SEARCH($H$27,AI114)), MAX($AH$2:AH113)+1,0)</f>
        <v>110</v>
      </c>
      <c r="AI114" s="19" t="s">
        <v>285</v>
      </c>
      <c r="AJ114" s="19"/>
      <c r="AK114" s="19" t="s">
        <v>285</v>
      </c>
      <c r="AL114" s="19"/>
      <c r="AM114" s="19"/>
      <c r="AN114" s="24"/>
      <c r="AO114" s="41"/>
    </row>
    <row r="115" spans="30:41">
      <c r="AD115" s="19" t="s">
        <v>502</v>
      </c>
      <c r="AE115" s="19"/>
      <c r="AF115" s="19" t="s">
        <v>502</v>
      </c>
      <c r="AG115" s="19"/>
      <c r="AH115" s="19">
        <f>IF(ISNUMBER(SEARCH($H$27,AI115)), MAX($AH$2:AH114)+1,0)</f>
        <v>111</v>
      </c>
      <c r="AI115" s="19" t="s">
        <v>502</v>
      </c>
      <c r="AJ115" s="19"/>
      <c r="AK115" s="19" t="s">
        <v>502</v>
      </c>
      <c r="AL115" s="19"/>
      <c r="AM115" s="19"/>
      <c r="AN115" s="24"/>
      <c r="AO115" s="41"/>
    </row>
    <row r="116" spans="30:41">
      <c r="AD116" s="19" t="s">
        <v>280</v>
      </c>
      <c r="AE116" s="19"/>
      <c r="AF116" s="19" t="s">
        <v>280</v>
      </c>
      <c r="AG116" s="19"/>
      <c r="AH116" s="19">
        <f>IF(ISNUMBER(SEARCH($H$27,AI116)), MAX($AH$2:AH115)+1,0)</f>
        <v>112</v>
      </c>
      <c r="AI116" s="19" t="s">
        <v>280</v>
      </c>
      <c r="AJ116" s="19"/>
      <c r="AK116" s="19" t="s">
        <v>280</v>
      </c>
      <c r="AL116" s="19"/>
      <c r="AM116" s="19"/>
      <c r="AN116" s="24"/>
      <c r="AO116" s="41"/>
    </row>
    <row r="117" spans="30:41">
      <c r="AD117" s="19" t="s">
        <v>36</v>
      </c>
      <c r="AE117" s="19"/>
      <c r="AF117" s="19" t="s">
        <v>36</v>
      </c>
      <c r="AG117" s="19"/>
      <c r="AH117" s="19">
        <f>IF(ISNUMBER(SEARCH($H$27,AI117)), MAX($AH$2:AH116)+1,0)</f>
        <v>113</v>
      </c>
      <c r="AI117" s="19" t="s">
        <v>36</v>
      </c>
      <c r="AJ117" s="19"/>
      <c r="AK117" s="19" t="s">
        <v>36</v>
      </c>
      <c r="AL117" s="19"/>
      <c r="AM117" s="19"/>
      <c r="AN117" s="24"/>
      <c r="AO117" s="41"/>
    </row>
    <row r="118" spans="30:41">
      <c r="AD118" s="19" t="s">
        <v>174</v>
      </c>
      <c r="AE118" s="19"/>
      <c r="AF118" s="19" t="s">
        <v>174</v>
      </c>
      <c r="AG118" s="19"/>
      <c r="AH118" s="19">
        <f>IF(ISNUMBER(SEARCH($H$27,AI118)), MAX($AH$2:AH117)+1,0)</f>
        <v>114</v>
      </c>
      <c r="AI118" s="19" t="s">
        <v>174</v>
      </c>
      <c r="AJ118" s="19"/>
      <c r="AK118" s="19" t="s">
        <v>174</v>
      </c>
      <c r="AL118" s="19"/>
      <c r="AM118" s="19"/>
      <c r="AN118" s="24"/>
      <c r="AO118" s="41"/>
    </row>
    <row r="119" spans="30:41">
      <c r="AD119" s="19" t="s">
        <v>175</v>
      </c>
      <c r="AE119" s="19"/>
      <c r="AF119" s="19" t="s">
        <v>175</v>
      </c>
      <c r="AG119" s="19"/>
      <c r="AH119" s="19">
        <f>IF(ISNUMBER(SEARCH($H$27,AI119)), MAX($AH$2:AH118)+1,0)</f>
        <v>115</v>
      </c>
      <c r="AI119" s="19" t="s">
        <v>175</v>
      </c>
      <c r="AJ119" s="19"/>
      <c r="AK119" s="19" t="s">
        <v>175</v>
      </c>
      <c r="AL119" s="19"/>
      <c r="AM119" s="19"/>
      <c r="AN119" s="24"/>
      <c r="AO119" s="41"/>
    </row>
    <row r="120" spans="30:41">
      <c r="AD120" s="19" t="s">
        <v>369</v>
      </c>
      <c r="AE120" s="19"/>
      <c r="AF120" s="19" t="s">
        <v>369</v>
      </c>
      <c r="AG120" s="19"/>
      <c r="AH120" s="19">
        <f>IF(ISNUMBER(SEARCH($H$27,AI120)), MAX($AH$2:AH119)+1,0)</f>
        <v>116</v>
      </c>
      <c r="AI120" s="19" t="s">
        <v>369</v>
      </c>
      <c r="AJ120" s="19"/>
      <c r="AK120" s="19" t="s">
        <v>369</v>
      </c>
      <c r="AL120" s="19"/>
      <c r="AM120" s="19"/>
      <c r="AN120" s="24"/>
      <c r="AO120" s="41"/>
    </row>
    <row r="121" spans="30:41">
      <c r="AD121" s="19" t="s">
        <v>37</v>
      </c>
      <c r="AE121" s="19"/>
      <c r="AF121" s="19" t="s">
        <v>37</v>
      </c>
      <c r="AG121" s="19"/>
      <c r="AH121" s="19">
        <f>IF(ISNUMBER(SEARCH($H$27,AI121)), MAX($AH$2:AH120)+1,0)</f>
        <v>117</v>
      </c>
      <c r="AI121" s="19" t="s">
        <v>37</v>
      </c>
      <c r="AJ121" s="19"/>
      <c r="AK121" s="19" t="s">
        <v>37</v>
      </c>
      <c r="AL121" s="19"/>
      <c r="AM121" s="19"/>
      <c r="AN121" s="24"/>
      <c r="AO121" s="41"/>
    </row>
    <row r="122" spans="30:41">
      <c r="AD122" s="19" t="s">
        <v>273</v>
      </c>
      <c r="AE122" s="19"/>
      <c r="AF122" s="19" t="s">
        <v>273</v>
      </c>
      <c r="AG122" s="19"/>
      <c r="AH122" s="19">
        <f>IF(ISNUMBER(SEARCH($H$27,AI122)), MAX($AH$2:AH121)+1,0)</f>
        <v>118</v>
      </c>
      <c r="AI122" s="19" t="s">
        <v>273</v>
      </c>
      <c r="AJ122" s="19"/>
      <c r="AK122" s="19" t="s">
        <v>273</v>
      </c>
      <c r="AL122" s="19"/>
      <c r="AM122" s="19"/>
      <c r="AN122" s="24"/>
      <c r="AO122" s="41"/>
    </row>
    <row r="123" spans="30:41">
      <c r="AD123" s="19" t="s">
        <v>370</v>
      </c>
      <c r="AE123" s="19"/>
      <c r="AF123" s="19" t="s">
        <v>370</v>
      </c>
      <c r="AG123" s="19"/>
      <c r="AH123" s="19">
        <f>IF(ISNUMBER(SEARCH($H$27,AI123)), MAX($AH$2:AH122)+1,0)</f>
        <v>119</v>
      </c>
      <c r="AI123" s="19" t="s">
        <v>370</v>
      </c>
      <c r="AJ123" s="19"/>
      <c r="AK123" s="19" t="s">
        <v>370</v>
      </c>
      <c r="AL123" s="19"/>
      <c r="AM123" s="19"/>
      <c r="AN123" s="24"/>
      <c r="AO123" s="41"/>
    </row>
    <row r="124" spans="30:41">
      <c r="AD124" s="19" t="s">
        <v>286</v>
      </c>
      <c r="AE124" s="19"/>
      <c r="AF124" s="19" t="s">
        <v>286</v>
      </c>
      <c r="AG124" s="19"/>
      <c r="AH124" s="19">
        <f>IF(ISNUMBER(SEARCH($H$27,AI124)), MAX($AH$2:AH123)+1,0)</f>
        <v>120</v>
      </c>
      <c r="AI124" s="19" t="s">
        <v>286</v>
      </c>
      <c r="AJ124" s="19"/>
      <c r="AK124" s="19" t="s">
        <v>286</v>
      </c>
      <c r="AL124" s="19"/>
      <c r="AM124" s="19"/>
      <c r="AN124" s="24"/>
      <c r="AO124" s="41"/>
    </row>
    <row r="125" spans="30:41">
      <c r="AD125" s="19" t="s">
        <v>38</v>
      </c>
      <c r="AE125" s="19"/>
      <c r="AF125" s="19" t="s">
        <v>38</v>
      </c>
      <c r="AG125" s="19"/>
      <c r="AH125" s="19">
        <f>IF(ISNUMBER(SEARCH($H$27,AI125)), MAX($AH$2:AH124)+1,0)</f>
        <v>121</v>
      </c>
      <c r="AI125" s="19" t="s">
        <v>38</v>
      </c>
      <c r="AJ125" s="19"/>
      <c r="AK125" s="19" t="s">
        <v>38</v>
      </c>
      <c r="AL125" s="19"/>
      <c r="AM125" s="19"/>
      <c r="AN125" s="24"/>
      <c r="AO125" s="41"/>
    </row>
    <row r="126" spans="30:41">
      <c r="AD126" s="19" t="s">
        <v>176</v>
      </c>
      <c r="AE126" s="19"/>
      <c r="AF126" s="19" t="s">
        <v>176</v>
      </c>
      <c r="AG126" s="19"/>
      <c r="AH126" s="19">
        <f>IF(ISNUMBER(SEARCH($H$27,AI126)), MAX($AH$2:AH125)+1,0)</f>
        <v>122</v>
      </c>
      <c r="AI126" s="19" t="s">
        <v>176</v>
      </c>
      <c r="AJ126" s="19"/>
      <c r="AK126" s="19" t="s">
        <v>176</v>
      </c>
      <c r="AL126" s="19"/>
      <c r="AM126" s="19"/>
      <c r="AN126" s="24"/>
      <c r="AO126" s="41"/>
    </row>
    <row r="127" spans="30:41">
      <c r="AD127" s="19" t="s">
        <v>371</v>
      </c>
      <c r="AE127" s="19"/>
      <c r="AF127" s="19" t="s">
        <v>371</v>
      </c>
      <c r="AG127" s="19"/>
      <c r="AH127" s="19">
        <f>IF(ISNUMBER(SEARCH($H$27,AI127)), MAX($AH$2:AH126)+1,0)</f>
        <v>123</v>
      </c>
      <c r="AI127" s="19" t="s">
        <v>371</v>
      </c>
      <c r="AJ127" s="19"/>
      <c r="AK127" s="19" t="s">
        <v>371</v>
      </c>
      <c r="AL127" s="19"/>
      <c r="AM127" s="19"/>
      <c r="AN127" s="24"/>
      <c r="AO127" s="41"/>
    </row>
    <row r="128" spans="30:41">
      <c r="AD128" s="19" t="s">
        <v>305</v>
      </c>
      <c r="AE128" s="19"/>
      <c r="AF128" s="19" t="s">
        <v>305</v>
      </c>
      <c r="AG128" s="19"/>
      <c r="AH128" s="19">
        <f>IF(ISNUMBER(SEARCH($H$27,AI128)), MAX($AH$2:AH127)+1,0)</f>
        <v>124</v>
      </c>
      <c r="AI128" s="19" t="s">
        <v>305</v>
      </c>
      <c r="AJ128" s="19"/>
      <c r="AK128" s="19" t="s">
        <v>305</v>
      </c>
      <c r="AL128" s="19"/>
      <c r="AM128" s="19"/>
      <c r="AN128" s="24"/>
      <c r="AO128" s="41"/>
    </row>
    <row r="129" spans="30:41">
      <c r="AD129" s="19" t="s">
        <v>281</v>
      </c>
      <c r="AE129" s="19"/>
      <c r="AF129" s="19" t="s">
        <v>281</v>
      </c>
      <c r="AG129" s="19"/>
      <c r="AH129" s="19">
        <f>IF(ISNUMBER(SEARCH($H$27,AI129)), MAX($AH$2:AH128)+1,0)</f>
        <v>125</v>
      </c>
      <c r="AI129" s="19" t="s">
        <v>281</v>
      </c>
      <c r="AJ129" s="19"/>
      <c r="AK129" s="19" t="s">
        <v>281</v>
      </c>
      <c r="AL129" s="19"/>
      <c r="AM129" s="19"/>
      <c r="AN129" s="24"/>
      <c r="AO129" s="41"/>
    </row>
    <row r="130" spans="30:41">
      <c r="AD130" s="19" t="s">
        <v>264</v>
      </c>
      <c r="AE130" s="19"/>
      <c r="AF130" s="19" t="s">
        <v>264</v>
      </c>
      <c r="AG130" s="19"/>
      <c r="AH130" s="19">
        <f>IF(ISNUMBER(SEARCH($H$27,AI130)), MAX($AH$2:AH129)+1,0)</f>
        <v>126</v>
      </c>
      <c r="AI130" s="19" t="s">
        <v>264</v>
      </c>
      <c r="AJ130" s="19"/>
      <c r="AK130" s="19" t="s">
        <v>264</v>
      </c>
      <c r="AL130" s="19"/>
      <c r="AM130" s="19"/>
      <c r="AN130" s="24"/>
      <c r="AO130" s="41"/>
    </row>
    <row r="131" spans="30:41">
      <c r="AD131" s="19" t="s">
        <v>177</v>
      </c>
      <c r="AE131" s="19"/>
      <c r="AF131" s="19" t="s">
        <v>177</v>
      </c>
      <c r="AG131" s="19"/>
      <c r="AH131" s="19">
        <f>IF(ISNUMBER(SEARCH($H$27,AI131)), MAX($AH$2:AH130)+1,0)</f>
        <v>127</v>
      </c>
      <c r="AI131" s="19" t="s">
        <v>177</v>
      </c>
      <c r="AJ131" s="19"/>
      <c r="AK131" s="19" t="s">
        <v>177</v>
      </c>
      <c r="AL131" s="19"/>
      <c r="AM131" s="19"/>
      <c r="AN131" s="24"/>
      <c r="AO131" s="41"/>
    </row>
    <row r="132" spans="30:41">
      <c r="AD132" s="19" t="s">
        <v>274</v>
      </c>
      <c r="AE132" s="19"/>
      <c r="AF132" s="19" t="s">
        <v>274</v>
      </c>
      <c r="AG132" s="19"/>
      <c r="AH132" s="19">
        <f>IF(ISNUMBER(SEARCH($H$27,AI132)), MAX($AH$2:AH131)+1,0)</f>
        <v>128</v>
      </c>
      <c r="AI132" s="19" t="s">
        <v>274</v>
      </c>
      <c r="AJ132" s="19"/>
      <c r="AK132" s="19" t="s">
        <v>274</v>
      </c>
      <c r="AL132" s="19"/>
      <c r="AM132" s="19"/>
      <c r="AN132" s="24"/>
      <c r="AO132" s="41"/>
    </row>
    <row r="133" spans="30:41">
      <c r="AD133" s="19"/>
      <c r="AE133" s="19"/>
      <c r="AF133" s="19"/>
      <c r="AG133" s="19"/>
      <c r="AH133" s="19">
        <f>IF(ISNUMBER(SEARCH($H$27,AI133)), MAX($AH$2:AH132)+1,0)</f>
        <v>0</v>
      </c>
      <c r="AI133" s="19"/>
      <c r="AJ133" s="19"/>
      <c r="AK133" s="19"/>
      <c r="AL133" s="19"/>
      <c r="AM133" s="19"/>
      <c r="AN133" s="24"/>
      <c r="AO133" s="41"/>
    </row>
    <row r="134" spans="30:41">
      <c r="AD134" s="19"/>
      <c r="AE134" s="19"/>
      <c r="AF134" s="19"/>
      <c r="AG134" s="19"/>
      <c r="AH134" s="19"/>
      <c r="AI134" s="19"/>
      <c r="AJ134" s="19"/>
      <c r="AK134" s="19"/>
      <c r="AL134" s="19"/>
      <c r="AM134" s="19"/>
      <c r="AN134" s="24"/>
      <c r="AO134" s="41"/>
    </row>
    <row r="135" spans="30:41">
      <c r="AD135" s="19"/>
      <c r="AE135" s="19"/>
      <c r="AF135" s="19"/>
      <c r="AG135" s="19"/>
      <c r="AH135" s="19"/>
      <c r="AI135" s="19"/>
      <c r="AJ135" s="19"/>
      <c r="AK135" s="19"/>
      <c r="AL135" s="19"/>
      <c r="AM135" s="19"/>
      <c r="AN135" s="24"/>
      <c r="AO135" s="41"/>
    </row>
    <row r="136" spans="30:41">
      <c r="AD136" s="19"/>
      <c r="AE136" s="19"/>
      <c r="AF136" s="19"/>
      <c r="AG136" s="19"/>
      <c r="AH136" s="19"/>
      <c r="AI136" s="19"/>
      <c r="AJ136" s="19"/>
      <c r="AK136" s="19"/>
      <c r="AL136" s="19"/>
      <c r="AM136" s="19"/>
      <c r="AN136" s="24"/>
      <c r="AO136" s="41"/>
    </row>
    <row r="137" spans="30:41">
      <c r="AD137" s="19"/>
      <c r="AE137" s="19"/>
      <c r="AF137" s="19"/>
      <c r="AG137" s="19"/>
      <c r="AH137" s="19"/>
      <c r="AI137" s="19"/>
      <c r="AJ137" s="19"/>
      <c r="AK137" s="19"/>
      <c r="AL137" s="19"/>
      <c r="AM137" s="19"/>
      <c r="AN137" s="24"/>
      <c r="AO137" s="41"/>
    </row>
    <row r="138" spans="30:41">
      <c r="AD138" s="24"/>
      <c r="AE138" s="24"/>
      <c r="AF138" s="24"/>
      <c r="AG138" s="24"/>
      <c r="AH138" s="24"/>
      <c r="AI138" s="24"/>
      <c r="AJ138" s="24"/>
      <c r="AK138" s="24"/>
      <c r="AL138" s="24"/>
      <c r="AM138" s="24"/>
      <c r="AN138" s="24"/>
      <c r="AO138" s="41"/>
    </row>
    <row r="139" spans="30:41">
      <c r="AD139" s="24"/>
      <c r="AE139" s="24"/>
      <c r="AF139" s="24"/>
      <c r="AG139" s="24"/>
      <c r="AH139" s="24"/>
      <c r="AI139" s="24"/>
      <c r="AJ139" s="24"/>
      <c r="AK139" s="24"/>
      <c r="AL139" s="24"/>
      <c r="AM139" s="24"/>
      <c r="AN139" s="24"/>
      <c r="AO139" s="41"/>
    </row>
    <row r="140" spans="30:41">
      <c r="AD140" s="24"/>
      <c r="AE140" s="24"/>
      <c r="AF140" s="24"/>
      <c r="AG140" s="24"/>
      <c r="AH140" s="24"/>
      <c r="AI140" s="24"/>
      <c r="AJ140" s="24"/>
      <c r="AK140" s="24"/>
      <c r="AL140" s="24"/>
      <c r="AM140" s="24"/>
      <c r="AN140" s="24"/>
      <c r="AO140" s="41"/>
    </row>
    <row r="141" spans="30:41">
      <c r="AD141" s="24"/>
      <c r="AE141" s="24"/>
      <c r="AF141" s="24"/>
      <c r="AG141" s="24"/>
      <c r="AH141" s="24"/>
      <c r="AI141" s="24"/>
      <c r="AJ141" s="24"/>
      <c r="AK141" s="24"/>
      <c r="AL141" s="24"/>
      <c r="AM141" s="24"/>
      <c r="AN141" s="24"/>
      <c r="AO141" s="41"/>
    </row>
    <row r="142" spans="30:41">
      <c r="AD142" s="24"/>
      <c r="AE142" s="24"/>
      <c r="AF142" s="24"/>
      <c r="AG142" s="24"/>
      <c r="AH142" s="24"/>
      <c r="AI142" s="24"/>
      <c r="AJ142" s="24"/>
      <c r="AK142" s="24"/>
      <c r="AL142" s="24"/>
      <c r="AM142" s="24"/>
      <c r="AN142" s="24"/>
      <c r="AO142" s="41"/>
    </row>
    <row r="143" spans="30:41">
      <c r="AD143" s="41"/>
      <c r="AE143" s="41"/>
      <c r="AF143" s="41"/>
      <c r="AG143" s="41"/>
      <c r="AH143" s="41"/>
      <c r="AI143" s="41"/>
      <c r="AJ143" s="41"/>
      <c r="AK143" s="41"/>
      <c r="AL143" s="41"/>
      <c r="AM143" s="41"/>
      <c r="AN143" s="41"/>
      <c r="AO143" s="41"/>
    </row>
    <row r="144" spans="30:41">
      <c r="AD144" s="41"/>
      <c r="AE144" s="41"/>
      <c r="AF144" s="41"/>
      <c r="AG144" s="41"/>
      <c r="AH144" s="41"/>
      <c r="AI144" s="41"/>
      <c r="AJ144" s="41"/>
      <c r="AK144" s="41"/>
      <c r="AL144" s="41"/>
      <c r="AM144" s="41"/>
      <c r="AN144" s="41"/>
      <c r="AO144" s="41"/>
    </row>
    <row r="145" spans="30:41">
      <c r="AD145" s="41"/>
      <c r="AE145" s="41"/>
      <c r="AF145" s="41"/>
      <c r="AG145" s="41"/>
      <c r="AH145" s="41"/>
      <c r="AI145" s="41"/>
      <c r="AJ145" s="41"/>
      <c r="AK145" s="41"/>
      <c r="AL145" s="41"/>
      <c r="AM145" s="41"/>
      <c r="AN145" s="41"/>
      <c r="AO145" s="41"/>
    </row>
    <row r="146" spans="30:41">
      <c r="AD146" s="41"/>
      <c r="AE146" s="41"/>
      <c r="AF146" s="41"/>
      <c r="AG146" s="41"/>
      <c r="AH146" s="41"/>
      <c r="AI146" s="41"/>
      <c r="AJ146" s="41"/>
      <c r="AK146" s="41"/>
      <c r="AL146" s="41"/>
      <c r="AM146" s="41"/>
      <c r="AN146" s="41"/>
      <c r="AO146" s="41"/>
    </row>
    <row r="147" spans="30:41">
      <c r="AD147" s="41"/>
      <c r="AE147" s="41"/>
      <c r="AF147" s="41"/>
      <c r="AG147" s="41"/>
      <c r="AH147" s="41"/>
      <c r="AI147" s="41"/>
      <c r="AJ147" s="41"/>
      <c r="AK147" s="41"/>
      <c r="AL147" s="41"/>
      <c r="AM147" s="41"/>
      <c r="AN147" s="41"/>
      <c r="AO147" s="41"/>
    </row>
    <row r="148" spans="30:41">
      <c r="AD148" s="41"/>
      <c r="AE148" s="41"/>
      <c r="AF148" s="41"/>
      <c r="AG148" s="41"/>
      <c r="AH148" s="41"/>
      <c r="AI148" s="41"/>
      <c r="AJ148" s="41"/>
      <c r="AK148" s="41"/>
      <c r="AL148" s="41"/>
      <c r="AM148" s="41"/>
      <c r="AN148" s="41"/>
      <c r="AO148" s="41"/>
    </row>
    <row r="149" spans="30:41">
      <c r="AD149" s="41"/>
      <c r="AE149" s="41"/>
      <c r="AF149" s="41"/>
      <c r="AG149" s="41"/>
      <c r="AH149" s="41"/>
      <c r="AI149" s="41"/>
      <c r="AJ149" s="41"/>
      <c r="AK149" s="41"/>
      <c r="AL149" s="41"/>
      <c r="AM149" s="41"/>
      <c r="AN149" s="41"/>
      <c r="AO149" s="41"/>
    </row>
    <row r="150" spans="30:41">
      <c r="AD150" s="41"/>
      <c r="AE150" s="41"/>
      <c r="AF150" s="41"/>
      <c r="AG150" s="41"/>
      <c r="AH150" s="41"/>
      <c r="AI150" s="41"/>
      <c r="AJ150" s="41"/>
      <c r="AK150" s="41"/>
      <c r="AL150" s="41"/>
      <c r="AM150" s="41"/>
      <c r="AN150" s="41"/>
      <c r="AO150" s="41"/>
    </row>
    <row r="151" spans="30:41">
      <c r="AD151" s="41"/>
      <c r="AE151" s="41"/>
      <c r="AF151" s="41"/>
      <c r="AG151" s="41"/>
      <c r="AH151" s="41"/>
      <c r="AI151" s="41"/>
      <c r="AJ151" s="41"/>
      <c r="AK151" s="41"/>
      <c r="AL151" s="41"/>
      <c r="AM151" s="41"/>
      <c r="AN151" s="41"/>
      <c r="AO151" s="41"/>
    </row>
    <row r="152" spans="30:41">
      <c r="AD152" s="41"/>
      <c r="AE152" s="41"/>
      <c r="AF152" s="41"/>
      <c r="AG152" s="41"/>
      <c r="AH152" s="41"/>
      <c r="AI152" s="41"/>
      <c r="AJ152" s="41"/>
      <c r="AK152" s="41"/>
      <c r="AL152" s="41"/>
      <c r="AM152" s="41"/>
      <c r="AN152" s="41"/>
      <c r="AO152" s="41"/>
    </row>
    <row r="153" spans="30:41">
      <c r="AD153" s="41"/>
      <c r="AE153" s="41"/>
      <c r="AF153" s="41"/>
      <c r="AG153" s="41"/>
      <c r="AH153" s="41"/>
      <c r="AI153" s="41"/>
      <c r="AJ153" s="41"/>
      <c r="AK153" s="41"/>
      <c r="AL153" s="41"/>
      <c r="AM153" s="41"/>
      <c r="AN153" s="41"/>
      <c r="AO153" s="41"/>
    </row>
    <row r="154" spans="30:41">
      <c r="AD154" s="41"/>
      <c r="AE154" s="41"/>
      <c r="AF154" s="41"/>
      <c r="AG154" s="41"/>
      <c r="AH154" s="41"/>
      <c r="AI154" s="41"/>
      <c r="AJ154" s="41"/>
      <c r="AK154" s="41"/>
      <c r="AL154" s="41"/>
      <c r="AM154" s="41"/>
      <c r="AN154" s="41"/>
      <c r="AO154" s="41"/>
    </row>
    <row r="155" spans="30:41">
      <c r="AD155" s="41"/>
      <c r="AE155" s="41"/>
      <c r="AF155" s="41"/>
      <c r="AG155" s="41"/>
      <c r="AH155" s="41"/>
      <c r="AI155" s="41"/>
      <c r="AJ155" s="41"/>
      <c r="AK155" s="41"/>
      <c r="AL155" s="41"/>
      <c r="AM155" s="41"/>
      <c r="AN155" s="41"/>
      <c r="AO155" s="41"/>
    </row>
    <row r="156" spans="30:41">
      <c r="AD156" s="41"/>
      <c r="AE156" s="41"/>
      <c r="AF156" s="41"/>
      <c r="AG156" s="41"/>
      <c r="AH156" s="41"/>
      <c r="AI156" s="41"/>
      <c r="AJ156" s="41"/>
      <c r="AK156" s="41"/>
      <c r="AL156" s="41"/>
      <c r="AM156" s="41"/>
      <c r="AN156" s="41"/>
      <c r="AO156" s="41"/>
    </row>
    <row r="157" spans="30:41">
      <c r="AD157" s="41"/>
      <c r="AE157" s="41"/>
      <c r="AF157" s="41"/>
      <c r="AG157" s="41"/>
      <c r="AH157" s="41"/>
      <c r="AI157" s="41"/>
      <c r="AJ157" s="41"/>
      <c r="AK157" s="41"/>
      <c r="AL157" s="41"/>
      <c r="AM157" s="41"/>
      <c r="AN157" s="41"/>
      <c r="AO157" s="41"/>
    </row>
    <row r="158" spans="30:41">
      <c r="AD158" s="41"/>
      <c r="AE158" s="41"/>
      <c r="AF158" s="41"/>
      <c r="AG158" s="41"/>
      <c r="AH158" s="41"/>
      <c r="AI158" s="41"/>
      <c r="AJ158" s="41"/>
      <c r="AK158" s="41"/>
      <c r="AL158" s="41"/>
      <c r="AM158" s="41"/>
      <c r="AN158" s="41"/>
      <c r="AO158" s="41"/>
    </row>
    <row r="159" spans="30:41">
      <c r="AD159" s="41"/>
      <c r="AE159" s="41"/>
      <c r="AF159" s="41"/>
      <c r="AG159" s="41"/>
      <c r="AH159" s="41"/>
      <c r="AI159" s="41"/>
      <c r="AJ159" s="41"/>
      <c r="AK159" s="41"/>
      <c r="AL159" s="41"/>
      <c r="AM159" s="41"/>
      <c r="AN159" s="41"/>
      <c r="AO159" s="41"/>
    </row>
    <row r="160" spans="30:41">
      <c r="AD160" s="41"/>
      <c r="AE160" s="41"/>
      <c r="AF160" s="41"/>
      <c r="AG160" s="41"/>
      <c r="AH160" s="41"/>
      <c r="AI160" s="41"/>
      <c r="AJ160" s="41"/>
      <c r="AK160" s="41"/>
      <c r="AL160" s="41"/>
      <c r="AM160" s="41"/>
      <c r="AN160" s="41"/>
      <c r="AO160" s="41"/>
    </row>
    <row r="161" spans="30:41">
      <c r="AD161" s="41"/>
      <c r="AE161" s="41"/>
      <c r="AF161" s="41"/>
      <c r="AG161" s="41"/>
      <c r="AH161" s="41"/>
      <c r="AI161" s="41"/>
      <c r="AJ161" s="41"/>
      <c r="AK161" s="41"/>
      <c r="AL161" s="41"/>
      <c r="AM161" s="41"/>
      <c r="AN161" s="41"/>
      <c r="AO161" s="41"/>
    </row>
    <row r="162" spans="30:41">
      <c r="AD162" s="41"/>
      <c r="AE162" s="41"/>
      <c r="AF162" s="41"/>
      <c r="AG162" s="41"/>
      <c r="AH162" s="41"/>
      <c r="AI162" s="41"/>
      <c r="AJ162" s="41"/>
      <c r="AK162" s="41"/>
      <c r="AL162" s="41"/>
      <c r="AM162" s="41"/>
      <c r="AN162" s="41"/>
      <c r="AO162" s="41"/>
    </row>
    <row r="163" spans="30:41">
      <c r="AD163" s="41"/>
      <c r="AE163" s="41"/>
      <c r="AF163" s="41"/>
      <c r="AG163" s="41"/>
      <c r="AH163" s="41"/>
      <c r="AI163" s="41"/>
      <c r="AJ163" s="41"/>
      <c r="AK163" s="41"/>
      <c r="AL163" s="41"/>
      <c r="AM163" s="41"/>
      <c r="AN163" s="41"/>
      <c r="AO163" s="41"/>
    </row>
    <row r="164" spans="30:41">
      <c r="AD164" s="41"/>
      <c r="AE164" s="41"/>
      <c r="AF164" s="41"/>
      <c r="AG164" s="41"/>
      <c r="AH164" s="41"/>
      <c r="AI164" s="41"/>
      <c r="AJ164" s="41"/>
      <c r="AK164" s="41"/>
      <c r="AL164" s="41"/>
      <c r="AM164" s="41"/>
      <c r="AN164" s="41"/>
      <c r="AO164" s="41"/>
    </row>
    <row r="165" spans="30:41">
      <c r="AD165" s="41"/>
      <c r="AE165" s="41"/>
      <c r="AF165" s="41"/>
      <c r="AG165" s="41"/>
      <c r="AH165" s="41"/>
      <c r="AI165" s="41"/>
      <c r="AJ165" s="41"/>
      <c r="AK165" s="41"/>
      <c r="AL165" s="41"/>
      <c r="AM165" s="41"/>
      <c r="AN165" s="41"/>
      <c r="AO165" s="41"/>
    </row>
    <row r="166" spans="30:41">
      <c r="AD166" s="41"/>
      <c r="AE166" s="41"/>
      <c r="AF166" s="41"/>
      <c r="AG166" s="41"/>
      <c r="AH166" s="41"/>
      <c r="AI166" s="41"/>
      <c r="AJ166" s="41"/>
      <c r="AK166" s="41"/>
      <c r="AL166" s="41"/>
      <c r="AM166" s="41"/>
      <c r="AN166" s="41"/>
      <c r="AO166" s="41"/>
    </row>
    <row r="167" spans="30:41">
      <c r="AD167" s="41"/>
      <c r="AE167" s="41"/>
      <c r="AF167" s="41"/>
      <c r="AG167" s="41"/>
      <c r="AH167" s="41"/>
      <c r="AI167" s="41"/>
      <c r="AJ167" s="41"/>
      <c r="AK167" s="41"/>
      <c r="AL167" s="41"/>
      <c r="AM167" s="41"/>
      <c r="AN167" s="41"/>
      <c r="AO167" s="41"/>
    </row>
    <row r="168" spans="30:41">
      <c r="AD168" s="41"/>
      <c r="AE168" s="41"/>
      <c r="AF168" s="41"/>
      <c r="AG168" s="41"/>
      <c r="AH168" s="41"/>
      <c r="AI168" s="41"/>
      <c r="AJ168" s="41"/>
      <c r="AK168" s="41"/>
      <c r="AL168" s="41"/>
      <c r="AM168" s="41"/>
      <c r="AN168" s="41"/>
      <c r="AO168" s="41"/>
    </row>
    <row r="169" spans="30:41">
      <c r="AD169" s="41"/>
      <c r="AE169" s="41"/>
      <c r="AF169" s="41"/>
      <c r="AG169" s="41"/>
      <c r="AH169" s="41"/>
      <c r="AI169" s="41"/>
      <c r="AJ169" s="41"/>
      <c r="AK169" s="41"/>
      <c r="AL169" s="41"/>
      <c r="AM169" s="41"/>
      <c r="AN169" s="41"/>
      <c r="AO169" s="41"/>
    </row>
    <row r="170" spans="30:41">
      <c r="AD170" s="41"/>
      <c r="AE170" s="41"/>
      <c r="AF170" s="41"/>
      <c r="AG170" s="41"/>
      <c r="AH170" s="41"/>
      <c r="AI170" s="41"/>
      <c r="AJ170" s="41"/>
      <c r="AK170" s="41"/>
      <c r="AL170" s="41"/>
      <c r="AM170" s="41"/>
      <c r="AN170" s="41"/>
      <c r="AO170" s="41"/>
    </row>
    <row r="171" spans="30:41">
      <c r="AD171" s="41"/>
      <c r="AE171" s="41"/>
      <c r="AF171" s="41"/>
      <c r="AG171" s="41"/>
      <c r="AH171" s="41"/>
      <c r="AI171" s="41"/>
      <c r="AJ171" s="41"/>
      <c r="AK171" s="41"/>
      <c r="AL171" s="41"/>
      <c r="AM171" s="41"/>
      <c r="AN171" s="41"/>
      <c r="AO171" s="41"/>
    </row>
  </sheetData>
  <sheetProtection algorithmName="SHA-512" hashValue="mPxFyDKIL1rG6sT71fT14HyyJGQ3nm5P+YZTfPvZ8mBcmEoHDfgc3oOyxPKQnXVEO0Su6cspPPRbIiMDdyJ6Xg==" saltValue="gIDa0VHjXel1Fxf4x1/yRw==" spinCount="100000" sheet="1" selectLockedCells="1"/>
  <customSheetViews>
    <customSheetView guid="{C17C9B4A-0866-4AA0-BC6D-B2274E9D30D3}" showGridLines="0" fitToPage="1" topLeftCell="A7">
      <selection activeCell="H25" sqref="H25:M25"/>
      <pageMargins left="0.7" right="0.7" top="0.5" bottom="0.5" header="0.3" footer="0.3"/>
      <pageSetup scale="88" fitToHeight="0" orientation="landscape" r:id="rId1"/>
    </customSheetView>
    <customSheetView guid="{6FDBC1BF-99FD-492F-9A38-B1FC9531BD14}" showGridLines="0" fitToPage="1" topLeftCell="A7">
      <selection activeCell="H25" sqref="H25:M25"/>
      <pageMargins left="0.7" right="0.7" top="0.5" bottom="0.5" header="0.3" footer="0.3"/>
      <pageSetup scale="88" fitToHeight="0" orientation="landscape" r:id="rId2"/>
    </customSheetView>
  </customSheetViews>
  <mergeCells count="38">
    <mergeCell ref="E21:G21"/>
    <mergeCell ref="E23:G23"/>
    <mergeCell ref="E25:G25"/>
    <mergeCell ref="E27:G27"/>
    <mergeCell ref="F28:H28"/>
    <mergeCell ref="H25:M25"/>
    <mergeCell ref="H30:M30"/>
    <mergeCell ref="E30:G30"/>
    <mergeCell ref="F32:G32"/>
    <mergeCell ref="H32:M32"/>
    <mergeCell ref="E33:G33"/>
    <mergeCell ref="H33:M33"/>
    <mergeCell ref="D2:L2"/>
    <mergeCell ref="B4:N4"/>
    <mergeCell ref="B6:N6"/>
    <mergeCell ref="D12:M12"/>
    <mergeCell ref="F14:G14"/>
    <mergeCell ref="D14:E14"/>
    <mergeCell ref="F10:G10"/>
    <mergeCell ref="H10:M10"/>
    <mergeCell ref="C3:N3"/>
    <mergeCell ref="D8:F8"/>
    <mergeCell ref="F17:G17"/>
    <mergeCell ref="H17:J17"/>
    <mergeCell ref="B48:D48"/>
    <mergeCell ref="B47:N47"/>
    <mergeCell ref="B37:N37"/>
    <mergeCell ref="H21:M21"/>
    <mergeCell ref="H23:M23"/>
    <mergeCell ref="F29:G29"/>
    <mergeCell ref="B40:N40"/>
    <mergeCell ref="B46:N46"/>
    <mergeCell ref="C42:E42"/>
    <mergeCell ref="B39:N39"/>
    <mergeCell ref="H27:M27"/>
    <mergeCell ref="D19:G19"/>
    <mergeCell ref="H19:J19"/>
    <mergeCell ref="B36:N36"/>
  </mergeCells>
  <conditionalFormatting sqref="B4:N4">
    <cfRule type="expression" dxfId="1137" priority="7">
      <formula>$B$4="Preliminary Site Visit Report"</formula>
    </cfRule>
  </conditionalFormatting>
  <conditionalFormatting sqref="B6:N6">
    <cfRule type="expression" dxfId="1136" priority="5">
      <formula>$B$4="Preliminary Site Visit Report"</formula>
    </cfRule>
  </conditionalFormatting>
  <conditionalFormatting sqref="B36:N36">
    <cfRule type="expression" dxfId="1135" priority="4">
      <formula>$B$4="Preliminary Site Visit Report"</formula>
    </cfRule>
  </conditionalFormatting>
  <conditionalFormatting sqref="B37:N37">
    <cfRule type="expression" dxfId="1134" priority="3">
      <formula>$B$4="Preliminary Site Visit Report"</formula>
    </cfRule>
  </conditionalFormatting>
  <conditionalFormatting sqref="D2:L2">
    <cfRule type="expression" dxfId="1133" priority="6">
      <formula>$B$4="Preliminary Site Visit Report"</formula>
    </cfRule>
  </conditionalFormatting>
  <conditionalFormatting sqref="D8:N8">
    <cfRule type="expression" dxfId="1132" priority="1">
      <formula>$D8="Paramedic"</formula>
    </cfRule>
    <cfRule type="expression" dxfId="1131" priority="2">
      <formula>$D8="AEMT"</formula>
    </cfRule>
  </conditionalFormatting>
  <dataValidations count="6">
    <dataValidation type="list" allowBlank="1" showInputMessage="1" showErrorMessage="1" sqref="H33:M33" xr:uid="{00000000-0002-0000-0100-000002000000}">
      <formula1>"State Office of EMS, CoAEMSP Board Member, CoAEMSP Staff"</formula1>
    </dataValidation>
    <dataValidation type="list" allowBlank="1" showInputMessage="1" showErrorMessage="1" sqref="H19:J19" xr:uid="{00000000-0002-0000-0100-000005000000}">
      <formula1>"Please Select, Yes, No"</formula1>
    </dataValidation>
    <dataValidation type="list" allowBlank="1" showInputMessage="1" showErrorMessage="1" sqref="B4:N4" xr:uid="{00000000-0002-0000-0100-000006000000}">
      <formula1>"Preliminary Site Visit Report,Site Visit Report"</formula1>
    </dataValidation>
    <dataValidation type="list" allowBlank="1" showInputMessage="1" showErrorMessage="1" sqref="H10:M10" xr:uid="{00000000-0002-0000-0100-000007000000}">
      <formula1>"Seeking the CoAEMSP Letter of Review (LoR), Initial Accreditation, Continuing Accreditation"</formula1>
    </dataValidation>
    <dataValidation type="list" allowBlank="1" showInputMessage="1" showErrorMessage="1" sqref="H14" xr:uid="{864D675F-49FC-4758-AF14-3B9A8F29C70C}">
      <formula1>"AK, AL, AR, AZ, CA, CO, CT, DC, DE, FL, GA, HI, IA, ID, IL, IN, KS, KY, LA, MA, MD, ME, MI, MN, MO, MS, MT, NC, ND, NE, NH, NJ, NM, NV, NY, OH, OK, OR, PA, RI, SC, SD, TN, TX, UT, VA, VT, WA, WI, WV, WY"</formula1>
    </dataValidation>
    <dataValidation type="list" allowBlank="1" showInputMessage="1" showErrorMessage="1" sqref="D8" xr:uid="{A1CA2CB4-64AC-4A1B-909E-1DB078D33601}">
      <formula1>"Please Select,AEMT, Paramedic"</formula1>
    </dataValidation>
  </dataValidations>
  <hyperlinks>
    <hyperlink ref="C44" r:id="rId3" display="mailto:jennifer@coaemsp.org" xr:uid="{00000000-0004-0000-0100-000000000000}"/>
  </hyperlinks>
  <pageMargins left="0.7" right="0.7" top="0.5" bottom="0.5" header="0.3" footer="0.3"/>
  <pageSetup scale="81" fitToHeight="0" orientation="landscape" r:id="rId4"/>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sheetPr>
  <dimension ref="B1:DA379"/>
  <sheetViews>
    <sheetView showGridLines="0" zoomScale="80" zoomScaleNormal="80" workbookViewId="0">
      <pane ySplit="6" topLeftCell="A7" activePane="bottomLeft" state="frozen"/>
      <selection activeCell="B35" sqref="B35:N38"/>
      <selection pane="bottomLeft" activeCell="G17" sqref="G17"/>
    </sheetView>
  </sheetViews>
  <sheetFormatPr defaultColWidth="8.875" defaultRowHeight="14.25"/>
  <cols>
    <col min="1" max="1" width="3.625" customWidth="1"/>
    <col min="2" max="2" width="12.625" customWidth="1"/>
    <col min="3" max="3" width="13.625" customWidth="1"/>
    <col min="4" max="4" width="5.625" customWidth="1"/>
    <col min="5" max="5" width="13.625" customWidth="1"/>
    <col min="6" max="6" width="12.625" customWidth="1"/>
    <col min="7" max="7" width="10.625" customWidth="1"/>
    <col min="8" max="8" width="7.125" customWidth="1"/>
    <col min="9" max="9" width="35.625" customWidth="1"/>
    <col min="10" max="10" width="18.625" customWidth="1"/>
    <col min="11" max="11" width="15.625" customWidth="1"/>
    <col min="12" max="12" width="17.625" customWidth="1"/>
    <col min="13" max="13" width="15.625" style="19" customWidth="1"/>
    <col min="14" max="14" width="12.625" style="19" customWidth="1"/>
    <col min="15" max="15" width="10.625" style="19" customWidth="1"/>
    <col min="16" max="16" width="8.625" style="19" customWidth="1"/>
    <col min="17" max="17" width="12.625" style="41" customWidth="1"/>
    <col min="18" max="18" width="10.625" style="19" customWidth="1"/>
    <col min="19" max="19" width="8.625" style="19" customWidth="1"/>
    <col min="20" max="20" width="12.625" style="19" customWidth="1"/>
    <col min="21" max="21" width="10.625" style="19" customWidth="1"/>
    <col min="22" max="22" width="8.625" style="19" customWidth="1"/>
    <col min="23" max="23" width="12.625" style="19" customWidth="1"/>
    <col min="24" max="24" width="10.625" style="19" customWidth="1"/>
    <col min="25" max="25" width="8.625" style="19" customWidth="1"/>
    <col min="26" max="26" width="12.625" style="19" customWidth="1"/>
    <col min="27" max="27" width="10.625" style="19" customWidth="1"/>
    <col min="28" max="28" width="8.625" style="19" customWidth="1"/>
    <col min="29" max="29" width="12.625" style="19" customWidth="1"/>
    <col min="30" max="30" width="10.625" style="19" customWidth="1"/>
    <col min="31" max="31" width="8.625" style="19" customWidth="1"/>
    <col min="32" max="105" width="8.875" style="19"/>
  </cols>
  <sheetData>
    <row r="1" spans="2:105" ht="7.5" customHeight="1">
      <c r="I1" s="1"/>
      <c r="J1" s="1"/>
    </row>
    <row r="2" spans="2:105" ht="50.1" customHeight="1">
      <c r="B2" s="698" t="str">
        <f>IF('Cover Page'!B4="Preliminary Site Visit Report","PRELIMINARY SITE VISIT REPORT FINDINGS","    SITE VISIT REPORT FINDINGS")</f>
        <v xml:space="preserve">    SITE VISIT REPORT FINDINGS</v>
      </c>
      <c r="C2" s="699"/>
      <c r="D2" s="699"/>
      <c r="E2" s="699"/>
      <c r="F2" s="699"/>
      <c r="G2" s="699"/>
      <c r="H2" s="699"/>
      <c r="I2" s="699"/>
      <c r="J2" s="699"/>
      <c r="K2" s="699"/>
      <c r="L2" s="700"/>
      <c r="N2" s="15"/>
    </row>
    <row r="3" spans="2:105" ht="29.1" customHeight="1">
      <c r="B3" s="168"/>
      <c r="C3" s="169"/>
      <c r="D3" s="169"/>
      <c r="E3" s="170">
        <f>'Cover Page'!D10</f>
        <v>0</v>
      </c>
      <c r="F3" s="554">
        <f>'Cover Page'!D12</f>
        <v>0</v>
      </c>
      <c r="G3" s="554"/>
      <c r="H3" s="554"/>
      <c r="I3" s="554"/>
      <c r="J3" s="554"/>
      <c r="K3" s="554"/>
      <c r="L3" s="171"/>
    </row>
    <row r="4" spans="2:105" ht="24" customHeight="1">
      <c r="B4" s="570" t="s">
        <v>599</v>
      </c>
      <c r="C4" s="571"/>
      <c r="D4" s="571"/>
      <c r="E4" s="571"/>
      <c r="F4" s="571"/>
      <c r="G4" s="571"/>
      <c r="H4" s="571"/>
      <c r="I4" s="571"/>
      <c r="J4" s="571"/>
      <c r="K4" s="571"/>
      <c r="L4" s="572"/>
    </row>
    <row r="5" spans="2:105" s="2" customFormat="1" ht="30.75" customHeight="1">
      <c r="B5" s="172" t="s">
        <v>103</v>
      </c>
      <c r="C5" s="578" t="s">
        <v>576</v>
      </c>
      <c r="D5" s="578"/>
      <c r="E5" s="579" t="s">
        <v>178</v>
      </c>
      <c r="F5" s="579"/>
      <c r="G5" s="579" t="s">
        <v>179</v>
      </c>
      <c r="H5" s="579"/>
      <c r="I5" s="173" t="s">
        <v>180</v>
      </c>
      <c r="J5" s="173" t="s">
        <v>600</v>
      </c>
      <c r="K5" s="574"/>
      <c r="L5" s="575"/>
      <c r="M5" s="53"/>
      <c r="N5" s="53"/>
      <c r="O5" s="53"/>
      <c r="P5" s="53"/>
      <c r="Q5" s="282"/>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row>
    <row r="6" spans="2:105" ht="30" customHeight="1">
      <c r="B6" s="174" t="s">
        <v>10</v>
      </c>
      <c r="C6" s="568" t="s">
        <v>11</v>
      </c>
      <c r="D6" s="568"/>
      <c r="E6" s="568"/>
      <c r="F6" s="568"/>
      <c r="G6" s="175" t="s">
        <v>12</v>
      </c>
      <c r="H6" s="569" t="s">
        <v>292</v>
      </c>
      <c r="I6" s="569"/>
      <c r="J6" s="569" t="s">
        <v>293</v>
      </c>
      <c r="K6" s="569"/>
      <c r="L6" s="585"/>
    </row>
    <row r="7" spans="2:105" s="146" customFormat="1" ht="27" customHeight="1">
      <c r="B7" s="408" t="str">
        <f>IF('Cover Page'!$D$8&lt;&gt;"Please Select",'Cover Page'!$D$8, "Select Program Level on the Cover Page tab")</f>
        <v>Select Program Level on the Cover Page tab</v>
      </c>
      <c r="C7" s="409"/>
      <c r="D7" s="409"/>
      <c r="E7" s="409"/>
      <c r="F7" s="409"/>
      <c r="G7" s="409"/>
      <c r="H7" s="409"/>
      <c r="I7" s="409"/>
      <c r="J7" s="409"/>
      <c r="K7" s="409"/>
      <c r="L7" s="410"/>
      <c r="Q7" s="283"/>
    </row>
    <row r="8" spans="2:105" s="146" customFormat="1" ht="20.25" customHeight="1">
      <c r="B8" s="541" t="s">
        <v>13</v>
      </c>
      <c r="C8" s="542"/>
      <c r="D8" s="542"/>
      <c r="E8" s="542"/>
      <c r="F8" s="542"/>
      <c r="G8" s="542"/>
      <c r="H8" s="542"/>
      <c r="I8" s="542"/>
      <c r="J8" s="542"/>
      <c r="K8" s="542"/>
      <c r="L8" s="543"/>
      <c r="M8" s="147" t="s">
        <v>799</v>
      </c>
      <c r="N8" s="147" t="s">
        <v>800</v>
      </c>
      <c r="O8" s="147" t="s">
        <v>119</v>
      </c>
      <c r="P8" s="147" t="s">
        <v>798</v>
      </c>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7"/>
      <c r="CN8" s="147"/>
      <c r="CO8" s="147"/>
      <c r="CP8" s="147"/>
      <c r="CQ8" s="147"/>
      <c r="CR8" s="147"/>
      <c r="CS8" s="147"/>
      <c r="CT8" s="147"/>
      <c r="CU8" s="147"/>
      <c r="CV8" s="147"/>
      <c r="CW8" s="147"/>
      <c r="CX8" s="147"/>
      <c r="CY8" s="147"/>
      <c r="CZ8" s="147"/>
      <c r="DA8" s="147"/>
    </row>
    <row r="9" spans="2:105" s="146" customFormat="1" ht="20.25" customHeight="1">
      <c r="B9" s="405" t="s">
        <v>601</v>
      </c>
      <c r="C9" s="406"/>
      <c r="D9" s="406"/>
      <c r="E9" s="406"/>
      <c r="F9" s="406"/>
      <c r="G9" s="406"/>
      <c r="H9" s="406"/>
      <c r="I9" s="406"/>
      <c r="J9" s="406"/>
      <c r="K9" s="406"/>
      <c r="L9" s="40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7"/>
      <c r="CN9" s="147"/>
      <c r="CO9" s="147"/>
      <c r="CP9" s="147"/>
      <c r="CQ9" s="147"/>
      <c r="CR9" s="147"/>
      <c r="CS9" s="147"/>
      <c r="CT9" s="147"/>
      <c r="CU9" s="147"/>
      <c r="CV9" s="147"/>
      <c r="CW9" s="147"/>
      <c r="CX9" s="147"/>
      <c r="CY9" s="147"/>
      <c r="CZ9" s="147"/>
      <c r="DA9" s="147"/>
    </row>
    <row r="10" spans="2:105" s="146" customFormat="1" ht="30.75" customHeight="1">
      <c r="B10" s="206" t="s">
        <v>104</v>
      </c>
      <c r="C10" s="581" t="s">
        <v>519</v>
      </c>
      <c r="D10" s="582"/>
      <c r="E10" s="582"/>
      <c r="F10" s="583"/>
      <c r="G10" s="148"/>
      <c r="I10" s="149"/>
      <c r="J10" s="584"/>
      <c r="K10" s="584"/>
      <c r="L10" s="584"/>
      <c r="M10" s="147"/>
      <c r="N10" s="147"/>
      <c r="O10" s="147"/>
      <c r="P10" s="147"/>
      <c r="Q10" s="147"/>
      <c r="R10" s="147"/>
      <c r="S10" s="147"/>
      <c r="T10" s="147"/>
      <c r="U10" s="147"/>
      <c r="V10" s="147"/>
      <c r="W10" s="147"/>
      <c r="X10" s="147"/>
      <c r="Y10" s="147"/>
      <c r="Z10" s="147"/>
      <c r="AA10" s="147" t="s">
        <v>295</v>
      </c>
      <c r="AB10" s="147" t="s">
        <v>296</v>
      </c>
      <c r="AC10" s="147" t="s">
        <v>606</v>
      </c>
      <c r="AD10" s="147" t="s">
        <v>605</v>
      </c>
      <c r="AE10" s="147" t="s">
        <v>298</v>
      </c>
      <c r="AF10" s="147" t="s">
        <v>603</v>
      </c>
      <c r="AG10" s="147" t="s">
        <v>604</v>
      </c>
      <c r="AH10" s="147" t="s">
        <v>607</v>
      </c>
      <c r="AI10" s="147" t="s">
        <v>608</v>
      </c>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47"/>
      <c r="BW10" s="147"/>
      <c r="BX10" s="147"/>
      <c r="BY10" s="147"/>
      <c r="BZ10" s="147"/>
      <c r="CA10" s="147"/>
      <c r="CB10" s="147"/>
      <c r="CC10" s="147"/>
      <c r="CD10" s="147"/>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row>
    <row r="11" spans="2:105" ht="42.75" customHeight="1">
      <c r="B11" s="411" t="s">
        <v>20</v>
      </c>
      <c r="C11" s="590" t="s">
        <v>295</v>
      </c>
      <c r="D11" s="591"/>
      <c r="E11" s="591"/>
      <c r="F11" s="591"/>
      <c r="G11" s="599"/>
      <c r="H11" s="433"/>
      <c r="I11" s="471" t="s">
        <v>729</v>
      </c>
      <c r="J11" s="460"/>
      <c r="K11" s="461"/>
      <c r="L11" s="462"/>
      <c r="Q11" s="19" t="s">
        <v>248</v>
      </c>
    </row>
    <row r="12" spans="2:105" ht="29.1" customHeight="1">
      <c r="B12" s="413"/>
      <c r="C12" s="592"/>
      <c r="D12" s="593"/>
      <c r="E12" s="593"/>
      <c r="F12" s="593"/>
      <c r="G12" s="600"/>
      <c r="H12" s="595"/>
      <c r="I12" s="594"/>
      <c r="J12" s="596"/>
      <c r="K12" s="597"/>
      <c r="L12" s="598"/>
      <c r="Q12" s="19" t="s">
        <v>602</v>
      </c>
    </row>
    <row r="13" spans="2:105" ht="47.25" customHeight="1">
      <c r="B13" s="586" t="str">
        <f>IF(LEFT(C11,5)="I.A.5", "I.A.5", "N/A")</f>
        <v>N/A</v>
      </c>
      <c r="C13" s="587" t="str">
        <f>IF(LEFT(C11,5)="I.A.5", "Entity consisting of 2 or more members with at least one member meets I.A.", "")</f>
        <v/>
      </c>
      <c r="D13" s="587"/>
      <c r="E13" s="587"/>
      <c r="F13" s="587"/>
      <c r="G13" s="589"/>
      <c r="H13" s="294"/>
      <c r="I13" s="295" t="str">
        <f>IF(LEFT(C11,5)="I.A.5","Valid institutional accreditation letter. [All I.A.1 or I.A.3 sponsors]", "")</f>
        <v/>
      </c>
      <c r="J13" s="588"/>
      <c r="K13" s="588"/>
      <c r="L13" s="588"/>
      <c r="Q13" s="19" t="s">
        <v>602</v>
      </c>
    </row>
    <row r="14" spans="2:105" ht="52.5" customHeight="1">
      <c r="B14" s="586"/>
      <c r="C14" s="580" t="str">
        <f>IF(LEFT(C11,5)="I.A.5", "Site Visit Team:  Please complete the Consortium Addendum and the end of the Site Visit Report Findings (this tab).", "")</f>
        <v/>
      </c>
      <c r="D14" s="580"/>
      <c r="E14" s="580"/>
      <c r="F14" s="580"/>
      <c r="G14" s="589"/>
      <c r="H14" s="294"/>
      <c r="I14" s="295" t="str">
        <f>IF(LEFT(C11,5)="I.A.5","Legal authorization to provide postsecondary education 
[All I.A.1, I.A.2, and I.A.3 sponsors]","")</f>
        <v/>
      </c>
      <c r="J14" s="588"/>
      <c r="K14" s="588"/>
      <c r="L14" s="588"/>
      <c r="Q14" s="19"/>
    </row>
    <row r="15" spans="2:105" ht="80.25" customHeight="1">
      <c r="B15" s="316" t="str">
        <f>IF(LEFT(C11,5)="I.A.5", "I.A.5", "N/A")</f>
        <v>N/A</v>
      </c>
      <c r="C15" s="587" t="str">
        <f>IF(LEFT(C11,5)="I.A.5", "Clearly documented with a formal affiliation agreement or memorandum of understanding, including governance and lines of authority", "")</f>
        <v/>
      </c>
      <c r="D15" s="587"/>
      <c r="E15" s="587"/>
      <c r="F15" s="587"/>
      <c r="G15" s="293"/>
      <c r="H15" s="294"/>
      <c r="I15" s="295" t="str">
        <f>IF(LEFT(C11,5)="I.A.5", "Affiliation agreement or Memorandum of Understanding [All I.A.2, I.A.3, I.A.4, and I.A.5 sponsors or I.A.1 sponsors that do not award college credit for the program]", "")</f>
        <v/>
      </c>
      <c r="J15" s="601"/>
      <c r="K15" s="601"/>
      <c r="L15" s="601"/>
      <c r="Q15" s="19" t="s">
        <v>602</v>
      </c>
    </row>
    <row r="16" spans="2:105" ht="20.25" customHeight="1">
      <c r="B16" s="549" t="s">
        <v>609</v>
      </c>
      <c r="C16" s="550"/>
      <c r="D16" s="550"/>
      <c r="E16" s="550"/>
      <c r="F16" s="550"/>
      <c r="G16" s="550"/>
      <c r="H16" s="550"/>
      <c r="I16" s="550"/>
      <c r="J16" s="550"/>
      <c r="K16" s="550"/>
      <c r="L16" s="551"/>
      <c r="Q16" s="19"/>
    </row>
    <row r="17" spans="2:105" ht="37.5" customHeight="1">
      <c r="B17" s="272" t="s">
        <v>610</v>
      </c>
      <c r="C17" s="573" t="s">
        <v>581</v>
      </c>
      <c r="D17" s="573"/>
      <c r="E17" s="573"/>
      <c r="F17" s="573"/>
      <c r="G17" s="273"/>
      <c r="H17" s="192"/>
      <c r="I17" s="193"/>
      <c r="J17" s="561"/>
      <c r="K17" s="562"/>
      <c r="L17" s="563"/>
      <c r="Q17" s="19" t="s">
        <v>614</v>
      </c>
    </row>
    <row r="18" spans="2:105" ht="54" customHeight="1">
      <c r="B18" s="272" t="s">
        <v>611</v>
      </c>
      <c r="C18" s="573" t="s">
        <v>613</v>
      </c>
      <c r="D18" s="573"/>
      <c r="E18" s="573"/>
      <c r="F18" s="573"/>
      <c r="G18" s="273"/>
      <c r="H18" s="192"/>
      <c r="I18" s="193" t="s">
        <v>797</v>
      </c>
      <c r="J18" s="561"/>
      <c r="K18" s="562"/>
      <c r="L18" s="563"/>
      <c r="Q18" s="19" t="s">
        <v>615</v>
      </c>
    </row>
    <row r="19" spans="2:105" ht="62.25" customHeight="1">
      <c r="B19" s="207" t="s">
        <v>612</v>
      </c>
      <c r="C19" s="573" t="s">
        <v>685</v>
      </c>
      <c r="D19" s="573"/>
      <c r="E19" s="573"/>
      <c r="F19" s="573"/>
      <c r="G19" s="273"/>
      <c r="H19" s="192"/>
      <c r="I19" s="193" t="s">
        <v>796</v>
      </c>
      <c r="J19" s="561"/>
      <c r="K19" s="562"/>
      <c r="L19" s="563"/>
      <c r="Q19" s="19" t="s">
        <v>616</v>
      </c>
    </row>
    <row r="20" spans="2:105" s="146" customFormat="1" ht="27" customHeight="1">
      <c r="B20" s="408" t="str">
        <f>IF('Cover Page'!$D$8&lt;&gt;"Please Select",'Cover Page'!$D$8, "Select Program Level on the Cover Page tab")</f>
        <v>Select Program Level on the Cover Page tab</v>
      </c>
      <c r="C20" s="409"/>
      <c r="D20" s="409"/>
      <c r="E20" s="409"/>
      <c r="F20" s="409"/>
      <c r="G20" s="409"/>
      <c r="H20" s="409"/>
      <c r="I20" s="409"/>
      <c r="J20" s="409"/>
      <c r="K20" s="409"/>
      <c r="L20" s="410"/>
      <c r="Q20" s="283"/>
    </row>
    <row r="21" spans="2:105" ht="20.25" customHeight="1">
      <c r="B21" s="541" t="s">
        <v>14</v>
      </c>
      <c r="C21" s="542"/>
      <c r="D21" s="542"/>
      <c r="E21" s="542"/>
      <c r="F21" s="542"/>
      <c r="G21" s="542"/>
      <c r="H21" s="542"/>
      <c r="I21" s="542"/>
      <c r="J21" s="542"/>
      <c r="K21" s="542"/>
      <c r="L21" s="543"/>
    </row>
    <row r="22" spans="2:105" ht="20.25" customHeight="1">
      <c r="B22" s="405" t="s">
        <v>617</v>
      </c>
      <c r="C22" s="406"/>
      <c r="D22" s="406"/>
      <c r="E22" s="406"/>
      <c r="F22" s="406"/>
      <c r="G22" s="406"/>
      <c r="H22" s="406"/>
      <c r="I22" s="406"/>
      <c r="J22" s="406"/>
      <c r="K22" s="406"/>
      <c r="L22" s="407"/>
    </row>
    <row r="23" spans="2:105" s="218" customFormat="1" ht="134.25" customHeight="1">
      <c r="B23" s="209" t="str">
        <f>IF('Cover Page'!$D$8="AEMT","II.A.2",IF('Cover Page'!$D$8="Paramedic","II.A.1","II.A.1. &amp; 2."))</f>
        <v>II.A.1. &amp; 2.</v>
      </c>
      <c r="C23" s="701" t="str">
        <f>IF('Cover Page'!D8="AEMT","Following goal(s) defining minimum expectations for AEMT: 
'To prepare Advanced Emergency Medical Technicians who are competent in the cognitive (knowledge), psychomotor (skills), and affective (behavior) learning domains to enter the profession'.",IF('Cover Page'!D8="Paramedic", "Following goal(s) defining minimun expectations for Paramedic:
'To prepare Paramedics who are competent in the cognitive (knowledge), psychomotor (skills), and affective (behavior) learning domains to enter the profession.'","'To prepare Advanced Emergency Medial Technicians / Paramedics who are competent in the cognitive (knowledge), psychomotor (skills), and affective (behavior) learning domains to enter the profession.'"))</f>
        <v>'To prepare Advanced Emergency Medial Technicians / Paramedics who are competent in the cognitive (knowledge), psychomotor (skills), and affective (behavior) learning domains to enter the profession.'</v>
      </c>
      <c r="D23" s="702"/>
      <c r="E23" s="702"/>
      <c r="F23" s="703"/>
      <c r="G23" s="210"/>
      <c r="H23" s="211"/>
      <c r="I23" s="212" t="s">
        <v>774</v>
      </c>
      <c r="J23" s="564"/>
      <c r="K23" s="565"/>
      <c r="L23" s="566"/>
      <c r="Q23" s="19" t="str">
        <f>"Standard "&amp; B23 &amp;" Program Goals and Minimum Expectations"</f>
        <v>Standard II.A.1. &amp; 2. Program Goals and Minimum Expectations</v>
      </c>
    </row>
    <row r="24" spans="2:105" s="213" customFormat="1" ht="47.25" customHeight="1">
      <c r="B24" s="602" t="str">
        <f>IF('Cover Page'!$D$8="AEMT","II.A.2",IF('Cover Page'!$D$8="Paramedic","II.A.1","II.A.1. &amp; 2."))</f>
        <v>II.A.1. &amp; 2.</v>
      </c>
      <c r="C24" s="614" t="s">
        <v>199</v>
      </c>
      <c r="D24" s="615"/>
      <c r="E24" s="615"/>
      <c r="F24" s="616"/>
      <c r="G24" s="617"/>
      <c r="H24" s="211"/>
      <c r="I24" s="212" t="s">
        <v>775</v>
      </c>
      <c r="J24" s="620"/>
      <c r="K24" s="621"/>
      <c r="L24" s="622"/>
      <c r="M24" s="19"/>
      <c r="N24" s="214"/>
      <c r="O24" s="214"/>
      <c r="P24" s="214"/>
      <c r="Q24" s="214" t="str">
        <f>"Standard "&amp; B23 &amp;" Program Goals and Minimum Expectations"</f>
        <v>Standard II.A.1. &amp; 2. Program Goals and Minimum Expectations</v>
      </c>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c r="BI24" s="214"/>
      <c r="BJ24" s="214"/>
      <c r="BK24" s="214"/>
      <c r="BL24" s="214"/>
      <c r="BM24" s="214"/>
      <c r="BN24" s="214"/>
      <c r="BO24" s="214"/>
      <c r="BP24" s="214"/>
      <c r="BQ24" s="214"/>
      <c r="BR24" s="214"/>
      <c r="BS24" s="214"/>
      <c r="BT24" s="214"/>
      <c r="BU24" s="214"/>
      <c r="BV24" s="214"/>
      <c r="BW24" s="214"/>
      <c r="BX24" s="214"/>
      <c r="BY24" s="214"/>
      <c r="BZ24" s="214"/>
      <c r="CA24" s="214"/>
      <c r="CB24" s="214"/>
      <c r="CC24" s="214"/>
      <c r="CD24" s="214"/>
      <c r="CE24" s="214"/>
      <c r="CF24" s="214"/>
      <c r="CG24" s="214"/>
      <c r="CH24" s="214"/>
      <c r="CI24" s="214"/>
      <c r="CJ24" s="214"/>
      <c r="CK24" s="214"/>
      <c r="CL24" s="214"/>
      <c r="CM24" s="214"/>
      <c r="CN24" s="214"/>
      <c r="CO24" s="214"/>
      <c r="CP24" s="214"/>
      <c r="CQ24" s="214"/>
      <c r="CR24" s="214"/>
      <c r="CS24" s="214"/>
      <c r="CT24" s="214"/>
      <c r="CU24" s="214"/>
      <c r="CV24" s="214"/>
      <c r="CW24" s="214"/>
      <c r="CX24" s="214"/>
      <c r="CY24" s="214"/>
      <c r="CZ24" s="214"/>
      <c r="DA24" s="214"/>
    </row>
    <row r="25" spans="2:105" s="213" customFormat="1" ht="57.75" customHeight="1">
      <c r="B25" s="603"/>
      <c r="C25" s="608" t="s">
        <v>200</v>
      </c>
      <c r="D25" s="609"/>
      <c r="E25" s="609"/>
      <c r="F25" s="610"/>
      <c r="G25" s="618"/>
      <c r="H25" s="211"/>
      <c r="I25" s="212" t="s">
        <v>667</v>
      </c>
      <c r="J25" s="623"/>
      <c r="K25" s="624"/>
      <c r="L25" s="625"/>
      <c r="M25" s="19"/>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4"/>
      <c r="BU25" s="214"/>
      <c r="BV25" s="214"/>
      <c r="BW25" s="214"/>
      <c r="BX25" s="214"/>
      <c r="BY25" s="214"/>
      <c r="BZ25" s="214"/>
      <c r="CA25" s="214"/>
      <c r="CB25" s="214"/>
      <c r="CC25" s="214"/>
      <c r="CD25" s="214"/>
      <c r="CE25" s="214"/>
      <c r="CF25" s="214"/>
      <c r="CG25" s="214"/>
      <c r="CH25" s="214"/>
      <c r="CI25" s="214"/>
      <c r="CJ25" s="214"/>
      <c r="CK25" s="214"/>
      <c r="CL25" s="214"/>
      <c r="CM25" s="214"/>
      <c r="CN25" s="214"/>
      <c r="CO25" s="214"/>
      <c r="CP25" s="214"/>
      <c r="CQ25" s="214"/>
      <c r="CR25" s="214"/>
      <c r="CS25" s="214"/>
      <c r="CT25" s="214"/>
      <c r="CU25" s="214"/>
      <c r="CV25" s="214"/>
      <c r="CW25" s="214"/>
      <c r="CX25" s="214"/>
      <c r="CY25" s="214"/>
      <c r="CZ25" s="214"/>
      <c r="DA25" s="214"/>
    </row>
    <row r="26" spans="2:105" s="213" customFormat="1" ht="39" customHeight="1">
      <c r="B26" s="603"/>
      <c r="C26" s="555" t="s">
        <v>201</v>
      </c>
      <c r="D26" s="556"/>
      <c r="E26" s="556"/>
      <c r="F26" s="557"/>
      <c r="G26" s="618"/>
      <c r="H26" s="192"/>
      <c r="I26" s="217" t="str">
        <f>IF($B$2="PRELIMINARY SITE VISIT REPORT FINDINGS","Plan to regularly assess goals and learning domains","")</f>
        <v/>
      </c>
      <c r="J26" s="623"/>
      <c r="K26" s="624"/>
      <c r="L26" s="625"/>
      <c r="M26" s="19"/>
      <c r="N26" s="214"/>
      <c r="O26" s="214"/>
      <c r="P26" s="214"/>
      <c r="Q26" s="28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c r="BI26" s="214"/>
      <c r="BJ26" s="214"/>
      <c r="BK26" s="214"/>
      <c r="BL26" s="214"/>
      <c r="BM26" s="214"/>
      <c r="BN26" s="214"/>
      <c r="BO26" s="214"/>
      <c r="BP26" s="214"/>
      <c r="BQ26" s="214"/>
      <c r="BR26" s="214"/>
      <c r="BS26" s="214"/>
      <c r="BT26" s="214"/>
      <c r="BU26" s="214"/>
      <c r="BV26" s="214"/>
      <c r="BW26" s="214"/>
      <c r="BX26" s="214"/>
      <c r="BY26" s="214"/>
      <c r="BZ26" s="214"/>
      <c r="CA26" s="214"/>
      <c r="CB26" s="214"/>
      <c r="CC26" s="214"/>
      <c r="CD26" s="214"/>
      <c r="CE26" s="214"/>
      <c r="CF26" s="214"/>
      <c r="CG26" s="214"/>
      <c r="CH26" s="214"/>
      <c r="CI26" s="214"/>
      <c r="CJ26" s="214"/>
      <c r="CK26" s="214"/>
      <c r="CL26" s="214"/>
      <c r="CM26" s="214"/>
      <c r="CN26" s="214"/>
      <c r="CO26" s="214"/>
      <c r="CP26" s="214"/>
      <c r="CQ26" s="214"/>
      <c r="CR26" s="214"/>
      <c r="CS26" s="214"/>
      <c r="CT26" s="214"/>
      <c r="CU26" s="214"/>
      <c r="CV26" s="214"/>
      <c r="CW26" s="214"/>
      <c r="CX26" s="214"/>
      <c r="CY26" s="214"/>
      <c r="CZ26" s="214"/>
      <c r="DA26" s="214"/>
    </row>
    <row r="27" spans="2:105" s="213" customFormat="1" ht="48.75" customHeight="1">
      <c r="B27" s="603"/>
      <c r="C27" s="605" t="s">
        <v>105</v>
      </c>
      <c r="D27" s="606"/>
      <c r="E27" s="606"/>
      <c r="F27" s="607"/>
      <c r="G27" s="618"/>
      <c r="H27" s="211"/>
      <c r="I27" s="212" t="s">
        <v>666</v>
      </c>
      <c r="J27" s="623"/>
      <c r="K27" s="624"/>
      <c r="L27" s="625"/>
      <c r="M27" s="19"/>
      <c r="N27" s="214"/>
      <c r="O27" s="214"/>
      <c r="P27" s="214"/>
      <c r="Q27" s="28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c r="BI27" s="214"/>
      <c r="BJ27" s="214"/>
      <c r="BK27" s="214"/>
      <c r="BL27" s="214"/>
      <c r="BM27" s="214"/>
      <c r="BN27" s="214"/>
      <c r="BO27" s="214"/>
      <c r="BP27" s="214"/>
      <c r="BQ27" s="214"/>
      <c r="BR27" s="214"/>
      <c r="BS27" s="214"/>
      <c r="BT27" s="214"/>
      <c r="BU27" s="214"/>
      <c r="BV27" s="214"/>
      <c r="BW27" s="214"/>
      <c r="BX27" s="214"/>
      <c r="BY27" s="214"/>
      <c r="BZ27" s="214"/>
      <c r="CA27" s="214"/>
      <c r="CB27" s="214"/>
      <c r="CC27" s="214"/>
      <c r="CD27" s="214"/>
      <c r="CE27" s="214"/>
      <c r="CF27" s="214"/>
      <c r="CG27" s="214"/>
      <c r="CH27" s="214"/>
      <c r="CI27" s="214"/>
      <c r="CJ27" s="214"/>
      <c r="CK27" s="214"/>
      <c r="CL27" s="214"/>
      <c r="CM27" s="214"/>
      <c r="CN27" s="214"/>
      <c r="CO27" s="214"/>
      <c r="CP27" s="214"/>
      <c r="CQ27" s="214"/>
      <c r="CR27" s="214"/>
      <c r="CS27" s="214"/>
      <c r="CT27" s="214"/>
      <c r="CU27" s="214"/>
      <c r="CV27" s="214"/>
      <c r="CW27" s="214"/>
      <c r="CX27" s="214"/>
      <c r="CY27" s="214"/>
      <c r="CZ27" s="214"/>
      <c r="DA27" s="214"/>
    </row>
    <row r="28" spans="2:105" s="213" customFormat="1" ht="78.75" customHeight="1">
      <c r="B28" s="603"/>
      <c r="C28" s="608" t="s">
        <v>683</v>
      </c>
      <c r="D28" s="609"/>
      <c r="E28" s="609"/>
      <c r="F28" s="610"/>
      <c r="G28" s="618"/>
      <c r="H28" s="211"/>
      <c r="I28" s="212" t="s">
        <v>667</v>
      </c>
      <c r="J28" s="623"/>
      <c r="K28" s="624"/>
      <c r="L28" s="625"/>
      <c r="M28" s="19"/>
      <c r="N28" s="214"/>
      <c r="O28" s="214"/>
      <c r="P28" s="214"/>
      <c r="Q28" s="28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4"/>
      <c r="BN28" s="214"/>
      <c r="BO28" s="214"/>
      <c r="BP28" s="214"/>
      <c r="BQ28" s="214"/>
      <c r="BR28" s="214"/>
      <c r="BS28" s="214"/>
      <c r="BT28" s="214"/>
      <c r="BU28" s="214"/>
      <c r="BV28" s="214"/>
      <c r="BW28" s="214"/>
      <c r="BX28" s="214"/>
      <c r="BY28" s="214"/>
      <c r="BZ28" s="214"/>
      <c r="CA28" s="214"/>
      <c r="CB28" s="214"/>
      <c r="CC28" s="214"/>
      <c r="CD28" s="214"/>
      <c r="CE28" s="214"/>
      <c r="CF28" s="214"/>
      <c r="CG28" s="214"/>
      <c r="CH28" s="214"/>
      <c r="CI28" s="214"/>
      <c r="CJ28" s="214"/>
      <c r="CK28" s="214"/>
      <c r="CL28" s="214"/>
      <c r="CM28" s="214"/>
      <c r="CN28" s="214"/>
      <c r="CO28" s="214"/>
      <c r="CP28" s="214"/>
      <c r="CQ28" s="214"/>
      <c r="CR28" s="214"/>
      <c r="CS28" s="214"/>
      <c r="CT28" s="214"/>
      <c r="CU28" s="214"/>
      <c r="CV28" s="214"/>
      <c r="CW28" s="214"/>
      <c r="CX28" s="214"/>
      <c r="CY28" s="214"/>
      <c r="CZ28" s="214"/>
      <c r="DA28" s="214"/>
    </row>
    <row r="29" spans="2:105" s="213" customFormat="1" ht="71.25" customHeight="1">
      <c r="B29" s="604"/>
      <c r="C29" s="611" t="s">
        <v>684</v>
      </c>
      <c r="D29" s="612"/>
      <c r="E29" s="612"/>
      <c r="F29" s="613"/>
      <c r="G29" s="619"/>
      <c r="H29" s="211"/>
      <c r="I29" s="212" t="s">
        <v>776</v>
      </c>
      <c r="J29" s="626"/>
      <c r="K29" s="627"/>
      <c r="L29" s="628"/>
      <c r="M29" s="19"/>
      <c r="N29" s="214"/>
      <c r="O29" s="214"/>
      <c r="P29" s="214"/>
      <c r="Q29" s="28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214"/>
      <c r="BJ29" s="214"/>
      <c r="BK29" s="214"/>
      <c r="BL29" s="214"/>
      <c r="BM29" s="214"/>
      <c r="BN29" s="214"/>
      <c r="BO29" s="214"/>
      <c r="BP29" s="214"/>
      <c r="BQ29" s="214"/>
      <c r="BR29" s="214"/>
      <c r="BS29" s="214"/>
      <c r="BT29" s="214"/>
      <c r="BU29" s="214"/>
      <c r="BV29" s="214"/>
      <c r="BW29" s="214"/>
      <c r="BX29" s="214"/>
      <c r="BY29" s="214"/>
      <c r="BZ29" s="214"/>
      <c r="CA29" s="214"/>
      <c r="CB29" s="214"/>
      <c r="CC29" s="214"/>
      <c r="CD29" s="214"/>
      <c r="CE29" s="214"/>
      <c r="CF29" s="214"/>
      <c r="CG29" s="214"/>
      <c r="CH29" s="214"/>
      <c r="CI29" s="214"/>
      <c r="CJ29" s="214"/>
      <c r="CK29" s="214"/>
      <c r="CL29" s="214"/>
      <c r="CM29" s="214"/>
      <c r="CN29" s="214"/>
      <c r="CO29" s="214"/>
      <c r="CP29" s="214"/>
      <c r="CQ29" s="214"/>
      <c r="CR29" s="214"/>
      <c r="CS29" s="214"/>
      <c r="CT29" s="214"/>
      <c r="CU29" s="214"/>
      <c r="CV29" s="214"/>
      <c r="CW29" s="214"/>
      <c r="CX29" s="214"/>
      <c r="CY29" s="214"/>
      <c r="CZ29" s="214"/>
      <c r="DA29" s="214"/>
    </row>
    <row r="30" spans="2:105" ht="20.25" customHeight="1">
      <c r="B30" s="405" t="s">
        <v>619</v>
      </c>
      <c r="C30" s="550"/>
      <c r="D30" s="550"/>
      <c r="E30" s="550"/>
      <c r="F30" s="550"/>
      <c r="G30" s="406"/>
      <c r="H30" s="406"/>
      <c r="I30" s="406"/>
      <c r="J30" s="406"/>
      <c r="K30" s="406"/>
      <c r="L30" s="407"/>
    </row>
    <row r="31" spans="2:105" s="213" customFormat="1" ht="113.25" customHeight="1">
      <c r="B31" s="215" t="s">
        <v>15</v>
      </c>
      <c r="C31" s="558" t="s">
        <v>686</v>
      </c>
      <c r="D31" s="559"/>
      <c r="E31" s="559"/>
      <c r="F31" s="560"/>
      <c r="G31" s="216"/>
      <c r="H31" s="192"/>
      <c r="I31" s="212" t="s">
        <v>698</v>
      </c>
      <c r="J31" s="564"/>
      <c r="K31" s="565"/>
      <c r="L31" s="566"/>
      <c r="M31" s="214"/>
      <c r="N31" s="214"/>
      <c r="O31" s="214"/>
      <c r="P31" s="214"/>
      <c r="Q31" s="214" t="s">
        <v>620</v>
      </c>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S31" s="214"/>
      <c r="BT31" s="214"/>
      <c r="BU31" s="214"/>
      <c r="BV31" s="214"/>
      <c r="BW31" s="214"/>
      <c r="BX31" s="214"/>
      <c r="BY31" s="214"/>
      <c r="BZ31" s="214"/>
      <c r="CA31" s="214"/>
      <c r="CB31" s="214"/>
      <c r="CC31" s="214"/>
      <c r="CD31" s="214"/>
      <c r="CE31" s="214"/>
      <c r="CF31" s="214"/>
      <c r="CG31" s="214"/>
      <c r="CH31" s="214"/>
      <c r="CI31" s="214"/>
      <c r="CJ31" s="214"/>
      <c r="CK31" s="214"/>
      <c r="CL31" s="214"/>
      <c r="CM31" s="214"/>
      <c r="CN31" s="214"/>
      <c r="CO31" s="214"/>
      <c r="CP31" s="214"/>
      <c r="CQ31" s="214"/>
      <c r="CR31" s="214"/>
      <c r="CS31" s="214"/>
      <c r="CT31" s="214"/>
      <c r="CU31" s="214"/>
      <c r="CV31" s="214"/>
      <c r="CW31" s="214"/>
      <c r="CX31" s="214"/>
      <c r="CY31" s="214"/>
      <c r="CZ31" s="214"/>
      <c r="DA31" s="214"/>
    </row>
    <row r="32" spans="2:105" s="213" customFormat="1" ht="71.25" customHeight="1">
      <c r="B32" s="645" t="s">
        <v>15</v>
      </c>
      <c r="C32" s="637" t="s">
        <v>687</v>
      </c>
      <c r="D32" s="638"/>
      <c r="E32" s="638"/>
      <c r="F32" s="639"/>
      <c r="G32" s="643"/>
      <c r="H32" s="192"/>
      <c r="I32" s="208" t="str">
        <f>IF($B$2="PRELIMINARY SITE VISIT REPORT FINDINGS","Advisory committee meeting minutes including attendance from at least one (1) meeting","Advisory Committee meeting minutes including attendance
Response to employer survey feedback")</f>
        <v>Advisory Committee meeting minutes including attendance
Response to employer survey feedback</v>
      </c>
      <c r="J32" s="647"/>
      <c r="K32" s="648"/>
      <c r="L32" s="649"/>
      <c r="M32" s="214"/>
      <c r="N32" s="214"/>
      <c r="O32" s="214"/>
      <c r="P32" s="214"/>
      <c r="Q32" s="214" t="s">
        <v>620</v>
      </c>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S32" s="214"/>
      <c r="BT32" s="214"/>
      <c r="BU32" s="214"/>
      <c r="BV32" s="214"/>
      <c r="BW32" s="214"/>
      <c r="BX32" s="214"/>
      <c r="BY32" s="214"/>
      <c r="BZ32" s="214"/>
      <c r="CA32" s="214"/>
      <c r="CB32" s="214"/>
      <c r="CC32" s="214"/>
      <c r="CD32" s="214"/>
      <c r="CE32" s="214"/>
      <c r="CF32" s="214"/>
      <c r="CG32" s="214"/>
      <c r="CH32" s="214"/>
      <c r="CI32" s="214"/>
      <c r="CJ32" s="214"/>
      <c r="CK32" s="214"/>
      <c r="CL32" s="214"/>
      <c r="CM32" s="214"/>
      <c r="CN32" s="214"/>
      <c r="CO32" s="214"/>
      <c r="CP32" s="214"/>
      <c r="CQ32" s="214"/>
      <c r="CR32" s="214"/>
      <c r="CS32" s="214"/>
      <c r="CT32" s="214"/>
      <c r="CU32" s="214"/>
      <c r="CV32" s="214"/>
      <c r="CW32" s="214"/>
      <c r="CX32" s="214"/>
      <c r="CY32" s="214"/>
      <c r="CZ32" s="214"/>
      <c r="DA32" s="214"/>
    </row>
    <row r="33" spans="2:105" s="213" customFormat="1" ht="57.75" customHeight="1">
      <c r="B33" s="646"/>
      <c r="C33" s="640"/>
      <c r="D33" s="641"/>
      <c r="E33" s="641"/>
      <c r="F33" s="642"/>
      <c r="G33" s="644"/>
      <c r="H33" s="192"/>
      <c r="I33" s="193" t="s">
        <v>535</v>
      </c>
      <c r="J33" s="650"/>
      <c r="K33" s="651"/>
      <c r="L33" s="652"/>
      <c r="M33" s="214"/>
      <c r="N33" s="214"/>
      <c r="O33" s="214"/>
      <c r="P33" s="214"/>
      <c r="Q33" s="214" t="s">
        <v>620</v>
      </c>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S33" s="214"/>
      <c r="BT33" s="214"/>
      <c r="BU33" s="214"/>
      <c r="BV33" s="214"/>
      <c r="BW33" s="214"/>
      <c r="BX33" s="214"/>
      <c r="BY33" s="214"/>
      <c r="BZ33" s="214"/>
      <c r="CA33" s="214"/>
      <c r="CB33" s="214"/>
      <c r="CC33" s="214"/>
      <c r="CD33" s="214"/>
      <c r="CE33" s="214"/>
      <c r="CF33" s="214"/>
      <c r="CG33" s="214"/>
      <c r="CH33" s="214"/>
      <c r="CI33" s="214"/>
      <c r="CJ33" s="214"/>
      <c r="CK33" s="214"/>
      <c r="CL33" s="214"/>
      <c r="CM33" s="214"/>
      <c r="CN33" s="214"/>
      <c r="CO33" s="214"/>
      <c r="CP33" s="214"/>
      <c r="CQ33" s="214"/>
      <c r="CR33" s="214"/>
      <c r="CS33" s="214"/>
      <c r="CT33" s="214"/>
      <c r="CU33" s="214"/>
      <c r="CV33" s="214"/>
      <c r="CW33" s="214"/>
      <c r="CX33" s="214"/>
      <c r="CY33" s="214"/>
      <c r="CZ33" s="214"/>
      <c r="DA33" s="214"/>
    </row>
    <row r="34" spans="2:105" s="213" customFormat="1" ht="49.5" customHeight="1">
      <c r="B34" s="215" t="s">
        <v>15</v>
      </c>
      <c r="C34" s="558" t="s">
        <v>202</v>
      </c>
      <c r="D34" s="559"/>
      <c r="E34" s="559"/>
      <c r="F34" s="560"/>
      <c r="G34" s="273"/>
      <c r="H34" s="192"/>
      <c r="I34" s="193" t="str">
        <f>IF($B$2="PRELIMINARY SITE VISIT REPORT FINDINGS","NA - seeking the Letter of Review", "Conversation with Advisory Committee and program personnel")</f>
        <v>Conversation with Advisory Committee and program personnel</v>
      </c>
      <c r="J34" s="561"/>
      <c r="K34" s="562"/>
      <c r="L34" s="563"/>
      <c r="M34" s="214"/>
      <c r="N34" s="214"/>
      <c r="O34" s="214"/>
      <c r="P34" s="214"/>
      <c r="Q34" s="214" t="s">
        <v>620</v>
      </c>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C34" s="214"/>
      <c r="CD34" s="214"/>
      <c r="CE34" s="214"/>
      <c r="CF34" s="214"/>
      <c r="CG34" s="214"/>
      <c r="CH34" s="214"/>
      <c r="CI34" s="214"/>
      <c r="CJ34" s="214"/>
      <c r="CK34" s="214"/>
      <c r="CL34" s="214"/>
      <c r="CM34" s="214"/>
      <c r="CN34" s="214"/>
      <c r="CO34" s="214"/>
      <c r="CP34" s="214"/>
      <c r="CQ34" s="214"/>
      <c r="CR34" s="214"/>
      <c r="CS34" s="214"/>
      <c r="CT34" s="214"/>
      <c r="CU34" s="214"/>
      <c r="CV34" s="214"/>
      <c r="CW34" s="214"/>
      <c r="CX34" s="214"/>
      <c r="CY34" s="214"/>
      <c r="CZ34" s="214"/>
      <c r="DA34" s="214"/>
    </row>
    <row r="35" spans="2:105" s="146" customFormat="1" ht="27" customHeight="1">
      <c r="B35" s="629" t="str">
        <f>IF('Cover Page'!$D$8&lt;&gt;"Please Select",'Cover Page'!$D$8, "Select Program Level on the Cover Page tab")</f>
        <v>Select Program Level on the Cover Page tab</v>
      </c>
      <c r="C35" s="629"/>
      <c r="D35" s="629"/>
      <c r="E35" s="629"/>
      <c r="F35" s="629"/>
      <c r="G35" s="629"/>
      <c r="H35" s="629"/>
      <c r="I35" s="629"/>
      <c r="J35" s="629"/>
      <c r="K35" s="629"/>
      <c r="L35" s="629"/>
      <c r="Q35" s="283"/>
    </row>
    <row r="36" spans="2:105" ht="20.25" customHeight="1">
      <c r="B36" s="541" t="s">
        <v>16</v>
      </c>
      <c r="C36" s="542"/>
      <c r="D36" s="542"/>
      <c r="E36" s="542"/>
      <c r="F36" s="542"/>
      <c r="G36" s="542"/>
      <c r="H36" s="542"/>
      <c r="I36" s="542"/>
      <c r="J36" s="542"/>
      <c r="K36" s="542"/>
      <c r="L36" s="543"/>
    </row>
    <row r="37" spans="2:105" ht="20.25" customHeight="1">
      <c r="B37" s="405" t="s">
        <v>17</v>
      </c>
      <c r="C37" s="406"/>
      <c r="D37" s="406"/>
      <c r="E37" s="406"/>
      <c r="F37" s="406"/>
      <c r="G37" s="406"/>
      <c r="H37" s="406"/>
      <c r="I37" s="406"/>
      <c r="J37" s="406"/>
      <c r="K37" s="406"/>
      <c r="L37" s="407"/>
    </row>
    <row r="38" spans="2:105" s="8" customFormat="1" ht="20.25" customHeight="1">
      <c r="B38" s="405" t="s">
        <v>18</v>
      </c>
      <c r="C38" s="406"/>
      <c r="D38" s="406"/>
      <c r="E38" s="406"/>
      <c r="F38" s="406"/>
      <c r="G38" s="406"/>
      <c r="H38" s="406"/>
      <c r="I38" s="406"/>
      <c r="J38" s="406"/>
      <c r="K38" s="406"/>
      <c r="L38" s="407"/>
      <c r="M38" s="50"/>
      <c r="N38" s="50"/>
      <c r="O38" s="50"/>
      <c r="P38" s="50"/>
      <c r="Q38" s="285"/>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50"/>
    </row>
    <row r="39" spans="2:105" ht="48" customHeight="1">
      <c r="B39" s="219" t="s">
        <v>39</v>
      </c>
      <c r="C39" s="443" t="s">
        <v>40</v>
      </c>
      <c r="D39" s="444"/>
      <c r="E39" s="444"/>
      <c r="F39" s="445"/>
      <c r="G39" s="220"/>
      <c r="H39" s="179"/>
      <c r="I39" s="185" t="s">
        <v>476</v>
      </c>
      <c r="J39" s="467"/>
      <c r="K39" s="468"/>
      <c r="L39" s="469"/>
      <c r="Q39" s="19" t="s">
        <v>621</v>
      </c>
    </row>
    <row r="40" spans="2:105" ht="51" customHeight="1">
      <c r="B40" s="221" t="s">
        <v>39</v>
      </c>
      <c r="C40" s="417" t="s">
        <v>699</v>
      </c>
      <c r="D40" s="418"/>
      <c r="E40" s="418"/>
      <c r="F40" s="419"/>
      <c r="G40" s="222"/>
      <c r="H40" s="179"/>
      <c r="I40" s="185" t="s">
        <v>706</v>
      </c>
      <c r="J40" s="498"/>
      <c r="K40" s="464"/>
      <c r="L40" s="465"/>
      <c r="Q40" s="19" t="s">
        <v>621</v>
      </c>
    </row>
    <row r="41" spans="2:105" ht="33.75" customHeight="1">
      <c r="B41" s="453" t="s">
        <v>39</v>
      </c>
      <c r="C41" s="414" t="s">
        <v>41</v>
      </c>
      <c r="D41" s="415"/>
      <c r="E41" s="415"/>
      <c r="F41" s="416"/>
      <c r="G41" s="449"/>
      <c r="H41" s="179"/>
      <c r="I41" s="182" t="s">
        <v>536</v>
      </c>
      <c r="J41" s="460"/>
      <c r="K41" s="461"/>
      <c r="L41" s="462"/>
      <c r="Q41" s="19" t="s">
        <v>621</v>
      </c>
    </row>
    <row r="42" spans="2:105" ht="30.75" customHeight="1">
      <c r="B42" s="455"/>
      <c r="C42" s="420"/>
      <c r="D42" s="421"/>
      <c r="E42" s="421"/>
      <c r="F42" s="422"/>
      <c r="G42" s="450"/>
      <c r="H42" s="179"/>
      <c r="I42" s="183" t="s">
        <v>537</v>
      </c>
      <c r="J42" s="467"/>
      <c r="K42" s="468"/>
      <c r="L42" s="469"/>
      <c r="Q42" s="19" t="s">
        <v>621</v>
      </c>
    </row>
    <row r="43" spans="2:105" ht="37.5" customHeight="1">
      <c r="B43" s="219" t="s">
        <v>39</v>
      </c>
      <c r="C43" s="443" t="s">
        <v>42</v>
      </c>
      <c r="D43" s="444"/>
      <c r="E43" s="444"/>
      <c r="F43" s="445"/>
      <c r="G43" s="224"/>
      <c r="H43" s="179"/>
      <c r="I43" s="182" t="s">
        <v>700</v>
      </c>
      <c r="J43" s="446"/>
      <c r="K43" s="447"/>
      <c r="L43" s="448"/>
      <c r="Q43" s="19" t="s">
        <v>621</v>
      </c>
    </row>
    <row r="44" spans="2:105" ht="37.5" customHeight="1">
      <c r="B44" s="219" t="s">
        <v>39</v>
      </c>
      <c r="C44" s="443" t="s">
        <v>622</v>
      </c>
      <c r="D44" s="444"/>
      <c r="E44" s="444"/>
      <c r="F44" s="445"/>
      <c r="G44" s="224"/>
      <c r="H44" s="179"/>
      <c r="I44" s="180" t="s">
        <v>649</v>
      </c>
      <c r="J44" s="446"/>
      <c r="K44" s="447"/>
      <c r="L44" s="448"/>
      <c r="Q44" s="19" t="s">
        <v>621</v>
      </c>
    </row>
    <row r="45" spans="2:105" ht="37.5" customHeight="1">
      <c r="B45" s="219" t="s">
        <v>39</v>
      </c>
      <c r="C45" s="443" t="s">
        <v>631</v>
      </c>
      <c r="D45" s="444"/>
      <c r="E45" s="444"/>
      <c r="F45" s="445"/>
      <c r="G45" s="224"/>
      <c r="H45" s="179"/>
      <c r="I45" s="180" t="s">
        <v>660</v>
      </c>
      <c r="J45" s="446"/>
      <c r="K45" s="447"/>
      <c r="L45" s="448"/>
      <c r="Q45" s="19" t="s">
        <v>621</v>
      </c>
    </row>
    <row r="46" spans="2:105" ht="37.5" customHeight="1">
      <c r="B46" s="411" t="s">
        <v>39</v>
      </c>
      <c r="C46" s="414" t="s">
        <v>630</v>
      </c>
      <c r="D46" s="415"/>
      <c r="E46" s="415"/>
      <c r="F46" s="416"/>
      <c r="G46" s="224"/>
      <c r="H46" s="179"/>
      <c r="I46" s="182" t="s">
        <v>538</v>
      </c>
      <c r="J46" s="446"/>
      <c r="K46" s="447"/>
      <c r="L46" s="448"/>
      <c r="Q46" s="19" t="s">
        <v>621</v>
      </c>
      <c r="Z46" s="288"/>
    </row>
    <row r="47" spans="2:105" ht="69" customHeight="1">
      <c r="B47" s="412"/>
      <c r="C47" s="417"/>
      <c r="D47" s="418"/>
      <c r="E47" s="418"/>
      <c r="F47" s="419"/>
      <c r="G47" s="225" t="str">
        <f>IF(AND(H47="      Same State Satellite Location(s)",J47&lt;&gt;""), "Not Met",IF(AND(H47="      Same State Satellite Location(s)",J47=""),"Met","N/A"))</f>
        <v>N/A</v>
      </c>
      <c r="H47" s="489" t="str">
        <f>IF('Satellite(s)'!$H$6&lt;&gt;"N/A","      Same state satellite location(s)","      No same state satellite location(s)")</f>
        <v xml:space="preserve">      No same state satellite location(s)</v>
      </c>
      <c r="I47" s="490"/>
      <c r="J47" s="634" t="str" cm="1">
        <f t="array" ref="J47">_xlfn.TEXTJOIN("
",TRUE,IF('Satellite(s)'!F24:AB24="Not Met",'Satellite(s)'!F25:AB25,""))</f>
        <v/>
      </c>
      <c r="K47" s="635"/>
      <c r="L47" s="636"/>
      <c r="Q47" s="69" t="s">
        <v>730</v>
      </c>
    </row>
    <row r="48" spans="2:105" ht="51.75" customHeight="1">
      <c r="B48" s="412"/>
      <c r="C48" s="417"/>
      <c r="D48" s="418"/>
      <c r="E48" s="418"/>
      <c r="F48" s="419"/>
      <c r="G48" s="225" t="str">
        <f>IF(AND(H48="      Out-of-state satellite location(s)",J48&lt;&gt;""), "Not Met",IF(AND(H48="      Out-of-state satellite location(s)",J48=""),"Met","N/A"))</f>
        <v>N/A</v>
      </c>
      <c r="H48" s="489" t="str">
        <f>IF('Satellite(s)'!$H$7&lt;&gt;"N/A","      Out-of-state satellite location(s)","      No out-of-state satellite location(s)")</f>
        <v xml:space="preserve">      No out-of-state satellite location(s)</v>
      </c>
      <c r="I48" s="490"/>
      <c r="J48" s="430" t="str" cm="1">
        <f t="array" ref="J48">_xlfn.TEXTJOIN("
",TRUE,IF('Satellite(s)'!F71:L71="Not Met",'Satellite(s)'!F72:L72,""))</f>
        <v/>
      </c>
      <c r="K48" s="431"/>
      <c r="L48" s="432"/>
      <c r="Q48" s="69" t="s">
        <v>731</v>
      </c>
    </row>
    <row r="49" spans="2:17" ht="51.75" customHeight="1">
      <c r="B49" s="413"/>
      <c r="C49" s="420"/>
      <c r="D49" s="421"/>
      <c r="E49" s="421"/>
      <c r="F49" s="422"/>
      <c r="G49" s="225" t="str">
        <f>IF(AND(H49="      Not Approved Satellite Location(s)",J49&lt;&gt;""), "Not Met",IF(AND(H49="      Not Approved Satellite Location(s)",J48=""),"Met","N/A"))</f>
        <v>N/A</v>
      </c>
      <c r="H49" s="489" t="str">
        <f>IF('Satellite(s)'!$H$8&lt;&gt;"","      Not approved satellite location(s)","      No unapproved satellite location(s)")</f>
        <v xml:space="preserve">      No unapproved satellite location(s)</v>
      </c>
      <c r="I49" s="490"/>
      <c r="J49" s="430" t="str" cm="1">
        <f t="array" ref="J49">_xlfn.TEXTJOIN("
",TRUE,IF('Satellite(s)'!F118:L118="Not Met",'Satellite(s)'!F119:L119,""))</f>
        <v/>
      </c>
      <c r="K49" s="431"/>
      <c r="L49" s="432"/>
      <c r="Q49" s="69" t="s">
        <v>732</v>
      </c>
    </row>
    <row r="50" spans="2:17" ht="42.95" customHeight="1">
      <c r="B50" s="219" t="s">
        <v>39</v>
      </c>
      <c r="C50" s="443" t="s">
        <v>43</v>
      </c>
      <c r="D50" s="444"/>
      <c r="E50" s="444"/>
      <c r="F50" s="445"/>
      <c r="G50" s="224"/>
      <c r="H50" s="179"/>
      <c r="I50" s="182" t="s">
        <v>539</v>
      </c>
      <c r="J50" s="446"/>
      <c r="K50" s="447"/>
      <c r="L50" s="448"/>
      <c r="Q50" s="19" t="s">
        <v>621</v>
      </c>
    </row>
    <row r="51" spans="2:17" ht="37.5" customHeight="1">
      <c r="B51" s="219" t="s">
        <v>39</v>
      </c>
      <c r="C51" s="443" t="s">
        <v>629</v>
      </c>
      <c r="D51" s="444"/>
      <c r="E51" s="444"/>
      <c r="F51" s="445"/>
      <c r="G51" s="224"/>
      <c r="H51" s="179"/>
      <c r="I51" s="182" t="s">
        <v>540</v>
      </c>
      <c r="J51" s="446"/>
      <c r="K51" s="447"/>
      <c r="L51" s="448"/>
      <c r="Q51" s="19" t="s">
        <v>621</v>
      </c>
    </row>
    <row r="52" spans="2:17" ht="37.5" customHeight="1">
      <c r="B52" s="219" t="s">
        <v>39</v>
      </c>
      <c r="C52" s="443" t="s">
        <v>628</v>
      </c>
      <c r="D52" s="444"/>
      <c r="E52" s="444"/>
      <c r="F52" s="445"/>
      <c r="G52" s="224"/>
      <c r="H52" s="179"/>
      <c r="I52" s="182" t="s">
        <v>540</v>
      </c>
      <c r="J52" s="446"/>
      <c r="K52" s="447"/>
      <c r="L52" s="448"/>
      <c r="Q52" s="19" t="s">
        <v>621</v>
      </c>
    </row>
    <row r="53" spans="2:17" ht="39" customHeight="1">
      <c r="B53" s="411" t="s">
        <v>39</v>
      </c>
      <c r="C53" s="414" t="s">
        <v>627</v>
      </c>
      <c r="D53" s="415"/>
      <c r="E53" s="415"/>
      <c r="F53" s="416"/>
      <c r="G53" s="449"/>
      <c r="H53" s="179"/>
      <c r="I53" s="182" t="s">
        <v>541</v>
      </c>
      <c r="J53" s="503"/>
      <c r="K53" s="504"/>
      <c r="L53" s="505"/>
      <c r="Q53" s="19" t="s">
        <v>621</v>
      </c>
    </row>
    <row r="54" spans="2:17" ht="39" customHeight="1">
      <c r="B54" s="412"/>
      <c r="C54" s="417"/>
      <c r="D54" s="418"/>
      <c r="E54" s="418"/>
      <c r="F54" s="419"/>
      <c r="G54" s="450"/>
      <c r="H54" s="179"/>
      <c r="I54" s="182" t="s">
        <v>106</v>
      </c>
      <c r="J54" s="666"/>
      <c r="K54" s="667"/>
      <c r="L54" s="668"/>
      <c r="Q54" s="19" t="s">
        <v>621</v>
      </c>
    </row>
    <row r="55" spans="2:17" ht="78" customHeight="1">
      <c r="B55" s="412"/>
      <c r="C55" s="417"/>
      <c r="D55" s="418"/>
      <c r="E55" s="418"/>
      <c r="F55" s="419"/>
      <c r="G55" s="225" t="str">
        <f>IF(AND(H55="      Same State Satellite Location(s)",J55&lt;&gt;""), "Not Met",IF(AND(H55="      Same State Satellite Location(s)",J55=""),"Met","N/A"))</f>
        <v>N/A</v>
      </c>
      <c r="H55" s="489" t="str">
        <f>IF('Satellite(s)'!$H$6&lt;&gt;"N/A","      Same state satellite location(s)","      No same state satellite location(s)")</f>
        <v xml:space="preserve">      No same state satellite location(s)</v>
      </c>
      <c r="I55" s="490"/>
      <c r="J55" s="630" t="str" cm="1">
        <f t="array" ref="J55">_xlfn.TEXTJOIN("
",TRUE,IF('Satellite(s)'!F23:AB23="Not Met","Insufficient equipment and supplies were identified at the following location(s):" &amp; 'Satellite(s)'!F13:AB13,""))</f>
        <v/>
      </c>
      <c r="K55" s="631"/>
      <c r="L55" s="632"/>
      <c r="Q55" s="69" t="s">
        <v>730</v>
      </c>
    </row>
    <row r="56" spans="2:17" ht="78" customHeight="1">
      <c r="B56" s="412"/>
      <c r="C56" s="417"/>
      <c r="D56" s="418"/>
      <c r="E56" s="418"/>
      <c r="F56" s="419"/>
      <c r="G56" s="225" t="str">
        <f>IF(AND(H56="      Out-of-state satellite location(s)",J56&lt;&gt;""), "Not Met",IF(AND(H48="      Out-of-state satellite location(s)",J56=""),"Met","N/A"))</f>
        <v>N/A</v>
      </c>
      <c r="H56" s="489" t="str">
        <f>IF('Satellite(s)'!$H$7&lt;&gt;"N/A","      Out-of-state satellite location(s)","      No out-of-state satellite location(s)")</f>
        <v xml:space="preserve">      No out-of-state satellite location(s)</v>
      </c>
      <c r="I56" s="490"/>
      <c r="J56" s="630" t="str" cm="1">
        <f t="array" ref="J56">_xlfn.TEXTJOIN("
",TRUE,IF('Satellite(s)'!F70:L70="Not Met","Insufficient equipment and supplies were identified at the following location(s):" &amp; 'Satellite(s)'!F60:L60,""))</f>
        <v/>
      </c>
      <c r="K56" s="631"/>
      <c r="L56" s="632"/>
      <c r="Q56" s="69" t="s">
        <v>733</v>
      </c>
    </row>
    <row r="57" spans="2:17" ht="78" customHeight="1">
      <c r="B57" s="413"/>
      <c r="C57" s="420"/>
      <c r="D57" s="421"/>
      <c r="E57" s="421"/>
      <c r="F57" s="422"/>
      <c r="G57" s="225" t="str">
        <f>IF(AND(H57="      Not Approved Satellite Location(s)",J57&lt;&gt;""), "Not Met",IF(AND(H57="      Not Approved Satellite Location(s)",J57=""),"Met","N/A"))</f>
        <v>N/A</v>
      </c>
      <c r="H57" s="489" t="str">
        <f>IF('Satellite(s)'!$H$8&lt;&gt;"","      Not approved satellite location(s)","      No unapproved satellite location(s)")</f>
        <v xml:space="preserve">      No unapproved satellite location(s)</v>
      </c>
      <c r="I57" s="490"/>
      <c r="J57" s="630" t="str" cm="1">
        <f t="array" ref="J57">_xlfn.TEXTJOIN("
",TRUE,IF('Satellite(s)'!F117:L117="Not Met","Insufficient equipment and supplies were identified at the following location(s):" &amp; 'Satellite(s)'!F107:L107,""))</f>
        <v/>
      </c>
      <c r="K57" s="631"/>
      <c r="L57" s="632"/>
      <c r="Q57" s="69" t="s">
        <v>734</v>
      </c>
    </row>
    <row r="58" spans="2:17" ht="37.5" customHeight="1">
      <c r="B58" s="219" t="s">
        <v>39</v>
      </c>
      <c r="C58" s="443" t="s">
        <v>626</v>
      </c>
      <c r="D58" s="444"/>
      <c r="E58" s="444"/>
      <c r="F58" s="445"/>
      <c r="G58" s="224"/>
      <c r="H58" s="179"/>
      <c r="I58" s="182" t="s">
        <v>540</v>
      </c>
      <c r="J58" s="446"/>
      <c r="K58" s="447"/>
      <c r="L58" s="448"/>
      <c r="Q58" s="19" t="s">
        <v>621</v>
      </c>
    </row>
    <row r="59" spans="2:17" ht="39" customHeight="1">
      <c r="B59" s="411" t="s">
        <v>39</v>
      </c>
      <c r="C59" s="414" t="s">
        <v>625</v>
      </c>
      <c r="D59" s="415"/>
      <c r="E59" s="415"/>
      <c r="F59" s="416"/>
      <c r="G59" s="449"/>
      <c r="H59" s="179"/>
      <c r="I59" s="182" t="s">
        <v>542</v>
      </c>
      <c r="J59" s="460"/>
      <c r="K59" s="461"/>
      <c r="L59" s="462"/>
      <c r="Q59" s="19" t="s">
        <v>621</v>
      </c>
    </row>
    <row r="60" spans="2:17" ht="48.75" customHeight="1">
      <c r="B60" s="412"/>
      <c r="C60" s="417"/>
      <c r="D60" s="418"/>
      <c r="E60" s="418"/>
      <c r="F60" s="419"/>
      <c r="G60" s="450"/>
      <c r="H60" s="179"/>
      <c r="I60" s="182" t="s">
        <v>543</v>
      </c>
      <c r="J60" s="467"/>
      <c r="K60" s="468"/>
      <c r="L60" s="469"/>
      <c r="Q60" s="19" t="s">
        <v>621</v>
      </c>
    </row>
    <row r="61" spans="2:17" ht="45" customHeight="1">
      <c r="B61" s="412"/>
      <c r="C61" s="417"/>
      <c r="D61" s="418"/>
      <c r="E61" s="418"/>
      <c r="F61" s="419"/>
      <c r="G61" s="225" t="str">
        <f>IF(AND(H61="      Same State Satellite Location(s)",J61&lt;&gt;""), "Not Met",IF(AND(H61="      Same State Satellite Location(s)",J61=""),"Met","N/A"))</f>
        <v>N/A</v>
      </c>
      <c r="H61" s="489" t="str">
        <f>IF('Satellite(s)'!$H$6&lt;&gt;"N/A","      Same state satellite location(s)","      No same state satellite location(s)")</f>
        <v xml:space="preserve">      No same state satellite location(s)</v>
      </c>
      <c r="I61" s="490"/>
      <c r="J61" s="634" t="str" cm="1">
        <f t="array" ref="J61">_xlfn.TEXTJOIN("
",TRUE,IF('Satellite(s)'!F32:AB32="Not Met",'Satellite(s)'!F33:AB33,""))</f>
        <v/>
      </c>
      <c r="K61" s="635"/>
      <c r="L61" s="636"/>
      <c r="Q61" s="69" t="s">
        <v>730</v>
      </c>
    </row>
    <row r="62" spans="2:17" ht="44.25" customHeight="1">
      <c r="B62" s="412"/>
      <c r="C62" s="417"/>
      <c r="D62" s="418"/>
      <c r="E62" s="418"/>
      <c r="F62" s="419"/>
      <c r="G62" s="225" t="str">
        <f>IF(AND(H62="      Out-of-state satellite location(s)",J62&lt;&gt;""), "Not Met",IF(AND(H62="      Out-of-state satellite location(s)",J62=""),"Met","N/A"))</f>
        <v>N/A</v>
      </c>
      <c r="H62" s="489" t="str">
        <f>IF('Satellite(s)'!$H$7&lt;&gt;"N/A","      Out-of-state satellite location(s)","      No out-of-state satellite location(s)")</f>
        <v xml:space="preserve">      No out-of-state satellite location(s)</v>
      </c>
      <c r="I62" s="490"/>
      <c r="J62" s="634" t="str" cm="1">
        <f t="array" ref="J62">_xlfn.TEXTJOIN("
",TRUE,IF('Satellite(s)'!F79:L79="Not Met",'Satellite(s)'!F80:L80,""))</f>
        <v/>
      </c>
      <c r="K62" s="635"/>
      <c r="L62" s="636"/>
      <c r="Q62" s="69" t="s">
        <v>733</v>
      </c>
    </row>
    <row r="63" spans="2:17" ht="44.25" customHeight="1">
      <c r="B63" s="413"/>
      <c r="C63" s="420"/>
      <c r="D63" s="421"/>
      <c r="E63" s="421"/>
      <c r="F63" s="422"/>
      <c r="G63" s="225" t="str">
        <f>IF(AND(H63="      Not Approved Satellite Location(s)",J63&lt;&gt;""), "Not Met",IF(AND(H63="      Not Approved Satellite Location(s)",J63=""),"Met","N/A"))</f>
        <v>N/A</v>
      </c>
      <c r="H63" s="489" t="str">
        <f>IF('Satellite(s)'!$H$8&lt;&gt;"","      Not approved satellite location(s)","      No unapproved satellite location(s)")</f>
        <v xml:space="preserve">      No unapproved satellite location(s)</v>
      </c>
      <c r="I63" s="490"/>
      <c r="J63" s="634" t="str" cm="1">
        <f t="array" ref="J63">_xlfn.TEXTJOIN("
",TRUE,IF('Satellite(s)'!F126:L126="Not Met",'Satellite(s)'!F127:L127,""))</f>
        <v/>
      </c>
      <c r="K63" s="635"/>
      <c r="L63" s="636"/>
      <c r="Q63" s="69" t="s">
        <v>734</v>
      </c>
    </row>
    <row r="64" spans="2:17" ht="39" customHeight="1">
      <c r="B64" s="219" t="s">
        <v>39</v>
      </c>
      <c r="C64" s="427" t="s">
        <v>624</v>
      </c>
      <c r="D64" s="427"/>
      <c r="E64" s="427"/>
      <c r="F64" s="427"/>
      <c r="G64" s="222"/>
      <c r="H64" s="179"/>
      <c r="I64" s="182" t="s">
        <v>544</v>
      </c>
      <c r="J64" s="428"/>
      <c r="K64" s="428"/>
      <c r="L64" s="428"/>
      <c r="Q64" s="19" t="s">
        <v>621</v>
      </c>
    </row>
    <row r="65" spans="2:17" ht="39" customHeight="1">
      <c r="B65" s="453" t="s">
        <v>39</v>
      </c>
      <c r="C65" s="414" t="s">
        <v>623</v>
      </c>
      <c r="D65" s="415"/>
      <c r="E65" s="415"/>
      <c r="F65" s="416"/>
      <c r="G65" s="449"/>
      <c r="H65" s="179"/>
      <c r="I65" s="182" t="s">
        <v>701</v>
      </c>
      <c r="J65" s="460"/>
      <c r="K65" s="461"/>
      <c r="L65" s="462"/>
      <c r="Q65" s="19" t="s">
        <v>621</v>
      </c>
    </row>
    <row r="66" spans="2:17" ht="39" customHeight="1">
      <c r="B66" s="455"/>
      <c r="C66" s="420"/>
      <c r="D66" s="421"/>
      <c r="E66" s="421"/>
      <c r="F66" s="422"/>
      <c r="G66" s="450"/>
      <c r="H66" s="179"/>
      <c r="I66" s="183" t="s">
        <v>545</v>
      </c>
      <c r="J66" s="467"/>
      <c r="K66" s="468"/>
      <c r="L66" s="469"/>
      <c r="Q66" s="19" t="s">
        <v>621</v>
      </c>
    </row>
    <row r="67" spans="2:17" ht="20.25" customHeight="1">
      <c r="B67" s="405" t="s">
        <v>688</v>
      </c>
      <c r="C67" s="406"/>
      <c r="D67" s="406"/>
      <c r="E67" s="406"/>
      <c r="F67" s="406"/>
      <c r="G67" s="406"/>
      <c r="H67" s="406"/>
      <c r="I67" s="406"/>
      <c r="J67" s="406"/>
      <c r="K67" s="406"/>
      <c r="L67" s="407"/>
    </row>
    <row r="68" spans="2:17" ht="51" customHeight="1">
      <c r="B68" s="411" t="s">
        <v>44</v>
      </c>
      <c r="C68" s="417" t="s">
        <v>689</v>
      </c>
      <c r="D68" s="418"/>
      <c r="E68" s="418"/>
      <c r="F68" s="419"/>
      <c r="G68" s="567"/>
      <c r="H68" s="179"/>
      <c r="I68" s="187" t="s">
        <v>546</v>
      </c>
      <c r="J68" s="498"/>
      <c r="K68" s="464"/>
      <c r="L68" s="465"/>
      <c r="Q68" s="19" t="s">
        <v>634</v>
      </c>
    </row>
    <row r="69" spans="2:17" ht="39" customHeight="1">
      <c r="B69" s="412"/>
      <c r="C69" s="417"/>
      <c r="D69" s="418"/>
      <c r="E69" s="418"/>
      <c r="F69" s="419"/>
      <c r="G69" s="567"/>
      <c r="H69" s="179"/>
      <c r="I69" s="187" t="s">
        <v>702</v>
      </c>
      <c r="J69" s="498"/>
      <c r="K69" s="464"/>
      <c r="L69" s="465"/>
      <c r="Q69" s="19"/>
    </row>
    <row r="70" spans="2:17" ht="46.5" customHeight="1">
      <c r="B70" s="412"/>
      <c r="C70" s="417"/>
      <c r="D70" s="418"/>
      <c r="E70" s="418"/>
      <c r="F70" s="419"/>
      <c r="G70" s="567"/>
      <c r="H70" s="179"/>
      <c r="I70" s="187" t="s">
        <v>703</v>
      </c>
      <c r="J70" s="498"/>
      <c r="K70" s="464"/>
      <c r="L70" s="465"/>
      <c r="Q70" s="19"/>
    </row>
    <row r="71" spans="2:17" ht="57.75" customHeight="1">
      <c r="B71" s="413"/>
      <c r="C71" s="420"/>
      <c r="D71" s="421"/>
      <c r="E71" s="421"/>
      <c r="F71" s="422"/>
      <c r="G71" s="567"/>
      <c r="H71" s="179"/>
      <c r="I71" s="182" t="s">
        <v>704</v>
      </c>
      <c r="J71" s="467"/>
      <c r="K71" s="468"/>
      <c r="L71" s="469"/>
      <c r="Q71" s="19"/>
    </row>
    <row r="72" spans="2:17" ht="80.25" customHeight="1">
      <c r="B72" s="453" t="s">
        <v>44</v>
      </c>
      <c r="C72" s="657" t="s">
        <v>690</v>
      </c>
      <c r="D72" s="658"/>
      <c r="E72" s="658"/>
      <c r="F72" s="659"/>
      <c r="G72" s="227"/>
      <c r="H72" s="179"/>
      <c r="I72" s="180" t="s">
        <v>705</v>
      </c>
      <c r="J72" s="446"/>
      <c r="K72" s="447"/>
      <c r="L72" s="448"/>
      <c r="Q72" s="19" t="s">
        <v>634</v>
      </c>
    </row>
    <row r="73" spans="2:17" ht="55.5" customHeight="1">
      <c r="B73" s="454"/>
      <c r="C73" s="660"/>
      <c r="D73" s="661"/>
      <c r="E73" s="661"/>
      <c r="F73" s="662"/>
      <c r="G73" s="225" t="str">
        <f>IF(AND(H73="      Same State Satellite Location(s)",J73&lt;&gt;""), "Not Met",IF(AND(H73="      Same State Satellite Location(s)",J73=""),"Met","N/A"))</f>
        <v>N/A</v>
      </c>
      <c r="H73" s="489" t="str">
        <f>IF('Satellite(s)'!$H$6&lt;&gt;"N/A","      Same state satellite location(s)","      No same state satellite location(s)")</f>
        <v xml:space="preserve">      No same state satellite location(s)</v>
      </c>
      <c r="I73" s="490"/>
      <c r="J73" s="634" t="str" cm="1">
        <f t="array" ref="J73">_xlfn.TEXTJOIN("
",TRUE,IF('Satellite(s)'!F49:AB49="Not Met",'Satellite(s)'!F50:AB50,""))</f>
        <v/>
      </c>
      <c r="K73" s="635"/>
      <c r="L73" s="636"/>
      <c r="Q73" s="69" t="s">
        <v>735</v>
      </c>
    </row>
    <row r="74" spans="2:17" ht="55.5" customHeight="1">
      <c r="B74" s="454"/>
      <c r="C74" s="660"/>
      <c r="D74" s="661"/>
      <c r="E74" s="661"/>
      <c r="F74" s="662"/>
      <c r="G74" s="225" t="str">
        <f>IF(AND(H74="      Out-of-state satellite location(s)",J74&lt;&gt;""), "Not Met",IF(AND(H74="      Out-of-state satellite location(s)",J74=""),"Met","N/A"))</f>
        <v>N/A</v>
      </c>
      <c r="H74" s="489" t="str">
        <f>IF('Satellite(s)'!$H$7&lt;&gt;"N/A","      Out-of-state satellite location(s)","      No out-of-state satellite location(s)")</f>
        <v xml:space="preserve">      No out-of-state satellite location(s)</v>
      </c>
      <c r="I74" s="490"/>
      <c r="J74" s="634" t="str" cm="1">
        <f t="array" ref="J74">_xlfn.TEXTJOIN("
",TRUE,IF('Satellite(s)'!F96:L96="Not Met",'Satellite(s)'!F97:L97,""))</f>
        <v/>
      </c>
      <c r="K74" s="635"/>
      <c r="L74" s="636"/>
      <c r="Q74" s="69" t="s">
        <v>736</v>
      </c>
    </row>
    <row r="75" spans="2:17" ht="55.5" customHeight="1">
      <c r="B75" s="455"/>
      <c r="C75" s="663"/>
      <c r="D75" s="664"/>
      <c r="E75" s="664"/>
      <c r="F75" s="665"/>
      <c r="G75" s="225" t="str">
        <f>IF(AND(H75="      Not Approved Satellite Location(s)",J75&lt;&gt;""), "Not Met",IF(AND(H75="      Not Approved Satellite Location(s)",J75=""),"Met","N/A"))</f>
        <v>N/A</v>
      </c>
      <c r="H75" s="489" t="str">
        <f>IF('Satellite(s)'!$H$8&lt;&gt;"","      Not approved satellite location(s)","      No unapproved satellite location(s)")</f>
        <v xml:space="preserve">      No unapproved satellite location(s)</v>
      </c>
      <c r="I75" s="490"/>
      <c r="J75" s="634" t="str" cm="1">
        <f t="array" ref="J75">_xlfn.TEXTJOIN("
",TRUE,IF('Satellite(s)'!F143:L143="Not Met",'Satellite(s)'!F144:L144,""))</f>
        <v/>
      </c>
      <c r="K75" s="635"/>
      <c r="L75" s="636"/>
      <c r="Q75" s="69" t="s">
        <v>737</v>
      </c>
    </row>
    <row r="76" spans="2:17" ht="20.25" customHeight="1">
      <c r="B76" s="405" t="s">
        <v>187</v>
      </c>
      <c r="C76" s="406"/>
      <c r="D76" s="406"/>
      <c r="E76" s="406"/>
      <c r="F76" s="406"/>
      <c r="G76" s="406"/>
      <c r="H76" s="406"/>
      <c r="I76" s="406"/>
      <c r="J76" s="406"/>
      <c r="K76" s="406"/>
      <c r="L76" s="407"/>
    </row>
    <row r="77" spans="2:17" ht="40.35" customHeight="1">
      <c r="B77" s="453" t="s">
        <v>45</v>
      </c>
      <c r="C77" s="414" t="s">
        <v>46</v>
      </c>
      <c r="D77" s="415"/>
      <c r="E77" s="415"/>
      <c r="F77" s="416"/>
      <c r="G77" s="655"/>
      <c r="H77" s="633" t="s">
        <v>694</v>
      </c>
      <c r="I77" s="490"/>
      <c r="J77" s="460"/>
      <c r="K77" s="461"/>
      <c r="L77" s="462"/>
      <c r="Q77" s="19" t="s">
        <v>306</v>
      </c>
    </row>
    <row r="78" spans="2:17" ht="33" customHeight="1">
      <c r="B78" s="454"/>
      <c r="C78" s="417"/>
      <c r="D78" s="418"/>
      <c r="E78" s="418"/>
      <c r="F78" s="419"/>
      <c r="G78" s="567"/>
      <c r="H78" s="179"/>
      <c r="I78" s="185" t="s">
        <v>547</v>
      </c>
      <c r="J78" s="498"/>
      <c r="K78" s="464"/>
      <c r="L78" s="465"/>
    </row>
    <row r="79" spans="2:17" ht="33" customHeight="1">
      <c r="B79" s="454"/>
      <c r="C79" s="417"/>
      <c r="D79" s="418"/>
      <c r="E79" s="418"/>
      <c r="F79" s="419"/>
      <c r="G79" s="567"/>
      <c r="H79" s="179"/>
      <c r="I79" s="182" t="s">
        <v>548</v>
      </c>
      <c r="J79" s="498"/>
      <c r="K79" s="464"/>
      <c r="L79" s="465"/>
    </row>
    <row r="80" spans="2:17" ht="33" customHeight="1">
      <c r="B80" s="454"/>
      <c r="C80" s="417"/>
      <c r="D80" s="418"/>
      <c r="E80" s="418"/>
      <c r="F80" s="419"/>
      <c r="G80" s="567"/>
      <c r="H80" s="179"/>
      <c r="I80" s="188" t="s">
        <v>186</v>
      </c>
      <c r="J80" s="498"/>
      <c r="K80" s="464"/>
      <c r="L80" s="465"/>
    </row>
    <row r="81" spans="2:105" ht="42" customHeight="1">
      <c r="B81" s="454"/>
      <c r="C81" s="417"/>
      <c r="D81" s="418"/>
      <c r="E81" s="418"/>
      <c r="F81" s="419"/>
      <c r="G81" s="567"/>
      <c r="H81" s="179"/>
      <c r="I81" s="182" t="s">
        <v>650</v>
      </c>
      <c r="J81" s="498"/>
      <c r="K81" s="464"/>
      <c r="L81" s="465"/>
    </row>
    <row r="82" spans="2:105" ht="55.5" customHeight="1">
      <c r="B82" s="454"/>
      <c r="C82" s="417"/>
      <c r="D82" s="418"/>
      <c r="E82" s="418"/>
      <c r="F82" s="419"/>
      <c r="G82" s="567"/>
      <c r="H82" s="179"/>
      <c r="I82" s="182" t="s">
        <v>549</v>
      </c>
      <c r="J82" s="498"/>
      <c r="K82" s="464"/>
      <c r="L82" s="465"/>
    </row>
    <row r="83" spans="2:105" ht="33" customHeight="1">
      <c r="B83" s="455"/>
      <c r="C83" s="420"/>
      <c r="D83" s="421"/>
      <c r="E83" s="421"/>
      <c r="F83" s="422"/>
      <c r="G83" s="656"/>
      <c r="H83" s="189"/>
      <c r="I83" s="190" t="s">
        <v>550</v>
      </c>
      <c r="J83" s="467"/>
      <c r="K83" s="468"/>
      <c r="L83" s="469"/>
    </row>
    <row r="84" spans="2:105" ht="20.25" customHeight="1">
      <c r="B84" s="405" t="s">
        <v>196</v>
      </c>
      <c r="C84" s="406"/>
      <c r="D84" s="406"/>
      <c r="E84" s="406"/>
      <c r="F84" s="406"/>
      <c r="G84" s="406"/>
      <c r="H84" s="406"/>
      <c r="I84" s="406"/>
      <c r="J84" s="406"/>
      <c r="K84" s="406"/>
      <c r="L84" s="407"/>
    </row>
    <row r="85" spans="2:105" ht="39" customHeight="1">
      <c r="B85" s="477" t="s">
        <v>47</v>
      </c>
      <c r="C85" s="406"/>
      <c r="D85" s="406"/>
      <c r="E85" s="406"/>
      <c r="F85" s="406"/>
      <c r="G85" s="406"/>
      <c r="H85" s="406"/>
      <c r="I85" s="406"/>
      <c r="J85" s="406"/>
      <c r="K85" s="406"/>
      <c r="L85" s="407"/>
    </row>
    <row r="86" spans="2:105" ht="39" customHeight="1">
      <c r="B86" s="453" t="s">
        <v>48</v>
      </c>
      <c r="C86" s="414" t="s">
        <v>262</v>
      </c>
      <c r="D86" s="415"/>
      <c r="E86" s="415"/>
      <c r="F86" s="416"/>
      <c r="G86" s="449"/>
      <c r="H86" s="179"/>
      <c r="I86" s="191" t="s">
        <v>294</v>
      </c>
      <c r="J86" s="460"/>
      <c r="K86" s="461"/>
      <c r="L86" s="462"/>
      <c r="Q86" s="19" t="s">
        <v>307</v>
      </c>
    </row>
    <row r="87" spans="2:105" ht="39" customHeight="1">
      <c r="B87" s="454"/>
      <c r="C87" s="417"/>
      <c r="D87" s="418"/>
      <c r="E87" s="418"/>
      <c r="F87" s="419"/>
      <c r="G87" s="463"/>
      <c r="H87" s="179"/>
      <c r="I87" s="187" t="s">
        <v>551</v>
      </c>
      <c r="J87" s="498"/>
      <c r="K87" s="464"/>
      <c r="L87" s="465"/>
      <c r="Q87" s="19"/>
    </row>
    <row r="88" spans="2:105" ht="145.5" customHeight="1">
      <c r="B88" s="454"/>
      <c r="C88" s="417"/>
      <c r="D88" s="418"/>
      <c r="E88" s="418"/>
      <c r="F88" s="419"/>
      <c r="G88" s="463"/>
      <c r="H88" s="179"/>
      <c r="I88" s="182" t="s">
        <v>552</v>
      </c>
      <c r="J88" s="498"/>
      <c r="K88" s="464"/>
      <c r="L88" s="465"/>
      <c r="Q88" s="19"/>
    </row>
    <row r="89" spans="2:105" ht="15.75" customHeight="1">
      <c r="B89" s="411" t="s">
        <v>49</v>
      </c>
      <c r="C89" s="414" t="s">
        <v>261</v>
      </c>
      <c r="D89" s="415"/>
      <c r="E89" s="415"/>
      <c r="F89" s="416"/>
      <c r="G89" s="449"/>
      <c r="H89" s="433"/>
      <c r="I89" s="435" t="str">
        <f>IF($B$2="PRELIMINARY SITE VISIT REPORT FINDINGS", "Plan for periodic assessment &amp; review of evaluations of the program, faculty, and clinical &amp; field internship sites", "Evidence of periodic assessment &amp; review of evaluations of the program, faculty, and clinical &amp; field internship sites")</f>
        <v>Evidence of periodic assessment &amp; review of evaluations of the program, faculty, and clinical &amp; field internship sites</v>
      </c>
      <c r="J89" s="460"/>
      <c r="K89" s="461"/>
      <c r="L89" s="462"/>
      <c r="M89" s="41"/>
      <c r="Q89" s="19" t="s">
        <v>308</v>
      </c>
    </row>
    <row r="90" spans="2:105" ht="9" customHeight="1">
      <c r="B90" s="412"/>
      <c r="C90" s="417"/>
      <c r="D90" s="418"/>
      <c r="E90" s="418"/>
      <c r="F90" s="419"/>
      <c r="G90" s="463"/>
      <c r="H90" s="474"/>
      <c r="I90" s="530"/>
      <c r="J90" s="498"/>
      <c r="K90" s="464"/>
      <c r="L90" s="465"/>
      <c r="M90" s="41"/>
      <c r="Q90" s="19"/>
    </row>
    <row r="91" spans="2:105" ht="68.25" customHeight="1">
      <c r="B91" s="413"/>
      <c r="C91" s="420"/>
      <c r="D91" s="421"/>
      <c r="E91" s="421"/>
      <c r="F91" s="422"/>
      <c r="G91" s="450"/>
      <c r="H91" s="434"/>
      <c r="I91" s="436"/>
      <c r="J91" s="467"/>
      <c r="K91" s="468"/>
      <c r="L91" s="469"/>
      <c r="Q91" s="19"/>
    </row>
    <row r="92" spans="2:105" ht="58.5" customHeight="1">
      <c r="B92" s="223" t="s">
        <v>50</v>
      </c>
      <c r="C92" s="414" t="s">
        <v>662</v>
      </c>
      <c r="D92" s="415"/>
      <c r="E92" s="415"/>
      <c r="F92" s="416"/>
      <c r="G92" s="229"/>
      <c r="H92" s="179"/>
      <c r="I92" s="182" t="s">
        <v>663</v>
      </c>
      <c r="J92" s="460"/>
      <c r="K92" s="461"/>
      <c r="L92" s="462"/>
      <c r="Q92" s="19" t="s">
        <v>309</v>
      </c>
    </row>
    <row r="93" spans="2:105" s="9" customFormat="1" ht="47.25" customHeight="1">
      <c r="B93" s="411" t="s">
        <v>51</v>
      </c>
      <c r="C93" s="414" t="s">
        <v>664</v>
      </c>
      <c r="D93" s="415"/>
      <c r="E93" s="415"/>
      <c r="F93" s="416"/>
      <c r="G93" s="449"/>
      <c r="H93" s="179"/>
      <c r="I93" s="181" t="str">
        <f>IF($B$2="PRELIMINARY SITE VISIT REPORT FINDINGS","Plan for periodic assessment of clinical and field sites and capstone field internship preceptors", "Periodic assessment of clinical and field sites and capstone field internship preceptors")</f>
        <v>Periodic assessment of clinical and field sites and capstone field internship preceptors</v>
      </c>
      <c r="J93" s="460"/>
      <c r="K93" s="461"/>
      <c r="L93" s="462"/>
      <c r="M93" s="51"/>
      <c r="N93" s="51"/>
      <c r="O93" s="51"/>
      <c r="P93" s="51"/>
      <c r="Q93" s="51" t="s">
        <v>310</v>
      </c>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51"/>
      <c r="BY93" s="51"/>
      <c r="BZ93" s="51"/>
      <c r="CA93" s="51"/>
      <c r="CB93" s="51"/>
      <c r="CC93" s="51"/>
      <c r="CD93" s="51"/>
      <c r="CE93" s="51"/>
      <c r="CF93" s="51"/>
      <c r="CG93" s="51"/>
      <c r="CH93" s="51"/>
      <c r="CI93" s="51"/>
      <c r="CJ93" s="51"/>
      <c r="CK93" s="51"/>
      <c r="CL93" s="51"/>
      <c r="CM93" s="51"/>
      <c r="CN93" s="51"/>
      <c r="CO93" s="51"/>
      <c r="CP93" s="51"/>
      <c r="CQ93" s="51"/>
      <c r="CR93" s="51"/>
      <c r="CS93" s="51"/>
      <c r="CT93" s="51"/>
      <c r="CU93" s="51"/>
      <c r="CV93" s="51"/>
      <c r="CW93" s="51"/>
      <c r="CX93" s="51"/>
      <c r="CY93" s="51"/>
      <c r="CZ93" s="51"/>
      <c r="DA93" s="51"/>
    </row>
    <row r="94" spans="2:105" s="9" customFormat="1" ht="183" customHeight="1">
      <c r="B94" s="412"/>
      <c r="C94" s="417"/>
      <c r="D94" s="418"/>
      <c r="E94" s="418"/>
      <c r="F94" s="419"/>
      <c r="G94" s="463"/>
      <c r="H94" s="179"/>
      <c r="I94" s="181" t="str">
        <f>IF($B$2="PRELIMINARY SITE VISIT REPORT FINDINGS","Plan or evidence of orientation program for clinical &amp; field experience liaisons including
  • Purposes of the student rotation
    (minimum competencies, skills, 
     and"&amp;" behaviors)
  • Evaluation tools used by the 
     program  
  • Criteria of evaluation for grading 
     students"&amp;"
  • Contact information for the 
      program", "Evidence of orientation for clinical &amp; field experience liaisons including: 
  • Purposes of the student rotation
    (minimum competencies, skills, 
     and"&amp;" behaviors)
  • Evaluation tools used by the 
     program  
  • Criteria of evaluation for grading 
     students"&amp;"
  • Contact information for the 
      program")</f>
        <v>Evidence of orientation for clinical &amp; field experience liaisons including: 
  • Purposes of the student rotation
    (minimum competencies, skills, 
     and behaviors)
  • Evaluation tools used by the 
     program  
  • Criteria of evaluation for grading 
     students
  • Contact information for the 
      program</v>
      </c>
      <c r="J94" s="498"/>
      <c r="K94" s="464"/>
      <c r="L94" s="465"/>
      <c r="M94" s="51"/>
      <c r="N94" s="51"/>
      <c r="O94" s="51"/>
      <c r="P94" s="51"/>
      <c r="Q94" s="286"/>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c r="BZ94" s="51"/>
      <c r="CA94" s="51"/>
      <c r="CB94" s="51"/>
      <c r="CC94" s="51"/>
      <c r="CD94" s="51"/>
      <c r="CE94" s="51"/>
      <c r="CF94" s="51"/>
      <c r="CG94" s="51"/>
      <c r="CH94" s="51"/>
      <c r="CI94" s="51"/>
      <c r="CJ94" s="51"/>
      <c r="CK94" s="51"/>
      <c r="CL94" s="51"/>
      <c r="CM94" s="51"/>
      <c r="CN94" s="51"/>
      <c r="CO94" s="51"/>
      <c r="CP94" s="51"/>
      <c r="CQ94" s="51"/>
      <c r="CR94" s="51"/>
      <c r="CS94" s="51"/>
      <c r="CT94" s="51"/>
      <c r="CU94" s="51"/>
      <c r="CV94" s="51"/>
      <c r="CW94" s="51"/>
      <c r="CX94" s="51"/>
      <c r="CY94" s="51"/>
      <c r="CZ94" s="51"/>
      <c r="DA94" s="51"/>
    </row>
    <row r="95" spans="2:105" s="9" customFormat="1" ht="258.75" customHeight="1">
      <c r="B95" s="412"/>
      <c r="C95" s="417"/>
      <c r="D95" s="418"/>
      <c r="E95" s="418"/>
      <c r="F95" s="419"/>
      <c r="G95" s="463"/>
      <c r="H95" s="179"/>
      <c r="I95" s="181" t="str">
        <f>IF($B$2="PRELIMINARY SITE VISIT REPORT FINDINGS","Plan or evidence of training of each capstone field internship preceptor to include:
  • Purposes of the student rotation
    (minimum competencies, skills, 
     and"&amp;" behaviors)
  • Evaluation tools used by the 
     program  
  • Criteria of evaluation for grading 
     students"&amp;"
  • Contact information for the 
      program"&amp;" 
  • Program's definition of team lead
  • Program's required minimum "&amp;"
     number of team leads
  • Coaching techniques", "Evidence of training of each capstone field internship preceptor to include:
  • Purposes of the student rotation
     (minimum competencies, skills, 
     and"&amp;" behaviors)
  • Evaluation tools used by the 
     program  
  • Criteria of evaluation for grading 
     students"&amp;"
  • Contact information for the 
     program"&amp;" 
  • Program's definition of team lead
  • Program's required minimum "&amp;"
     number of team leads
  • Coaching techniques")</f>
        <v>Evidence of training of each capstone field internship preceptor to include:
  • Purposes of the student rotation
     (minimum competencies, skills, 
     and behaviors)
  • Evaluation tools used by the 
     program  
  • Criteria of evaluation for grading 
     students
  • Contact information for the 
     program 
  • Program's definition of team lead
  • Program's required minimum 
     number of team leads
  • Coaching techniques</v>
      </c>
      <c r="J95" s="498"/>
      <c r="K95" s="464"/>
      <c r="L95" s="465"/>
      <c r="M95" s="51"/>
      <c r="N95" s="51"/>
      <c r="O95" s="51"/>
      <c r="P95" s="51"/>
      <c r="Q95" s="286"/>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c r="BZ95" s="51"/>
      <c r="CA95" s="51"/>
      <c r="CB95" s="51"/>
      <c r="CC95" s="51"/>
      <c r="CD95" s="51"/>
      <c r="CE95" s="51"/>
      <c r="CF95" s="51"/>
      <c r="CG95" s="51"/>
      <c r="CH95" s="51"/>
      <c r="CI95" s="51"/>
      <c r="CJ95" s="51"/>
      <c r="CK95" s="51"/>
      <c r="CL95" s="51"/>
      <c r="CM95" s="51"/>
      <c r="CN95" s="51"/>
      <c r="CO95" s="51"/>
      <c r="CP95" s="51"/>
      <c r="CQ95" s="51"/>
      <c r="CR95" s="51"/>
      <c r="CS95" s="51"/>
      <c r="CT95" s="51"/>
      <c r="CU95" s="51"/>
      <c r="CV95" s="51"/>
      <c r="CW95" s="51"/>
      <c r="CX95" s="51"/>
      <c r="CY95" s="51"/>
      <c r="CZ95" s="51"/>
      <c r="DA95" s="51"/>
    </row>
    <row r="96" spans="2:105" s="9" customFormat="1" ht="55.5" customHeight="1">
      <c r="B96" s="486" t="s">
        <v>692</v>
      </c>
      <c r="C96" s="414" t="s">
        <v>682</v>
      </c>
      <c r="D96" s="415"/>
      <c r="E96" s="415"/>
      <c r="F96" s="416"/>
      <c r="G96" s="225" t="str">
        <f>IF(AND(H96="      Same State Satellite Location(s)",J96&lt;&gt;""), "Not Met",IF(AND(H96="      Same State Satellite Location(s)",J96=""),"Met","N/A"))</f>
        <v>N/A</v>
      </c>
      <c r="H96" s="489" t="str">
        <f>IF('Satellite(s)'!$H$6&lt;&gt;"N/A","      Same state satellite location(s)","      No same state satellite location(s)")</f>
        <v xml:space="preserve">      No same state satellite location(s)</v>
      </c>
      <c r="I96" s="490"/>
      <c r="J96" s="491" t="str" cm="1">
        <f t="array" ref="J96">_xlfn.TEXTJOIN("
",TRUE,IF('Satellite(s)'!F21:AB21="Not Met","The PD is not responsible for satellite management at the following location(s):" &amp; 'Satellite(s)'!F13:AB13,""))</f>
        <v/>
      </c>
      <c r="K96" s="492"/>
      <c r="L96" s="493"/>
      <c r="M96" s="286"/>
      <c r="N96" s="51"/>
      <c r="O96" s="51"/>
      <c r="P96" s="51"/>
      <c r="Q96" s="296" t="s">
        <v>738</v>
      </c>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1"/>
      <c r="BY96" s="51"/>
      <c r="BZ96" s="51"/>
      <c r="CA96" s="51"/>
      <c r="CB96" s="51"/>
      <c r="CC96" s="51"/>
      <c r="CD96" s="51"/>
      <c r="CE96" s="51"/>
      <c r="CF96" s="51"/>
      <c r="CG96" s="51"/>
      <c r="CH96" s="51"/>
      <c r="CI96" s="51"/>
      <c r="CJ96" s="51"/>
      <c r="CK96" s="51"/>
      <c r="CL96" s="51"/>
      <c r="CM96" s="51"/>
      <c r="CN96" s="51"/>
      <c r="CO96" s="51"/>
      <c r="CP96" s="51"/>
      <c r="CQ96" s="51"/>
      <c r="CR96" s="51"/>
      <c r="CS96" s="51"/>
      <c r="CT96" s="51"/>
      <c r="CU96" s="51"/>
      <c r="CV96" s="51"/>
      <c r="CW96" s="51"/>
      <c r="CX96" s="51"/>
      <c r="CY96" s="51"/>
      <c r="CZ96" s="51"/>
      <c r="DA96" s="51"/>
    </row>
    <row r="97" spans="2:105" s="9" customFormat="1" ht="55.5" customHeight="1">
      <c r="B97" s="487"/>
      <c r="C97" s="417"/>
      <c r="D97" s="418"/>
      <c r="E97" s="418"/>
      <c r="F97" s="419"/>
      <c r="G97" s="225" t="str">
        <f>IF(AND(H97="      Out-of-state satellite location(s)",J97&lt;&gt;""), "Not Met",IF(AND(H97="      Out-of-state satellite location(s)",J97=""),"Met","N/A"))</f>
        <v>N/A</v>
      </c>
      <c r="H97" s="489" t="str">
        <f>IF('Satellite(s)'!$H$7&lt;&gt;"N/A","      Out-of-state satellite location(s)","      No out-of-state satellite location(s)")</f>
        <v xml:space="preserve">      No out-of-state satellite location(s)</v>
      </c>
      <c r="I97" s="490"/>
      <c r="J97" s="491" t="str" cm="1">
        <f t="array" ref="J97">_xlfn.TEXTJOIN("
",TRUE,IF('Satellite(s)'!F68:L68="Not Met","The PD is not responsible for satellite management at the following location(s):" &amp; 'Satellite(s)'!F60:L60,""))</f>
        <v/>
      </c>
      <c r="K97" s="492"/>
      <c r="L97" s="493"/>
      <c r="M97" s="286"/>
      <c r="N97" s="51"/>
      <c r="O97" s="51"/>
      <c r="P97" s="51"/>
      <c r="Q97" s="296" t="s">
        <v>739</v>
      </c>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c r="BO97" s="51"/>
      <c r="BP97" s="51"/>
      <c r="BQ97" s="51"/>
      <c r="BR97" s="51"/>
      <c r="BS97" s="51"/>
      <c r="BT97" s="51"/>
      <c r="BU97" s="51"/>
      <c r="BV97" s="51"/>
      <c r="BW97" s="51"/>
      <c r="BX97" s="51"/>
      <c r="BY97" s="51"/>
      <c r="BZ97" s="51"/>
      <c r="CA97" s="51"/>
      <c r="CB97" s="51"/>
      <c r="CC97" s="51"/>
      <c r="CD97" s="51"/>
      <c r="CE97" s="51"/>
      <c r="CF97" s="51"/>
      <c r="CG97" s="51"/>
      <c r="CH97" s="51"/>
      <c r="CI97" s="51"/>
      <c r="CJ97" s="51"/>
      <c r="CK97" s="51"/>
      <c r="CL97" s="51"/>
      <c r="CM97" s="51"/>
      <c r="CN97" s="51"/>
      <c r="CO97" s="51"/>
      <c r="CP97" s="51"/>
      <c r="CQ97" s="51"/>
      <c r="CR97" s="51"/>
      <c r="CS97" s="51"/>
      <c r="CT97" s="51"/>
      <c r="CU97" s="51"/>
      <c r="CV97" s="51"/>
      <c r="CW97" s="51"/>
      <c r="CX97" s="51"/>
      <c r="CY97" s="51"/>
      <c r="CZ97" s="51"/>
      <c r="DA97" s="51"/>
    </row>
    <row r="98" spans="2:105" s="9" customFormat="1" ht="55.5" customHeight="1">
      <c r="B98" s="488"/>
      <c r="C98" s="420"/>
      <c r="D98" s="421"/>
      <c r="E98" s="421"/>
      <c r="F98" s="422"/>
      <c r="G98" s="225" t="str">
        <f>IF(AND(H98="      Not Approved Satellite Location(s)",J98&lt;&gt;""), "Not Met",IF(AND(H98="      Not Approved Satellite Location(s)",J98=""),"Met","N/A"))</f>
        <v>N/A</v>
      </c>
      <c r="H98" s="489" t="str">
        <f>IF('Satellite(s)'!$H$8&lt;&gt;"","      Not approved satellite location(s)","      No unapproved satellite location(s)")</f>
        <v xml:space="preserve">      No unapproved satellite location(s)</v>
      </c>
      <c r="I98" s="490"/>
      <c r="J98" s="491" t="str" cm="1">
        <f t="array" ref="J98">_xlfn.TEXTJOIN("
",TRUE,IF('Satellite(s)'!F115:L115="Not Met","The PD is not responsible for satellite management at the following location(s):" &amp; 'Satellite(s)'!F107:L107,""))</f>
        <v/>
      </c>
      <c r="K98" s="492"/>
      <c r="L98" s="493"/>
      <c r="M98" s="286"/>
      <c r="N98" s="51"/>
      <c r="O98" s="51"/>
      <c r="P98" s="51"/>
      <c r="Q98" s="296" t="s">
        <v>740</v>
      </c>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1"/>
      <c r="CB98" s="51"/>
      <c r="CC98" s="51"/>
      <c r="CD98" s="51"/>
      <c r="CE98" s="51"/>
      <c r="CF98" s="51"/>
      <c r="CG98" s="51"/>
      <c r="CH98" s="51"/>
      <c r="CI98" s="51"/>
      <c r="CJ98" s="51"/>
      <c r="CK98" s="51"/>
      <c r="CL98" s="51"/>
      <c r="CM98" s="51"/>
      <c r="CN98" s="51"/>
      <c r="CO98" s="51"/>
      <c r="CP98" s="51"/>
      <c r="CQ98" s="51"/>
      <c r="CR98" s="51"/>
      <c r="CS98" s="51"/>
      <c r="CT98" s="51"/>
      <c r="CU98" s="51"/>
      <c r="CV98" s="51"/>
      <c r="CW98" s="51"/>
      <c r="CX98" s="51"/>
      <c r="CY98" s="51"/>
      <c r="CZ98" s="51"/>
      <c r="DA98" s="51"/>
    </row>
    <row r="99" spans="2:105" s="9" customFormat="1" ht="55.5" customHeight="1">
      <c r="B99" s="486" t="s">
        <v>693</v>
      </c>
      <c r="C99" s="414" t="s">
        <v>777</v>
      </c>
      <c r="D99" s="415"/>
      <c r="E99" s="415"/>
      <c r="F99" s="416"/>
      <c r="G99" s="225" t="str">
        <f>IF(AND(H99="      Same State Satellite Location(s)",J99&lt;&gt;""), "Not Met",IF(AND(H99="      Same State Satellite Location(s)",J99=""),"Met","N/A"))</f>
        <v>N/A</v>
      </c>
      <c r="H99" s="489" t="str">
        <f>IF('Satellite(s)'!$H$6&lt;&gt;"N/A","      same state satellite location(s)","      No same state satellite location(s)")</f>
        <v xml:space="preserve">      No same state satellite location(s)</v>
      </c>
      <c r="I99" s="490"/>
      <c r="J99" s="430" t="str" cm="1">
        <f t="array" ref="J99">_xlfn.TEXTJOIN("
",TRUE,IF('Satellite(s)'!F51:AB51="Not Met",'Satellite(s)'!F52:AB52,""))</f>
        <v/>
      </c>
      <c r="K99" s="431"/>
      <c r="L99" s="432"/>
      <c r="M99" s="51"/>
      <c r="N99" s="51"/>
      <c r="O99" s="51"/>
      <c r="P99" s="51"/>
      <c r="Q99" s="296" t="s">
        <v>741</v>
      </c>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c r="BO99" s="51"/>
      <c r="BP99" s="51"/>
      <c r="BQ99" s="51"/>
      <c r="BR99" s="51"/>
      <c r="BS99" s="51"/>
      <c r="BT99" s="51"/>
      <c r="BU99" s="51"/>
      <c r="BV99" s="51"/>
      <c r="BW99" s="51"/>
      <c r="BX99" s="51"/>
      <c r="BY99" s="51"/>
      <c r="BZ99" s="51"/>
      <c r="CA99" s="51"/>
      <c r="CB99" s="51"/>
      <c r="CC99" s="51"/>
      <c r="CD99" s="51"/>
      <c r="CE99" s="51"/>
      <c r="CF99" s="51"/>
      <c r="CG99" s="51"/>
      <c r="CH99" s="51"/>
      <c r="CI99" s="51"/>
      <c r="CJ99" s="51"/>
      <c r="CK99" s="51"/>
      <c r="CL99" s="51"/>
      <c r="CM99" s="51"/>
      <c r="CN99" s="51"/>
      <c r="CO99" s="51"/>
      <c r="CP99" s="51"/>
      <c r="CQ99" s="51"/>
      <c r="CR99" s="51"/>
      <c r="CS99" s="51"/>
      <c r="CT99" s="51"/>
      <c r="CU99" s="51"/>
      <c r="CV99" s="51"/>
      <c r="CW99" s="51"/>
      <c r="CX99" s="51"/>
      <c r="CY99" s="51"/>
      <c r="CZ99" s="51"/>
      <c r="DA99" s="51"/>
    </row>
    <row r="100" spans="2:105" s="9" customFormat="1" ht="63.75" customHeight="1">
      <c r="B100" s="487"/>
      <c r="C100" s="417"/>
      <c r="D100" s="418"/>
      <c r="E100" s="418"/>
      <c r="F100" s="419"/>
      <c r="G100" s="225" t="str">
        <f>IF(AND(H100="      Out-of-state satellite location(s)",J100&lt;&gt;""), "Not Met",IF(AND(H100="      Out-of-state satellite location(s)",J100=""),"Met","N/A"))</f>
        <v>N/A</v>
      </c>
      <c r="H100" s="489" t="str">
        <f>IF('Satellite(s)'!$H$7&lt;&gt;"N/A","      Out-of-state satellite location(s)","      No out-of-state satellite location(s)")</f>
        <v xml:space="preserve">      No out-of-state satellite location(s)</v>
      </c>
      <c r="I100" s="490"/>
      <c r="J100" s="430" t="str" cm="1">
        <f t="array" ref="J100">_xlfn.TEXTJOIN("
",TRUE,IF('Satellite(s)'!F98:L98="Not Met",'Satellite(s)'!F99:L99,""))</f>
        <v/>
      </c>
      <c r="K100" s="431"/>
      <c r="L100" s="432"/>
      <c r="M100" s="51"/>
      <c r="N100" s="51"/>
      <c r="O100" s="51"/>
      <c r="P100" s="51"/>
      <c r="Q100" s="296" t="s">
        <v>742</v>
      </c>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c r="CB100" s="51"/>
      <c r="CC100" s="51"/>
      <c r="CD100" s="51"/>
      <c r="CE100" s="51"/>
      <c r="CF100" s="51"/>
      <c r="CG100" s="51"/>
      <c r="CH100" s="51"/>
      <c r="CI100" s="51"/>
      <c r="CJ100" s="51"/>
      <c r="CK100" s="51"/>
      <c r="CL100" s="51"/>
      <c r="CM100" s="51"/>
      <c r="CN100" s="51"/>
      <c r="CO100" s="51"/>
      <c r="CP100" s="51"/>
      <c r="CQ100" s="51"/>
      <c r="CR100" s="51"/>
      <c r="CS100" s="51"/>
      <c r="CT100" s="51"/>
      <c r="CU100" s="51"/>
      <c r="CV100" s="51"/>
      <c r="CW100" s="51"/>
      <c r="CX100" s="51"/>
      <c r="CY100" s="51"/>
      <c r="CZ100" s="51"/>
      <c r="DA100" s="51"/>
    </row>
    <row r="101" spans="2:105" s="9" customFormat="1" ht="63.75" customHeight="1">
      <c r="B101" s="488"/>
      <c r="C101" s="420"/>
      <c r="D101" s="421"/>
      <c r="E101" s="421"/>
      <c r="F101" s="422"/>
      <c r="G101" s="225" t="str">
        <f>IF(AND(H101="      Not Approved Satellite Location(s)",J101&lt;&gt;""), "Not Met",IF(AND(H101="      Not Approved Satellite Location(s)",J101=""),"Met","N/A"))</f>
        <v>N/A</v>
      </c>
      <c r="H101" s="489" t="str">
        <f>IF('Satellite(s)'!$H$8&lt;&gt;"","      Not approved satellite location(s)","      No unapproved satellite location(s)")</f>
        <v xml:space="preserve">      No unapproved satellite location(s)</v>
      </c>
      <c r="I101" s="490"/>
      <c r="J101" s="430" t="str" cm="1">
        <f t="array" ref="J101">_xlfn.TEXTJOIN("
",TRUE,IF('Satellite(s)'!F145:L145="Not Met",'Satellite(s)'!F146:L146,""))</f>
        <v/>
      </c>
      <c r="K101" s="431"/>
      <c r="L101" s="432"/>
      <c r="M101" s="51"/>
      <c r="N101" s="51"/>
      <c r="O101" s="51"/>
      <c r="P101" s="51"/>
      <c r="Q101" s="296" t="s">
        <v>743</v>
      </c>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c r="BO101" s="51"/>
      <c r="BP101" s="51"/>
      <c r="BQ101" s="51"/>
      <c r="BR101" s="51"/>
      <c r="BS101" s="51"/>
      <c r="BT101" s="51"/>
      <c r="BU101" s="51"/>
      <c r="BV101" s="51"/>
      <c r="BW101" s="51"/>
      <c r="BX101" s="51"/>
      <c r="BY101" s="51"/>
      <c r="BZ101" s="51"/>
      <c r="CA101" s="51"/>
      <c r="CB101" s="51"/>
      <c r="CC101" s="51"/>
      <c r="CD101" s="51"/>
      <c r="CE101" s="51"/>
      <c r="CF101" s="51"/>
      <c r="CG101" s="51"/>
      <c r="CH101" s="51"/>
      <c r="CI101" s="51"/>
      <c r="CJ101" s="51"/>
      <c r="CK101" s="51"/>
      <c r="CL101" s="51"/>
      <c r="CM101" s="51"/>
      <c r="CN101" s="51"/>
      <c r="CO101" s="51"/>
      <c r="CP101" s="51"/>
      <c r="CQ101" s="51"/>
      <c r="CR101" s="51"/>
      <c r="CS101" s="51"/>
      <c r="CT101" s="51"/>
      <c r="CU101" s="51"/>
      <c r="CV101" s="51"/>
      <c r="CW101" s="51"/>
      <c r="CX101" s="51"/>
      <c r="CY101" s="51"/>
      <c r="CZ101" s="51"/>
      <c r="DA101" s="51"/>
    </row>
    <row r="102" spans="2:105" ht="20.25" customHeight="1">
      <c r="B102" s="405" t="s">
        <v>194</v>
      </c>
      <c r="C102" s="406"/>
      <c r="D102" s="406"/>
      <c r="E102" s="406"/>
      <c r="F102" s="406"/>
      <c r="G102" s="406"/>
      <c r="H102" s="406"/>
      <c r="I102" s="406"/>
      <c r="J102" s="406"/>
      <c r="K102" s="406"/>
      <c r="L102" s="407"/>
    </row>
    <row r="103" spans="2:105" s="7" customFormat="1" ht="33" customHeight="1">
      <c r="B103" s="230" t="s">
        <v>53</v>
      </c>
      <c r="C103" s="443" t="str">
        <f>IF('Cover Page'!D8="AEMT","Minimum of an Associate's degree","Minimum of a Bachelor's degree")</f>
        <v>Minimum of a Bachelor's degree</v>
      </c>
      <c r="D103" s="444"/>
      <c r="E103" s="444"/>
      <c r="F103" s="445"/>
      <c r="G103" s="227"/>
      <c r="H103" s="494" t="s">
        <v>475</v>
      </c>
      <c r="I103" s="495"/>
      <c r="J103" s="446"/>
      <c r="K103" s="447"/>
      <c r="L103" s="448"/>
      <c r="M103" s="52"/>
      <c r="N103" s="52"/>
      <c r="O103" s="52"/>
      <c r="P103" s="52"/>
      <c r="Q103" s="52" t="s">
        <v>311</v>
      </c>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52"/>
      <c r="CD103" s="52"/>
      <c r="CE103" s="52"/>
      <c r="CF103" s="52"/>
      <c r="CG103" s="52"/>
      <c r="CH103" s="52"/>
      <c r="CI103" s="52"/>
      <c r="CJ103" s="52"/>
      <c r="CK103" s="52"/>
      <c r="CL103" s="52"/>
      <c r="CM103" s="52"/>
      <c r="CN103" s="52"/>
      <c r="CO103" s="52"/>
      <c r="CP103" s="52"/>
      <c r="CQ103" s="52"/>
      <c r="CR103" s="52"/>
      <c r="CS103" s="52"/>
      <c r="CT103" s="52"/>
      <c r="CU103" s="52"/>
      <c r="CV103" s="52"/>
      <c r="CW103" s="52"/>
      <c r="CX103" s="52"/>
      <c r="CY103" s="52"/>
      <c r="CZ103" s="52"/>
      <c r="DA103" s="52"/>
    </row>
    <row r="104" spans="2:105" ht="37.5" customHeight="1">
      <c r="B104" s="230" t="s">
        <v>54</v>
      </c>
      <c r="C104" s="483" t="s">
        <v>651</v>
      </c>
      <c r="D104" s="484"/>
      <c r="E104" s="484"/>
      <c r="F104" s="485"/>
      <c r="G104" s="227"/>
      <c r="H104" s="496"/>
      <c r="I104" s="497"/>
      <c r="J104" s="446"/>
      <c r="K104" s="447"/>
      <c r="L104" s="448"/>
      <c r="Q104" s="63" t="s">
        <v>312</v>
      </c>
    </row>
    <row r="105" spans="2:105" ht="47.25" customHeight="1">
      <c r="B105" s="230" t="s">
        <v>55</v>
      </c>
      <c r="C105" s="443" t="s">
        <v>652</v>
      </c>
      <c r="D105" s="444"/>
      <c r="E105" s="444"/>
      <c r="F105" s="445"/>
      <c r="G105" s="224"/>
      <c r="H105" s="494" t="s">
        <v>475</v>
      </c>
      <c r="I105" s="495"/>
      <c r="J105" s="669"/>
      <c r="K105" s="670"/>
      <c r="L105" s="671"/>
      <c r="Q105" s="19" t="s">
        <v>313</v>
      </c>
    </row>
    <row r="106" spans="2:105" ht="41.25" customHeight="1">
      <c r="B106" s="230" t="s">
        <v>56</v>
      </c>
      <c r="C106" s="443" t="s">
        <v>654</v>
      </c>
      <c r="D106" s="444"/>
      <c r="E106" s="444"/>
      <c r="F106" s="445"/>
      <c r="G106" s="224"/>
      <c r="H106" s="496"/>
      <c r="I106" s="497"/>
      <c r="J106" s="669"/>
      <c r="K106" s="670"/>
      <c r="L106" s="671"/>
      <c r="Q106" s="19" t="s">
        <v>314</v>
      </c>
    </row>
    <row r="107" spans="2:105" ht="65.099999999999994" customHeight="1">
      <c r="B107" s="230" t="s">
        <v>57</v>
      </c>
      <c r="C107" s="443" t="s">
        <v>655</v>
      </c>
      <c r="D107" s="444"/>
      <c r="E107" s="444"/>
      <c r="F107" s="445"/>
      <c r="G107" s="227"/>
      <c r="H107" s="179"/>
      <c r="I107" s="182" t="s">
        <v>516</v>
      </c>
      <c r="J107" s="446"/>
      <c r="K107" s="447"/>
      <c r="L107" s="448"/>
      <c r="Q107" s="19" t="s">
        <v>315</v>
      </c>
    </row>
    <row r="108" spans="2:105" ht="20.25" customHeight="1">
      <c r="B108" s="405" t="s">
        <v>197</v>
      </c>
      <c r="C108" s="406"/>
      <c r="D108" s="406"/>
      <c r="E108" s="406"/>
      <c r="F108" s="406"/>
      <c r="G108" s="406"/>
      <c r="H108" s="406"/>
      <c r="I108" s="406"/>
      <c r="J108" s="406"/>
      <c r="K108" s="406"/>
      <c r="L108" s="407"/>
      <c r="M108" s="41"/>
      <c r="Q108" s="19"/>
    </row>
    <row r="109" spans="2:105" ht="35.25" customHeight="1">
      <c r="B109" s="478" t="s">
        <v>582</v>
      </c>
      <c r="C109" s="653"/>
      <c r="D109" s="653"/>
      <c r="E109" s="653"/>
      <c r="F109" s="653"/>
      <c r="G109" s="653"/>
      <c r="H109" s="653"/>
      <c r="I109" s="653"/>
      <c r="J109" s="653"/>
      <c r="K109" s="653"/>
      <c r="L109" s="654"/>
    </row>
    <row r="110" spans="2:105" ht="88.5" customHeight="1">
      <c r="B110" s="223" t="s">
        <v>58</v>
      </c>
      <c r="C110" s="414" t="s">
        <v>656</v>
      </c>
      <c r="D110" s="415"/>
      <c r="E110" s="415"/>
      <c r="F110" s="416"/>
      <c r="G110" s="222"/>
      <c r="H110" s="179"/>
      <c r="I110" s="235" t="s">
        <v>785</v>
      </c>
      <c r="J110" s="460"/>
      <c r="K110" s="461"/>
      <c r="L110" s="462"/>
      <c r="Q110" s="19" t="s">
        <v>316</v>
      </c>
    </row>
    <row r="111" spans="2:105" ht="51.75" customHeight="1">
      <c r="B111" s="223" t="s">
        <v>59</v>
      </c>
      <c r="C111" s="414" t="s">
        <v>203</v>
      </c>
      <c r="D111" s="415"/>
      <c r="E111" s="415"/>
      <c r="F111" s="416"/>
      <c r="G111" s="222"/>
      <c r="H111" s="179"/>
      <c r="I111" s="180" t="s">
        <v>786</v>
      </c>
      <c r="J111" s="460"/>
      <c r="K111" s="461"/>
      <c r="L111" s="462"/>
      <c r="Q111" s="19" t="s">
        <v>317</v>
      </c>
    </row>
    <row r="112" spans="2:105" ht="64.5" customHeight="1">
      <c r="B112" s="230" t="s">
        <v>60</v>
      </c>
      <c r="C112" s="443" t="s">
        <v>657</v>
      </c>
      <c r="D112" s="444"/>
      <c r="E112" s="444"/>
      <c r="F112" s="445"/>
      <c r="G112" s="224"/>
      <c r="H112" s="179"/>
      <c r="I112" s="182" t="str">
        <f>IF($B$2="PRELIMINARY SITE VISIT REPORT FINDINGS","Plan for the review of instruments used to evaluate students", "Review of instruments used to evaluate students")</f>
        <v>Review of instruments used to evaluate students</v>
      </c>
      <c r="J112" s="446"/>
      <c r="K112" s="447"/>
      <c r="L112" s="448"/>
      <c r="Q112" s="19" t="s">
        <v>318</v>
      </c>
    </row>
    <row r="113" spans="2:17" ht="62.25" customHeight="1">
      <c r="B113" s="230" t="s">
        <v>61</v>
      </c>
      <c r="C113" s="443" t="s">
        <v>653</v>
      </c>
      <c r="D113" s="444"/>
      <c r="E113" s="444"/>
      <c r="F113" s="445"/>
      <c r="G113" s="224"/>
      <c r="H113" s="179"/>
      <c r="I113" s="182" t="str">
        <f>IF($B$2="PRELIMINARY SITE VISIT REPORT FINDINGS","Plan or evidence of process for Medical Director review and approval", "Evidence of process for Medical Director review and approval")</f>
        <v>Evidence of process for Medical Director review and approval</v>
      </c>
      <c r="J113" s="446"/>
      <c r="K113" s="447"/>
      <c r="L113" s="448"/>
      <c r="Q113" s="19" t="s">
        <v>319</v>
      </c>
    </row>
    <row r="114" spans="2:17" ht="55.5" customHeight="1">
      <c r="B114" s="223" t="s">
        <v>62</v>
      </c>
      <c r="C114" s="414" t="s">
        <v>204</v>
      </c>
      <c r="D114" s="415"/>
      <c r="E114" s="415"/>
      <c r="F114" s="416"/>
      <c r="G114" s="222"/>
      <c r="H114" s="179"/>
      <c r="I114" s="186" t="str">
        <f>IF($B$2="PRELIMINARY SITE VISIT REPORT FINDINGS","Process to sign Terminal Competency forms", "Signed Terminal Competency forms")</f>
        <v>Signed Terminal Competency forms</v>
      </c>
      <c r="J114" s="460"/>
      <c r="K114" s="461"/>
      <c r="L114" s="462"/>
      <c r="Q114" s="19" t="s">
        <v>320</v>
      </c>
    </row>
    <row r="115" spans="2:17" ht="106.5" customHeight="1">
      <c r="B115" s="230" t="s">
        <v>63</v>
      </c>
      <c r="C115" s="443" t="s">
        <v>205</v>
      </c>
      <c r="D115" s="444"/>
      <c r="E115" s="444"/>
      <c r="F115" s="445"/>
      <c r="G115" s="224"/>
      <c r="H115" s="179"/>
      <c r="I115" s="182" t="s">
        <v>697</v>
      </c>
      <c r="J115" s="446"/>
      <c r="K115" s="447"/>
      <c r="L115" s="448"/>
      <c r="Q115" s="19" t="s">
        <v>321</v>
      </c>
    </row>
    <row r="116" spans="2:17" ht="51" customHeight="1">
      <c r="B116" s="223" t="s">
        <v>206</v>
      </c>
      <c r="C116" s="414" t="s">
        <v>681</v>
      </c>
      <c r="D116" s="415"/>
      <c r="E116" s="415"/>
      <c r="F116" s="416"/>
      <c r="G116" s="229"/>
      <c r="H116" s="179"/>
      <c r="I116" s="182" t="s">
        <v>665</v>
      </c>
      <c r="J116" s="460"/>
      <c r="K116" s="461"/>
      <c r="L116" s="462"/>
      <c r="Q116" s="19" t="s">
        <v>322</v>
      </c>
    </row>
    <row r="117" spans="2:17" ht="20.25" customHeight="1">
      <c r="B117" s="477" t="s">
        <v>195</v>
      </c>
      <c r="C117" s="406"/>
      <c r="D117" s="406"/>
      <c r="E117" s="406"/>
      <c r="F117" s="406"/>
      <c r="G117" s="406"/>
      <c r="H117" s="406"/>
      <c r="I117" s="406"/>
      <c r="J117" s="406"/>
      <c r="K117" s="406"/>
      <c r="L117" s="407"/>
    </row>
    <row r="118" spans="2:17" ht="72.75" customHeight="1">
      <c r="B118" s="219" t="s">
        <v>188</v>
      </c>
      <c r="C118" s="443" t="s">
        <v>679</v>
      </c>
      <c r="D118" s="444"/>
      <c r="E118" s="444"/>
      <c r="F118" s="445"/>
      <c r="G118" s="224"/>
      <c r="H118" s="494" t="s">
        <v>477</v>
      </c>
      <c r="I118" s="495"/>
      <c r="J118" s="467"/>
      <c r="K118" s="468"/>
      <c r="L118" s="469"/>
      <c r="Q118" s="19" t="s">
        <v>323</v>
      </c>
    </row>
    <row r="119" spans="2:17" ht="72" customHeight="1">
      <c r="B119" s="219" t="s">
        <v>189</v>
      </c>
      <c r="C119" s="443" t="s">
        <v>678</v>
      </c>
      <c r="D119" s="444"/>
      <c r="E119" s="444"/>
      <c r="F119" s="445"/>
      <c r="G119" s="224"/>
      <c r="H119" s="179"/>
      <c r="I119" s="182" t="s">
        <v>515</v>
      </c>
      <c r="J119" s="446"/>
      <c r="K119" s="447"/>
      <c r="L119" s="448"/>
      <c r="Q119" s="19" t="s">
        <v>324</v>
      </c>
    </row>
    <row r="120" spans="2:17" ht="47.25" customHeight="1">
      <c r="B120" s="219" t="s">
        <v>190</v>
      </c>
      <c r="C120" s="443" t="s">
        <v>677</v>
      </c>
      <c r="D120" s="444"/>
      <c r="E120" s="444"/>
      <c r="F120" s="445"/>
      <c r="G120" s="224"/>
      <c r="H120" s="179"/>
      <c r="I120" s="182" t="s">
        <v>517</v>
      </c>
      <c r="J120" s="446"/>
      <c r="K120" s="447"/>
      <c r="L120" s="448"/>
      <c r="Q120" s="19" t="s">
        <v>325</v>
      </c>
    </row>
    <row r="121" spans="2:17" ht="63.6" customHeight="1">
      <c r="B121" s="219" t="s">
        <v>191</v>
      </c>
      <c r="C121" s="443" t="s">
        <v>658</v>
      </c>
      <c r="D121" s="444"/>
      <c r="E121" s="444"/>
      <c r="F121" s="445"/>
      <c r="G121" s="224"/>
      <c r="H121" s="179"/>
      <c r="I121" s="181" t="s">
        <v>518</v>
      </c>
      <c r="J121" s="446"/>
      <c r="K121" s="447"/>
      <c r="L121" s="448"/>
      <c r="Q121" s="19" t="s">
        <v>326</v>
      </c>
    </row>
    <row r="122" spans="2:17" ht="63.6" customHeight="1">
      <c r="B122" s="219" t="s">
        <v>659</v>
      </c>
      <c r="C122" s="443" t="s">
        <v>676</v>
      </c>
      <c r="D122" s="444"/>
      <c r="E122" s="444"/>
      <c r="F122" s="445"/>
      <c r="G122" s="224"/>
      <c r="H122" s="179"/>
      <c r="I122" s="181" t="s">
        <v>518</v>
      </c>
      <c r="J122" s="446"/>
      <c r="K122" s="447"/>
      <c r="L122" s="448"/>
      <c r="Q122" s="19" t="s">
        <v>680</v>
      </c>
    </row>
    <row r="123" spans="2:17" ht="20.25" customHeight="1">
      <c r="B123" s="477" t="s">
        <v>198</v>
      </c>
      <c r="C123" s="406"/>
      <c r="D123" s="406"/>
      <c r="E123" s="406"/>
      <c r="F123" s="406"/>
      <c r="G123" s="406"/>
      <c r="H123" s="406"/>
      <c r="I123" s="406"/>
      <c r="J123" s="406"/>
      <c r="K123" s="406"/>
      <c r="L123" s="407"/>
    </row>
    <row r="124" spans="2:17" ht="53.25" customHeight="1">
      <c r="B124" s="576" t="s">
        <v>793</v>
      </c>
      <c r="C124" s="577"/>
      <c r="D124" s="577"/>
      <c r="E124" s="577"/>
      <c r="F124" s="577"/>
      <c r="G124" s="231" t="s">
        <v>119</v>
      </c>
      <c r="H124" s="451" t="str">
        <f>IF(G124="N/A", "", "          Number of Associate MDs: ==&gt;")</f>
        <v/>
      </c>
      <c r="I124" s="452"/>
      <c r="J124" s="297"/>
      <c r="K124" s="314"/>
      <c r="L124" s="315"/>
    </row>
    <row r="125" spans="2:17" ht="53.1" customHeight="1">
      <c r="B125" s="478" t="str">
        <f>IF(G124="N/A", "", "a. Responsibilities
When the program Medical Director delegates specified responsibilities, the program must designate one or more Associate Medical Directors:")</f>
        <v/>
      </c>
      <c r="C125" s="653"/>
      <c r="D125" s="653"/>
      <c r="E125" s="653"/>
      <c r="F125" s="653"/>
      <c r="G125" s="653"/>
      <c r="H125" s="653"/>
      <c r="I125" s="653"/>
      <c r="J125" s="653"/>
      <c r="K125" s="653"/>
      <c r="L125" s="654"/>
    </row>
    <row r="126" spans="2:17" ht="33" customHeight="1">
      <c r="B126" s="453" t="str">
        <f>IF(G124="N/A", "", "III.B.3.a.1)")</f>
        <v/>
      </c>
      <c r="C126" s="414" t="str">
        <f>IF(G124="N/A", "", "Fulfills responsibilities as delegated by the program Medical Director")</f>
        <v/>
      </c>
      <c r="D126" s="415"/>
      <c r="E126" s="415"/>
      <c r="F126" s="416"/>
      <c r="G126" s="449"/>
      <c r="H126" s="179"/>
      <c r="I126" s="185" t="str">
        <f>IF(G124="N/A", "", "Verified by emails")</f>
        <v/>
      </c>
      <c r="J126" s="460"/>
      <c r="K126" s="461"/>
      <c r="L126" s="462"/>
      <c r="Q126" s="19" t="s">
        <v>327</v>
      </c>
    </row>
    <row r="127" spans="2:17" ht="33" customHeight="1">
      <c r="B127" s="454"/>
      <c r="C127" s="420"/>
      <c r="D127" s="421"/>
      <c r="E127" s="421"/>
      <c r="F127" s="422"/>
      <c r="G127" s="450"/>
      <c r="H127" s="179"/>
      <c r="I127" s="188" t="str">
        <f>IF(G124="N/A", "", "Verified by conversation")</f>
        <v/>
      </c>
      <c r="J127" s="467"/>
      <c r="K127" s="468"/>
      <c r="L127" s="469"/>
      <c r="Q127" s="19"/>
    </row>
    <row r="128" spans="2:17" ht="20.25" customHeight="1">
      <c r="B128" s="477" t="str">
        <f>IF(G124="N/A", "", "b. Qualifications (Assoc MD)")</f>
        <v/>
      </c>
      <c r="C128" s="406"/>
      <c r="D128" s="406"/>
      <c r="E128" s="406"/>
      <c r="F128" s="406"/>
      <c r="G128" s="406"/>
      <c r="H128" s="406"/>
      <c r="I128" s="406"/>
      <c r="J128" s="406"/>
      <c r="K128" s="406"/>
      <c r="L128" s="407"/>
      <c r="Q128" s="19"/>
    </row>
    <row r="129" spans="2:17" ht="76.5" customHeight="1">
      <c r="B129" s="219" t="str">
        <f>IF(G124="N/A", "", "III.B.3.b.1)")</f>
        <v/>
      </c>
      <c r="C129" s="443" t="str">
        <f>IF(G124="N/A", "", "Currently licensed and authorized to practice in the state in which assigned program activities occur with experience and current knowledge of emergency care of acutely ill and injured patients")</f>
        <v/>
      </c>
      <c r="D129" s="444"/>
      <c r="E129" s="444"/>
      <c r="F129" s="445"/>
      <c r="G129" s="228"/>
      <c r="H129" s="179"/>
      <c r="I129" s="182" t="str">
        <f>IF(G124="N/A", "", "Maintained by program")</f>
        <v/>
      </c>
      <c r="J129" s="467"/>
      <c r="K129" s="468"/>
      <c r="L129" s="469"/>
      <c r="Q129" s="19" t="s">
        <v>328</v>
      </c>
    </row>
    <row r="130" spans="2:17" ht="81.75" customHeight="1">
      <c r="B130" s="219" t="str">
        <f>IF(G124="N/A", "", "III.B.3.b.2)")</f>
        <v/>
      </c>
      <c r="C130" s="443" t="str">
        <f>IF(G124="N/A", "", "Adequate training or experience in the delivery of out-of-hospital emergency care, including the proper care and transport of patients, medical direction, and quality improvement in out-of-hospital care")</f>
        <v/>
      </c>
      <c r="D130" s="444"/>
      <c r="E130" s="444"/>
      <c r="F130" s="445"/>
      <c r="G130" s="224"/>
      <c r="H130" s="179"/>
      <c r="I130" s="182" t="str">
        <f>IF(G124="N/A", "", "Letter of appointment/acceptance")</f>
        <v/>
      </c>
      <c r="J130" s="446"/>
      <c r="K130" s="447"/>
      <c r="L130" s="448"/>
      <c r="Q130" s="19" t="s">
        <v>329</v>
      </c>
    </row>
    <row r="131" spans="2:17" ht="54.6" customHeight="1">
      <c r="B131" s="411" t="str">
        <f>IF(G124="N/A", "", "III.B.3.b.3)")</f>
        <v/>
      </c>
      <c r="C131" s="414" t="str">
        <f>IF(G124="N/A", "", "Knowledgeable about the education of the Emergency Medical Services Professions, including professional, legislative and regulatory issues regarding the education of the Emergency Medical Services Professions")</f>
        <v/>
      </c>
      <c r="D131" s="415"/>
      <c r="E131" s="415"/>
      <c r="F131" s="416"/>
      <c r="G131" s="449"/>
      <c r="H131" s="179"/>
      <c r="I131" s="182" t="str">
        <f>IF(G124="N/A", "", "Verified by conversation")</f>
        <v/>
      </c>
      <c r="J131" s="460"/>
      <c r="K131" s="461"/>
      <c r="L131" s="462"/>
      <c r="Q131" s="19" t="s">
        <v>330</v>
      </c>
    </row>
    <row r="132" spans="2:17" ht="54" customHeight="1">
      <c r="B132" s="413"/>
      <c r="C132" s="420"/>
      <c r="D132" s="421"/>
      <c r="E132" s="421"/>
      <c r="F132" s="422"/>
      <c r="G132" s="450"/>
      <c r="H132" s="179"/>
      <c r="I132" s="182" t="str">
        <f>IF(G124="N/A", "", "Verified by conversation")</f>
        <v/>
      </c>
      <c r="J132" s="467"/>
      <c r="K132" s="468"/>
      <c r="L132" s="469"/>
      <c r="M132" s="41"/>
    </row>
    <row r="133" spans="2:17" ht="20.25" customHeight="1">
      <c r="B133" s="477" t="s">
        <v>207</v>
      </c>
      <c r="C133" s="406"/>
      <c r="D133" s="406"/>
      <c r="E133" s="406"/>
      <c r="F133" s="406"/>
      <c r="G133" s="406"/>
      <c r="H133" s="406"/>
      <c r="I133" s="406"/>
      <c r="J133" s="406"/>
      <c r="K133" s="406"/>
      <c r="L133" s="407"/>
    </row>
    <row r="134" spans="2:17" ht="57.75" customHeight="1">
      <c r="B134" s="481" t="s">
        <v>794</v>
      </c>
      <c r="C134" s="482"/>
      <c r="D134" s="482"/>
      <c r="E134" s="482"/>
      <c r="F134" s="482"/>
      <c r="G134" s="231" t="s">
        <v>119</v>
      </c>
      <c r="H134" s="475" t="str">
        <f>IF(G134="N/A", "", "Number of Assistant MDs: ==&gt;")</f>
        <v/>
      </c>
      <c r="I134" s="476"/>
      <c r="J134" s="205"/>
      <c r="K134" s="232"/>
      <c r="L134" s="233"/>
    </row>
    <row r="135" spans="2:17" ht="54" customHeight="1">
      <c r="B135" s="478" t="str">
        <f>IF(G134="N/A", "", "a. Responsibilities
When the program Medical Director or Associate Medical Director cannot legally provide supervision for out of state location(s) of the educational activities of the program, the sponsor must appoint an Assistant Medical Director:")</f>
        <v/>
      </c>
      <c r="C135" s="479"/>
      <c r="D135" s="479"/>
      <c r="E135" s="479"/>
      <c r="F135" s="479"/>
      <c r="G135" s="479"/>
      <c r="H135" s="479"/>
      <c r="I135" s="479"/>
      <c r="J135" s="479"/>
      <c r="K135" s="479"/>
      <c r="L135" s="480"/>
    </row>
    <row r="136" spans="2:17" ht="67.5" customHeight="1">
      <c r="B136" s="453" t="str">
        <f>IF(G134="N/A", "", "III.B.4.a.1)")</f>
        <v/>
      </c>
      <c r="C136" s="418" t="str">
        <f>IF(G134="N/A", "", "Provides medical supervision and oversight of students participating in clinical rotations, field experience and/or capstone field internship")</f>
        <v/>
      </c>
      <c r="D136" s="418"/>
      <c r="E136" s="418"/>
      <c r="F136" s="418"/>
      <c r="G136" s="466"/>
      <c r="H136" s="294"/>
      <c r="I136" s="295" t="str">
        <f>IF(G134="N/A", "", "Verified by emails")</f>
        <v/>
      </c>
      <c r="J136" s="464"/>
      <c r="K136" s="464"/>
      <c r="L136" s="464"/>
      <c r="Q136" s="19" t="s">
        <v>331</v>
      </c>
    </row>
    <row r="137" spans="2:17" ht="62.45" customHeight="1">
      <c r="B137" s="454"/>
      <c r="C137" s="418"/>
      <c r="D137" s="418"/>
      <c r="E137" s="418"/>
      <c r="F137" s="418"/>
      <c r="G137" s="466"/>
      <c r="H137" s="294"/>
      <c r="I137" s="295" t="str">
        <f>IF(G134="N/A", "", "Verified by conversation")</f>
        <v/>
      </c>
      <c r="J137" s="464"/>
      <c r="K137" s="464"/>
      <c r="L137" s="464"/>
      <c r="Q137" s="19"/>
    </row>
    <row r="138" spans="2:17" ht="20.25" customHeight="1">
      <c r="B138" s="470" t="str">
        <f>IF(G134="N/A", "", "b. Qualifications (Assist MD)")</f>
        <v/>
      </c>
      <c r="C138" s="470"/>
      <c r="D138" s="470"/>
      <c r="E138" s="470"/>
      <c r="F138" s="470"/>
      <c r="G138" s="470"/>
      <c r="H138" s="470"/>
      <c r="I138" s="470"/>
      <c r="J138" s="470"/>
      <c r="K138" s="470"/>
      <c r="L138" s="470"/>
      <c r="Q138" s="19"/>
    </row>
    <row r="139" spans="2:17" ht="66" customHeight="1">
      <c r="B139" s="219" t="str">
        <f>IF(G134="N/A", "", "III.B.4.b.1)")</f>
        <v/>
      </c>
      <c r="C139" s="417" t="str">
        <f>IF(G134="N/A", "", "Physician currently licensed to practice in the state or other like jurisdiction and authorized to practice in the jurisdiction where the student(s) are practicing")</f>
        <v/>
      </c>
      <c r="D139" s="418"/>
      <c r="E139" s="418"/>
      <c r="F139" s="419"/>
      <c r="G139" s="228"/>
      <c r="H139" s="203"/>
      <c r="I139" s="295" t="str">
        <f>IF(G134="N/A", "", "Letter of appointment/acceptance")</f>
        <v/>
      </c>
      <c r="J139" s="464"/>
      <c r="K139" s="464"/>
      <c r="L139" s="465"/>
      <c r="Q139" s="19" t="s">
        <v>332</v>
      </c>
    </row>
    <row r="140" spans="2:17" ht="45" customHeight="1">
      <c r="B140" s="453" t="str">
        <f>IF(G134="N/A", "", "III.B.4.b.2)")</f>
        <v/>
      </c>
      <c r="C140" s="418" t="str">
        <f>IF(G134="N/A", "", "Adequate training or experience in the delivery of out-of-hospital emergency care, including the proper care and transport of patients, medical direction, and quality improvement in out-of-hospital care")</f>
        <v/>
      </c>
      <c r="D140" s="418"/>
      <c r="E140" s="418"/>
      <c r="F140" s="418"/>
      <c r="G140" s="655"/>
      <c r="H140" s="189"/>
      <c r="I140" s="300" t="str">
        <f>IF(G134="N/A", "", "Verified by conversation")</f>
        <v/>
      </c>
      <c r="J140" s="464"/>
      <c r="K140" s="464"/>
      <c r="L140" s="464"/>
      <c r="Q140" s="19" t="s">
        <v>333</v>
      </c>
    </row>
    <row r="141" spans="2:17" ht="38.450000000000003" customHeight="1">
      <c r="B141" s="455"/>
      <c r="C141" s="418"/>
      <c r="D141" s="418"/>
      <c r="E141" s="418"/>
      <c r="F141" s="418"/>
      <c r="G141" s="709"/>
      <c r="H141" s="294"/>
      <c r="I141" s="301" t="str">
        <f>IF(G134="N/A", "", "Letter of appointment/acceptance")</f>
        <v/>
      </c>
      <c r="J141" s="464"/>
      <c r="K141" s="464"/>
      <c r="L141" s="464"/>
      <c r="Q141" s="19"/>
    </row>
    <row r="142" spans="2:17" ht="57.6" customHeight="1">
      <c r="B142" s="453" t="str">
        <f>IF(G134="N/A", "", "III.B.4.b.3)")</f>
        <v/>
      </c>
      <c r="C142" s="418" t="str">
        <f>IF(G134="N/A", "", "Knowledgeable about the education of the emergency medical services professions, including professional, legislative and regulatory issues regarding the education of the emergency medical services professions including professional, "&amp;"legislative and regulatory issues regarding the education of the emergency medical services professions")</f>
        <v/>
      </c>
      <c r="D142" s="418"/>
      <c r="E142" s="418"/>
      <c r="F142" s="418"/>
      <c r="G142" s="655"/>
      <c r="H142" s="281"/>
      <c r="I142" s="186" t="str">
        <f>IF(G134="N/A", "", "Verified by conversation")</f>
        <v/>
      </c>
      <c r="J142" s="464"/>
      <c r="K142" s="464"/>
      <c r="L142" s="464"/>
      <c r="Q142" s="19" t="s">
        <v>334</v>
      </c>
    </row>
    <row r="143" spans="2:17" ht="59.45" customHeight="1">
      <c r="B143" s="454"/>
      <c r="C143" s="418"/>
      <c r="D143" s="418"/>
      <c r="E143" s="418"/>
      <c r="F143" s="418"/>
      <c r="G143" s="466"/>
      <c r="H143" s="294"/>
      <c r="I143" s="292" t="str">
        <f>IF(G134="N/A", "", "Letter of appointment/acceptance")</f>
        <v/>
      </c>
      <c r="J143" s="464"/>
      <c r="K143" s="464"/>
      <c r="L143" s="464"/>
    </row>
    <row r="144" spans="2:17" ht="20.25" customHeight="1">
      <c r="B144" s="405" t="s">
        <v>208</v>
      </c>
      <c r="C144" s="406"/>
      <c r="D144" s="406"/>
      <c r="E144" s="406"/>
      <c r="F144" s="406"/>
      <c r="G144" s="406"/>
      <c r="H144" s="406"/>
      <c r="I144" s="406"/>
      <c r="J144" s="406"/>
      <c r="K144" s="406"/>
      <c r="L144" s="407"/>
    </row>
    <row r="145" spans="2:105" ht="20.25" customHeight="1">
      <c r="B145" s="405" t="s">
        <v>64</v>
      </c>
      <c r="C145" s="406"/>
      <c r="D145" s="406"/>
      <c r="E145" s="406"/>
      <c r="F145" s="406"/>
      <c r="G145" s="406"/>
      <c r="H145" s="406"/>
      <c r="I145" s="406"/>
      <c r="J145" s="406"/>
      <c r="K145" s="406"/>
      <c r="L145" s="407"/>
    </row>
    <row r="146" spans="2:105" ht="55.5" customHeight="1">
      <c r="B146" s="453" t="s">
        <v>192</v>
      </c>
      <c r="C146" s="427" t="s">
        <v>691</v>
      </c>
      <c r="D146" s="427"/>
      <c r="E146" s="427"/>
      <c r="F146" s="427"/>
      <c r="G146" s="449"/>
      <c r="H146" s="179"/>
      <c r="I146" s="183" t="s">
        <v>553</v>
      </c>
      <c r="J146" s="503"/>
      <c r="K146" s="504"/>
      <c r="L146" s="505"/>
      <c r="Q146" s="19" t="s">
        <v>249</v>
      </c>
    </row>
    <row r="147" spans="2:105" s="7" customFormat="1" ht="69.75" customHeight="1">
      <c r="B147" s="454"/>
      <c r="C147" s="427"/>
      <c r="D147" s="427"/>
      <c r="E147" s="427"/>
      <c r="F147" s="427"/>
      <c r="G147" s="463"/>
      <c r="H147" s="179"/>
      <c r="I147" s="182" t="str">
        <f>IF($B$2="PRELIMINARY SITE VISIT REPORT FINDINGS","Plan for program personnel that faculty are assigned to monitor students during clinical rotations &amp; field internship", "Verified by conversation with program personnel, students, and graduates that faculty is assigned to monitor students during clinical rotations &amp; field internship")</f>
        <v>Verified by conversation with program personnel, students, and graduates that faculty is assigned to monitor students during clinical rotations &amp; field internship</v>
      </c>
      <c r="J147" s="506"/>
      <c r="K147" s="507"/>
      <c r="L147" s="508"/>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52"/>
      <c r="CD147" s="52"/>
      <c r="CE147" s="52"/>
      <c r="CF147" s="52"/>
      <c r="CG147" s="52"/>
      <c r="CH147" s="52"/>
      <c r="CI147" s="52"/>
      <c r="CJ147" s="52"/>
      <c r="CK147" s="52"/>
      <c r="CL147" s="52"/>
      <c r="CM147" s="52"/>
      <c r="CN147" s="52"/>
      <c r="CO147" s="52"/>
      <c r="CP147" s="52"/>
      <c r="CQ147" s="52"/>
      <c r="CR147" s="52"/>
      <c r="CS147" s="52"/>
      <c r="CT147" s="52"/>
      <c r="CU147" s="52"/>
      <c r="CV147" s="52"/>
      <c r="CW147" s="52"/>
      <c r="CX147" s="52"/>
      <c r="CY147" s="52"/>
      <c r="CZ147" s="52"/>
      <c r="DA147" s="52"/>
    </row>
    <row r="148" spans="2:105" ht="38.25" customHeight="1">
      <c r="B148" s="454"/>
      <c r="C148" s="427"/>
      <c r="D148" s="427"/>
      <c r="E148" s="427"/>
      <c r="F148" s="427"/>
      <c r="G148" s="463"/>
      <c r="H148" s="179"/>
      <c r="I148" s="181" t="str">
        <f>IF($B$2="PRELIMINARY SITE VISIT REPORT FINDINGS","Plan for sufficient number of faculty for the number of enrolled students", "")</f>
        <v/>
      </c>
      <c r="J148" s="506"/>
      <c r="K148" s="507"/>
      <c r="L148" s="508"/>
      <c r="Q148" s="19"/>
    </row>
    <row r="149" spans="2:105" ht="30.75" customHeight="1">
      <c r="B149" s="454"/>
      <c r="C149" s="427"/>
      <c r="D149" s="427"/>
      <c r="E149" s="427"/>
      <c r="F149" s="427"/>
      <c r="G149" s="225" t="str">
        <f>IF(AND(H149="      Same State Satellite Location(s)",J149&lt;&gt;""), "Not Met",IF(AND(H149="      Same State Satellite Location(s)",J149=""),"Met","N/A"))</f>
        <v>N/A</v>
      </c>
      <c r="H149" s="458" t="str">
        <f>IF('Satellite(s)'!$H$6&lt;&gt;"N/A","      Same state satellite location(s)","      No same state satellite location(s)")</f>
        <v xml:space="preserve">      No same state satellite location(s)</v>
      </c>
      <c r="I149" s="459"/>
      <c r="J149" s="430" t="str" cm="1">
        <f t="array" ref="J149">_xlfn.TEXTJOIN("
",TRUE,IF('Satellite(s)'!F41:AB41="Not Met",'Satellite(s)'!F42:AB42,""))</f>
        <v/>
      </c>
      <c r="K149" s="431"/>
      <c r="L149" s="432"/>
      <c r="Q149" s="69" t="s">
        <v>744</v>
      </c>
    </row>
    <row r="150" spans="2:105" ht="37.5" customHeight="1">
      <c r="B150" s="454"/>
      <c r="C150" s="427"/>
      <c r="D150" s="427"/>
      <c r="E150" s="427"/>
      <c r="F150" s="427"/>
      <c r="G150" s="225" t="str">
        <f>IF(AND(H150="      Out-of-state satellite location(s)",J150&lt;&gt;""), "Not Met",IF(AND(H150="      Out-of-state satellite location(s)",J150=""),"Met","N/A"))</f>
        <v>N/A</v>
      </c>
      <c r="H150" s="458" t="str">
        <f>IF('Satellite(s)'!$H$7&lt;&gt;"N/A","      Out-of-state satellite location(s)","      No out-of-state satellite location(s)")</f>
        <v xml:space="preserve">      No out-of-state satellite location(s)</v>
      </c>
      <c r="I150" s="459"/>
      <c r="J150" s="430" t="str" cm="1">
        <f t="array" ref="J150">_xlfn.TEXTJOIN("
",TRUE,IF('Satellite(s)'!F88:L88="Not Met",'Satellite(s)'!F89:L89,""))</f>
        <v/>
      </c>
      <c r="K150" s="431"/>
      <c r="L150" s="432"/>
      <c r="Q150" s="69" t="s">
        <v>745</v>
      </c>
    </row>
    <row r="151" spans="2:105" ht="37.5" customHeight="1">
      <c r="B151" s="455"/>
      <c r="C151" s="427"/>
      <c r="D151" s="427"/>
      <c r="E151" s="427"/>
      <c r="F151" s="427"/>
      <c r="G151" s="225" t="str">
        <f>IF(AND(H151="      Not Approved Satellite Location(s)",J151&lt;&gt;""), "Not Met",IF(AND(H151="      Not Approved Satellite Location(s)",J151=""),"Met","N/A"))</f>
        <v>N/A</v>
      </c>
      <c r="H151" s="458" t="str">
        <f>IF('Satellite(s)'!$H$8&lt;&gt;"","      Not approved satellite location(s)","      No unapproved satellite location(s)")</f>
        <v xml:space="preserve">      No unapproved satellite location(s)</v>
      </c>
      <c r="I151" s="459"/>
      <c r="J151" s="430" t="str" cm="1">
        <f t="array" ref="J151">_xlfn.TEXTJOIN("
",TRUE,IF('Satellite(s)'!F135:L135="Not Met",'Satellite(s)'!F136:L136,""))</f>
        <v/>
      </c>
      <c r="K151" s="431"/>
      <c r="L151" s="432"/>
      <c r="Q151" s="69" t="s">
        <v>746</v>
      </c>
    </row>
    <row r="152" spans="2:105" ht="20.25" customHeight="1">
      <c r="B152" s="405" t="s">
        <v>52</v>
      </c>
      <c r="C152" s="406"/>
      <c r="D152" s="406"/>
      <c r="E152" s="406"/>
      <c r="F152" s="406"/>
      <c r="G152" s="406"/>
      <c r="H152" s="406"/>
      <c r="I152" s="406"/>
      <c r="J152" s="406"/>
      <c r="K152" s="406"/>
      <c r="L152" s="407"/>
    </row>
    <row r="153" spans="2:105" ht="75.95" customHeight="1">
      <c r="B153" s="223" t="s">
        <v>193</v>
      </c>
      <c r="C153" s="414" t="s">
        <v>675</v>
      </c>
      <c r="D153" s="415"/>
      <c r="E153" s="415"/>
      <c r="F153" s="416"/>
      <c r="G153" s="222"/>
      <c r="H153" s="179"/>
      <c r="I153" s="234" t="s">
        <v>554</v>
      </c>
      <c r="J153" s="460"/>
      <c r="K153" s="461"/>
      <c r="L153" s="462"/>
      <c r="Q153" s="19" t="s">
        <v>263</v>
      </c>
    </row>
    <row r="154" spans="2:105" ht="20.25" customHeight="1">
      <c r="B154" s="405" t="s">
        <v>209</v>
      </c>
      <c r="C154" s="406"/>
      <c r="D154" s="406"/>
      <c r="E154" s="406"/>
      <c r="F154" s="406"/>
      <c r="G154" s="406"/>
      <c r="H154" s="406"/>
      <c r="I154" s="406"/>
      <c r="J154" s="406"/>
      <c r="K154" s="406"/>
      <c r="L154" s="407"/>
    </row>
    <row r="155" spans="2:105" ht="55.5" customHeight="1">
      <c r="B155" s="707" t="s">
        <v>795</v>
      </c>
      <c r="C155" s="708"/>
      <c r="D155" s="708"/>
      <c r="E155" s="708"/>
      <c r="F155" s="708"/>
      <c r="G155" s="205" t="s">
        <v>119</v>
      </c>
      <c r="H155" s="302"/>
      <c r="I155" s="313" t="str">
        <f>IF(G155="N/A", "", "Number of Lead Instructors: ==&gt;")</f>
        <v/>
      </c>
      <c r="J155" s="303"/>
      <c r="K155" s="298"/>
      <c r="L155" s="299"/>
    </row>
    <row r="156" spans="2:105" ht="40.5" customHeight="1">
      <c r="B156" s="405" t="str">
        <f>IF(G155="N/A", "", "a. Responsibilities
    When the Program Director delegates specified responsibilities to a lead instructor, that individual must:")</f>
        <v/>
      </c>
      <c r="C156" s="406"/>
      <c r="D156" s="406"/>
      <c r="E156" s="406"/>
      <c r="F156" s="406"/>
      <c r="G156" s="406"/>
      <c r="H156" s="406"/>
      <c r="I156" s="406"/>
      <c r="J156" s="406"/>
      <c r="K156" s="406"/>
      <c r="L156" s="407"/>
    </row>
    <row r="157" spans="2:105" ht="69" customHeight="1">
      <c r="B157" s="223" t="str">
        <f>IF(G155="N/A", "", "III.B.6.a.")</f>
        <v/>
      </c>
      <c r="C157" s="414" t="str">
        <f>IF(G155="N/A", "", "Performs duties assigned under the direction and delegation of the Program Director")</f>
        <v/>
      </c>
      <c r="D157" s="415"/>
      <c r="E157" s="415"/>
      <c r="F157" s="416"/>
      <c r="G157" s="222"/>
      <c r="H157" s="179"/>
      <c r="I157" s="183" t="str">
        <f>IF(G155="N/A", "", "Verified by by conversation with the Program Director and Lead Instructor")</f>
        <v/>
      </c>
      <c r="J157" s="460"/>
      <c r="K157" s="461"/>
      <c r="L157" s="462"/>
      <c r="Q157" s="19" t="s">
        <v>250</v>
      </c>
    </row>
    <row r="158" spans="2:105" ht="20.25" customHeight="1">
      <c r="B158" s="405" t="str">
        <f>IF(G155="N/A", "", "b. Qualifications")</f>
        <v/>
      </c>
      <c r="C158" s="406"/>
      <c r="D158" s="406"/>
      <c r="E158" s="406"/>
      <c r="F158" s="406"/>
      <c r="G158" s="406"/>
      <c r="H158" s="406"/>
      <c r="I158" s="406"/>
      <c r="J158" s="406"/>
      <c r="K158" s="406"/>
      <c r="L158" s="407"/>
      <c r="Q158" s="19"/>
    </row>
    <row r="159" spans="2:105" ht="54.75" customHeight="1">
      <c r="B159" s="223" t="str">
        <f>IF(G155="N/A", "", "III.B.6.b.1)")</f>
        <v/>
      </c>
      <c r="C159" s="414" t="str">
        <f>IF(G155="N/A", "", "Minimum of an Associate Degree")</f>
        <v/>
      </c>
      <c r="D159" s="415"/>
      <c r="E159" s="415"/>
      <c r="F159" s="416"/>
      <c r="G159" s="224"/>
      <c r="H159" s="433"/>
      <c r="I159" s="471" t="str">
        <f>IF($G$155="N/A", "", "Documentation maintained by program 
(only Satellite Lead Instructors are verified by CoAEMSP)")</f>
        <v/>
      </c>
      <c r="J159" s="460"/>
      <c r="K159" s="461"/>
      <c r="L159" s="462"/>
      <c r="Q159" s="19" t="s">
        <v>335</v>
      </c>
    </row>
    <row r="160" spans="2:105" ht="51.75" customHeight="1">
      <c r="B160" s="223" t="str">
        <f>IF(G155="N/A", "", "III.B.6.b.2)")</f>
        <v/>
      </c>
      <c r="C160" s="414" t="str">
        <f>IF(G155="N/A", "", "Professional healthcare credential(s)")</f>
        <v/>
      </c>
      <c r="D160" s="415"/>
      <c r="E160" s="415"/>
      <c r="F160" s="416"/>
      <c r="G160" s="224"/>
      <c r="H160" s="474"/>
      <c r="I160" s="472"/>
      <c r="J160" s="460"/>
      <c r="K160" s="461"/>
      <c r="L160" s="462"/>
      <c r="Q160" s="19" t="s">
        <v>336</v>
      </c>
    </row>
    <row r="161" spans="2:17" ht="53.25" customHeight="1">
      <c r="B161" s="223" t="str">
        <f>IF(G155="N/A", "", "III.B.6.b.3)")</f>
        <v/>
      </c>
      <c r="C161" s="414" t="str">
        <f>IF(G155="N/A", "", "Experience in emergency medicine/prehospital care")</f>
        <v/>
      </c>
      <c r="D161" s="415"/>
      <c r="E161" s="415"/>
      <c r="F161" s="416"/>
      <c r="G161" s="224"/>
      <c r="H161" s="474"/>
      <c r="I161" s="472"/>
      <c r="J161" s="460"/>
      <c r="K161" s="461"/>
      <c r="L161" s="462"/>
      <c r="Q161" s="19" t="s">
        <v>337</v>
      </c>
    </row>
    <row r="162" spans="2:17" ht="52.5" customHeight="1">
      <c r="B162" s="223" t="str">
        <f>IF(G155="N/A", "", "III.B.6.b.4)")</f>
        <v/>
      </c>
      <c r="C162" s="414" t="str">
        <f>IF(G155="N/A", "", "Knowledge of instructional methods")</f>
        <v/>
      </c>
      <c r="D162" s="415"/>
      <c r="E162" s="415"/>
      <c r="F162" s="416"/>
      <c r="G162" s="224"/>
      <c r="H162" s="474"/>
      <c r="I162" s="472"/>
      <c r="J162" s="460"/>
      <c r="K162" s="461"/>
      <c r="L162" s="462"/>
      <c r="Q162" s="19" t="s">
        <v>338</v>
      </c>
    </row>
    <row r="163" spans="2:17" ht="52.5" customHeight="1">
      <c r="B163" s="223" t="str">
        <f>IF(G155="N/A", "", "III.B.6.b.5)")</f>
        <v/>
      </c>
      <c r="C163" s="443" t="str">
        <f>IF(G155="N/A", "", "Teaching experience to deliver content, skills instruction, and remediation")</f>
        <v/>
      </c>
      <c r="D163" s="444"/>
      <c r="E163" s="444"/>
      <c r="F163" s="445"/>
      <c r="G163" s="224"/>
      <c r="H163" s="434"/>
      <c r="I163" s="473"/>
      <c r="J163" s="460"/>
      <c r="K163" s="461"/>
      <c r="L163" s="462"/>
      <c r="Q163" s="19" t="s">
        <v>339</v>
      </c>
    </row>
    <row r="164" spans="2:17" ht="20.25" customHeight="1">
      <c r="B164" s="405" t="s">
        <v>635</v>
      </c>
      <c r="C164" s="406"/>
      <c r="D164" s="406"/>
      <c r="E164" s="406"/>
      <c r="F164" s="406"/>
      <c r="G164" s="406"/>
      <c r="H164" s="406"/>
      <c r="I164" s="406"/>
      <c r="J164" s="406"/>
      <c r="K164" s="406"/>
      <c r="L164" s="407"/>
      <c r="Q164" s="19"/>
    </row>
    <row r="165" spans="2:17" ht="21" customHeight="1">
      <c r="B165" s="456" t="s">
        <v>636</v>
      </c>
      <c r="C165" s="457"/>
      <c r="D165" s="457"/>
      <c r="E165" s="457"/>
      <c r="F165" s="457"/>
      <c r="G165" s="304"/>
      <c r="H165" s="425" t="str">
        <f>IF(G165="No", "", "Number of Clinical Coordinators: ==&gt;")</f>
        <v>Number of Clinical Coordinators: ==&gt;</v>
      </c>
      <c r="I165" s="426"/>
      <c r="J165" s="305"/>
      <c r="K165" s="306"/>
      <c r="L165" s="307"/>
    </row>
    <row r="166" spans="2:17" ht="62.25" customHeight="1">
      <c r="B166" s="553" t="str">
        <f>IF(G165="Yes", "a. Responsibilities", "a. Responsibilities
    Although the program does not utilize the clinical coordinator position, the responsibilities for the clinical coordinator position are required to be 
    fulfilled.")</f>
        <v>a. Responsibilities
    Although the program does not utilize the clinical coordinator position, the responsibilities for the clinical coordinator position are required to be 
    fulfilled.</v>
      </c>
      <c r="C166" s="553"/>
      <c r="D166" s="553"/>
      <c r="E166" s="553"/>
      <c r="F166" s="553"/>
      <c r="G166" s="553"/>
      <c r="H166" s="553"/>
      <c r="I166" s="553"/>
      <c r="J166" s="553"/>
      <c r="K166" s="553"/>
      <c r="L166" s="553"/>
    </row>
    <row r="167" spans="2:17" ht="61.5" customHeight="1">
      <c r="B167" s="317" t="s">
        <v>787</v>
      </c>
      <c r="C167" s="427" t="s">
        <v>788</v>
      </c>
      <c r="D167" s="427"/>
      <c r="E167" s="427"/>
      <c r="F167" s="427"/>
      <c r="G167" s="220"/>
      <c r="H167" s="706"/>
      <c r="I167" s="429" t="str">
        <f>IF(G165="N/A", "", "Verified by conversation with the Program Director and, if applicable, Lead Instructor
"&amp;"Verified by conversation with students")</f>
        <v>Verified by conversation with the Program Director and, if applicable, Lead Instructor
Verified by conversation with students</v>
      </c>
      <c r="J167" s="428"/>
      <c r="K167" s="428"/>
      <c r="L167" s="428"/>
      <c r="Q167" s="19" t="s">
        <v>668</v>
      </c>
    </row>
    <row r="168" spans="2:17" ht="51.75" customHeight="1">
      <c r="B168" s="317" t="s">
        <v>790</v>
      </c>
      <c r="C168" s="427" t="s">
        <v>789</v>
      </c>
      <c r="D168" s="427"/>
      <c r="E168" s="427"/>
      <c r="F168" s="427"/>
      <c r="G168" s="220"/>
      <c r="H168" s="706"/>
      <c r="I168" s="429"/>
      <c r="J168" s="428"/>
      <c r="K168" s="428"/>
      <c r="L168" s="428"/>
      <c r="Q168" s="19" t="s">
        <v>669</v>
      </c>
    </row>
    <row r="169" spans="2:17" ht="53.25" customHeight="1">
      <c r="B169" s="317" t="s">
        <v>791</v>
      </c>
      <c r="C169" s="427" t="str">
        <f>IF(G165="N/A", "", "Ensures orientation to the program’s requirements of the personnel who supervise or instruct students at clinical and capstone field internship sites")</f>
        <v>Ensures orientation to the program’s requirements of the personnel who supervise or instruct students at clinical and capstone field internship sites</v>
      </c>
      <c r="D169" s="427"/>
      <c r="E169" s="427"/>
      <c r="F169" s="427"/>
      <c r="G169" s="220"/>
      <c r="H169" s="706"/>
      <c r="I169" s="429"/>
      <c r="J169" s="428"/>
      <c r="K169" s="428"/>
      <c r="L169" s="428"/>
      <c r="Q169" s="19" t="s">
        <v>670</v>
      </c>
    </row>
    <row r="170" spans="2:17" ht="52.5" customHeight="1">
      <c r="B170" s="317" t="s">
        <v>792</v>
      </c>
      <c r="C170" s="427" t="str">
        <f>IF(G165="N/A", "", "Coordinates the assignment of students to clinical and field internship sites")</f>
        <v>Coordinates the assignment of students to clinical and field internship sites</v>
      </c>
      <c r="D170" s="427"/>
      <c r="E170" s="427"/>
      <c r="F170" s="427"/>
      <c r="G170" s="220"/>
      <c r="H170" s="706"/>
      <c r="I170" s="429"/>
      <c r="J170" s="428"/>
      <c r="K170" s="428"/>
      <c r="L170" s="428"/>
      <c r="Q170" s="19" t="s">
        <v>671</v>
      </c>
    </row>
    <row r="171" spans="2:17" ht="20.25" customHeight="1">
      <c r="B171" s="470" t="str">
        <f>IF(G165="No", "", "b. Qualifications")</f>
        <v>b. Qualifications</v>
      </c>
      <c r="C171" s="470"/>
      <c r="D171" s="470"/>
      <c r="E171" s="470"/>
      <c r="F171" s="470"/>
      <c r="G171" s="470"/>
      <c r="H171" s="470"/>
      <c r="I171" s="470"/>
      <c r="J171" s="470"/>
      <c r="K171" s="470"/>
      <c r="L171" s="470"/>
    </row>
    <row r="172" spans="2:17" ht="54.75" customHeight="1">
      <c r="B172" s="308" t="str">
        <f>IF(G165="No", "", "III.B.7.b.1)")</f>
        <v>III.B.7.b.1)</v>
      </c>
      <c r="C172" s="418" t="str">
        <f>IF(G165="No", "", "Experience in emergency medical services")</f>
        <v>Experience in emergency medical services</v>
      </c>
      <c r="D172" s="418"/>
      <c r="E172" s="418"/>
      <c r="F172" s="418"/>
      <c r="G172" s="291"/>
      <c r="H172" s="552"/>
      <c r="I172" s="548" t="str">
        <f>IF($G$165="No", "", "CV/Resume and conversation with program director and clinical coordinator")</f>
        <v>CV/Resume and conversation with program director and clinical coordinator</v>
      </c>
      <c r="J172" s="464"/>
      <c r="K172" s="464"/>
      <c r="L172" s="464"/>
      <c r="M172" s="24"/>
      <c r="Q172" s="19" t="s">
        <v>672</v>
      </c>
    </row>
    <row r="173" spans="2:17" ht="51.75" customHeight="1">
      <c r="B173" s="308" t="str">
        <f>IF(G165="No", "", "III.B.7.b.2)")</f>
        <v>III.B.7.b.2)</v>
      </c>
      <c r="C173" s="418" t="str">
        <f>IF(G165="No", "", "Knowledge of the curriculum")</f>
        <v>Knowledge of the curriculum</v>
      </c>
      <c r="D173" s="418"/>
      <c r="E173" s="418"/>
      <c r="F173" s="418"/>
      <c r="G173" s="291"/>
      <c r="H173" s="552"/>
      <c r="I173" s="548"/>
      <c r="J173" s="464"/>
      <c r="K173" s="464"/>
      <c r="L173" s="464"/>
      <c r="Q173" s="19" t="s">
        <v>673</v>
      </c>
    </row>
    <row r="174" spans="2:17" ht="53.25" customHeight="1">
      <c r="B174" s="308" t="str">
        <f>IF(G165="No", "", "III.B.7.b.3)")</f>
        <v>III.B.7.b.3)</v>
      </c>
      <c r="C174" s="418" t="str">
        <f>IF(G165="No", "", "Knowledge about the program’s evaluation of 
student learning and performance")</f>
        <v>Knowledge about the program’s evaluation of 
student learning and performance</v>
      </c>
      <c r="D174" s="418"/>
      <c r="E174" s="418"/>
      <c r="F174" s="418"/>
      <c r="G174" s="291"/>
      <c r="H174" s="552"/>
      <c r="I174" s="548"/>
      <c r="J174" s="464"/>
      <c r="K174" s="464"/>
      <c r="L174" s="464"/>
      <c r="Q174" s="19" t="s">
        <v>674</v>
      </c>
    </row>
    <row r="175" spans="2:17" ht="20.25" customHeight="1">
      <c r="B175" s="549" t="s">
        <v>65</v>
      </c>
      <c r="C175" s="550"/>
      <c r="D175" s="550"/>
      <c r="E175" s="550"/>
      <c r="F175" s="550"/>
      <c r="G175" s="550"/>
      <c r="H175" s="550"/>
      <c r="I175" s="550"/>
      <c r="J175" s="550"/>
      <c r="K175" s="550"/>
      <c r="L175" s="551"/>
      <c r="M175" s="41"/>
    </row>
    <row r="176" spans="2:17" ht="144.75" customHeight="1">
      <c r="B176" s="411" t="s">
        <v>66</v>
      </c>
      <c r="C176" s="415" t="s">
        <v>210</v>
      </c>
      <c r="D176" s="415"/>
      <c r="E176" s="415"/>
      <c r="F176" s="416"/>
      <c r="G176" s="449"/>
      <c r="H176" s="201"/>
      <c r="I176" s="182" t="s">
        <v>577</v>
      </c>
      <c r="J176" s="503"/>
      <c r="K176" s="504"/>
      <c r="L176" s="505"/>
      <c r="Q176" s="19" t="s">
        <v>726</v>
      </c>
    </row>
    <row r="177" spans="2:17" ht="83.25" customHeight="1">
      <c r="B177" s="412"/>
      <c r="C177" s="418"/>
      <c r="D177" s="418"/>
      <c r="E177" s="418"/>
      <c r="F177" s="419"/>
      <c r="G177" s="463"/>
      <c r="H177" s="201"/>
      <c r="I177" s="184" t="s">
        <v>778</v>
      </c>
      <c r="J177" s="506"/>
      <c r="K177" s="507"/>
      <c r="L177" s="508"/>
      <c r="Q177" s="19"/>
    </row>
    <row r="178" spans="2:17" ht="55.5" customHeight="1">
      <c r="B178" s="412"/>
      <c r="C178" s="418"/>
      <c r="D178" s="418"/>
      <c r="E178" s="418"/>
      <c r="F178" s="419"/>
      <c r="G178" s="225" t="str">
        <f>IF(AND(H178="      Same State Satellite Location(s)",J178&lt;&gt;""), "Not Met",IF(AND(H178="      Same State Satellite Location(s)",J178=""),"Met","N/A"))</f>
        <v>N/A</v>
      </c>
      <c r="H178" s="489" t="str">
        <f>IF('Satellite(s)'!$H$6&lt;&gt;"N/A","      Same state satellite location(s)","      No same state satellite location(s)")</f>
        <v xml:space="preserve">      No same state satellite location(s)</v>
      </c>
      <c r="I178" s="490"/>
      <c r="J178" s="430" t="str" cm="1">
        <f t="array" ref="J178">_xlfn.TEXTJOIN("
",TRUE,IF('Satellite(s)'!F39:AB39="Not Met",'Satellite(s)'!F40:AB40,""))</f>
        <v/>
      </c>
      <c r="K178" s="431"/>
      <c r="L178" s="432"/>
      <c r="Q178" s="69" t="s">
        <v>747</v>
      </c>
    </row>
    <row r="179" spans="2:17" ht="55.5" customHeight="1">
      <c r="B179" s="412"/>
      <c r="C179" s="418"/>
      <c r="D179" s="418"/>
      <c r="E179" s="418"/>
      <c r="F179" s="419"/>
      <c r="G179" s="225" t="str">
        <f>IF(AND(H179="      Out-of-state satellite location(s)",J179&lt;&gt;""), "Not Met",IF(AND(H179="      Out-of-state satellite location(s)",J179=""),"Met","N/A"))</f>
        <v>N/A</v>
      </c>
      <c r="H179" s="489" t="str">
        <f>IF('Satellite(s)'!$H$7&lt;&gt;"N/A","      Out-of-state satellite location(s)","      No out-of-state satellite location(s)")</f>
        <v xml:space="preserve">      No out-of-state satellite location(s)</v>
      </c>
      <c r="I179" s="490"/>
      <c r="J179" s="430" t="str" cm="1">
        <f t="array" ref="J179">_xlfn.TEXTJOIN("
",TRUE,IF('Satellite(s)'!F86:L86="Not Met",'Satellite(s)'!F87:L87,""))</f>
        <v/>
      </c>
      <c r="K179" s="431"/>
      <c r="L179" s="432"/>
      <c r="Q179" s="69" t="s">
        <v>748</v>
      </c>
    </row>
    <row r="180" spans="2:17" ht="55.5" customHeight="1">
      <c r="B180" s="413"/>
      <c r="C180" s="421"/>
      <c r="D180" s="421"/>
      <c r="E180" s="421"/>
      <c r="F180" s="422"/>
      <c r="G180" s="225" t="str">
        <f>IF(AND(H180="      Not Approved Satellite Location(s)",J180&lt;&gt;""), "Not Met",IF(AND(H180="      Not Approved Satellite Location(s)",J180=""),"Met","N/A"))</f>
        <v>N/A</v>
      </c>
      <c r="H180" s="489" t="str">
        <f>IF('Satellite(s)'!$H$8&lt;&gt;"","      Not approved satellite location(s)","      No unapproved satellite location(s)")</f>
        <v xml:space="preserve">      No unapproved satellite location(s)</v>
      </c>
      <c r="I180" s="490"/>
      <c r="J180" s="430" t="str" cm="1">
        <f t="array" ref="J180">_xlfn.TEXTJOIN("
",TRUE,IF('Satellite(s)'!F133:L133="Not Met",'Satellite(s)'!F134:L134,""))</f>
        <v/>
      </c>
      <c r="K180" s="431"/>
      <c r="L180" s="432"/>
      <c r="Q180" s="69" t="s">
        <v>749</v>
      </c>
    </row>
    <row r="181" spans="2:17" ht="37.5" customHeight="1">
      <c r="B181" s="411" t="s">
        <v>67</v>
      </c>
      <c r="C181" s="414" t="s">
        <v>290</v>
      </c>
      <c r="D181" s="415"/>
      <c r="E181" s="415"/>
      <c r="F181" s="416"/>
      <c r="G181" s="544"/>
      <c r="H181" s="179"/>
      <c r="I181" s="180" t="s">
        <v>478</v>
      </c>
      <c r="J181" s="460"/>
      <c r="K181" s="461"/>
      <c r="L181" s="462"/>
      <c r="Q181" s="19" t="s">
        <v>727</v>
      </c>
    </row>
    <row r="182" spans="2:17" ht="39" customHeight="1">
      <c r="B182" s="412"/>
      <c r="C182" s="417"/>
      <c r="D182" s="418"/>
      <c r="E182" s="418"/>
      <c r="F182" s="419"/>
      <c r="G182" s="544"/>
      <c r="H182" s="309"/>
      <c r="I182" s="184" t="s">
        <v>728</v>
      </c>
      <c r="J182" s="467"/>
      <c r="K182" s="468"/>
      <c r="L182" s="469"/>
      <c r="Q182" s="19"/>
    </row>
    <row r="183" spans="2:17" ht="55.5" customHeight="1">
      <c r="B183" s="412"/>
      <c r="C183" s="417"/>
      <c r="D183" s="418"/>
      <c r="E183" s="418"/>
      <c r="F183" s="419"/>
      <c r="G183" s="225" t="str">
        <f>IF(AND(H183="      Same State Satellite Location(s)",J183&lt;&gt;""), "Not Met",IF(AND(H183="      Same State Satellite Location(s)",J183=""),"Met","N/A"))</f>
        <v>N/A</v>
      </c>
      <c r="H183" s="501" t="str">
        <f>IF('Satellite(s)'!$H$6&lt;&gt;"N/A","      Same state satellite location(s)","      No same state satellite location(s)")</f>
        <v xml:space="preserve">      No same state satellite location(s)</v>
      </c>
      <c r="I183" s="502"/>
      <c r="J183" s="430" t="str" cm="1">
        <f t="array" ref="J183">_xlfn.TEXTJOIN("
",TRUE,IF('Satellite(s)'!$F$43:$AB$43="Not Met",'Satellite(s)'!$F$44:$AB$44,""))</f>
        <v/>
      </c>
      <c r="K183" s="431"/>
      <c r="L183" s="432"/>
      <c r="Q183" s="69" t="s">
        <v>750</v>
      </c>
    </row>
    <row r="184" spans="2:17" ht="55.5" customHeight="1">
      <c r="B184" s="412"/>
      <c r="C184" s="417"/>
      <c r="D184" s="418"/>
      <c r="E184" s="418"/>
      <c r="F184" s="419"/>
      <c r="G184" s="225" t="str">
        <f>IF(AND(H184="      Out-of-state satellite location(s)",J184&lt;&gt;""), "Not Met",IF(AND(H184="      Out-of-state satellite location(s)",J184=""),"Met","N/A"))</f>
        <v>N/A</v>
      </c>
      <c r="H184" s="501" t="str">
        <f>IF('Satellite(s)'!$H$7&lt;&gt;"N/A","      Out-of-state satellite location(s)","      No out-of-state satellite location(s)")</f>
        <v xml:space="preserve">      No out-of-state satellite location(s)</v>
      </c>
      <c r="I184" s="502"/>
      <c r="J184" s="430" t="str" cm="1">
        <f t="array" ref="J184">_xlfn.TEXTJOIN("
",TRUE,IF('Satellite(s)'!$F$90:$L$90="Not Met",'Satellite(s)'!$F$91:$L$91,""))</f>
        <v/>
      </c>
      <c r="K184" s="431"/>
      <c r="L184" s="432"/>
      <c r="Q184" s="69" t="s">
        <v>751</v>
      </c>
    </row>
    <row r="185" spans="2:17" ht="55.5" customHeight="1">
      <c r="B185" s="413"/>
      <c r="C185" s="420"/>
      <c r="D185" s="421"/>
      <c r="E185" s="421"/>
      <c r="F185" s="422"/>
      <c r="G185" s="225" t="str">
        <f>IF(AND(H185="      Not Approved Satellite Location(s)",J185&lt;&gt;""), "Not Met",IF(AND(H185="      Not Approved Satellite Location(s)",J185=""),"Met","N/A"))</f>
        <v>N/A</v>
      </c>
      <c r="H185" s="501" t="str">
        <f>IF('Satellite(s)'!$H$8&lt;&gt;"","      Not approved satellite location(s)","      No unapproved satellite location(s)")</f>
        <v xml:space="preserve">      No unapproved satellite location(s)</v>
      </c>
      <c r="I185" s="502"/>
      <c r="J185" s="430" t="str" cm="1">
        <f t="array" ref="J185">_xlfn.TEXTJOIN("
",TRUE,IF('Satellite(s)'!$F$137:$L$137="Not Met",'Satellite(s)'!$F$138:$L$138,""))</f>
        <v/>
      </c>
      <c r="K185" s="431"/>
      <c r="L185" s="432"/>
      <c r="Q185" s="69" t="s">
        <v>752</v>
      </c>
    </row>
    <row r="186" spans="2:17" ht="33" customHeight="1">
      <c r="B186" s="411" t="s">
        <v>68</v>
      </c>
      <c r="C186" s="414" t="s">
        <v>779</v>
      </c>
      <c r="D186" s="415"/>
      <c r="E186" s="415"/>
      <c r="F186" s="416"/>
      <c r="G186" s="449"/>
      <c r="H186" s="201"/>
      <c r="I186" s="182" t="s">
        <v>107</v>
      </c>
      <c r="J186" s="460"/>
      <c r="K186" s="461"/>
      <c r="L186" s="462"/>
      <c r="Q186" s="19" t="s">
        <v>725</v>
      </c>
    </row>
    <row r="187" spans="2:17" ht="65.25" customHeight="1">
      <c r="B187" s="412"/>
      <c r="C187" s="417"/>
      <c r="D187" s="418"/>
      <c r="E187" s="418"/>
      <c r="F187" s="419"/>
      <c r="G187" s="463"/>
      <c r="H187" s="201"/>
      <c r="I187" s="182" t="s">
        <v>555</v>
      </c>
      <c r="J187" s="498"/>
      <c r="K187" s="464"/>
      <c r="L187" s="465"/>
    </row>
    <row r="188" spans="2:17" ht="33" customHeight="1">
      <c r="B188" s="412"/>
      <c r="C188" s="417"/>
      <c r="D188" s="418"/>
      <c r="E188" s="418"/>
      <c r="F188" s="419"/>
      <c r="G188" s="463"/>
      <c r="H188" s="201"/>
      <c r="I188" s="182" t="s">
        <v>723</v>
      </c>
      <c r="J188" s="498"/>
      <c r="K188" s="464"/>
      <c r="L188" s="465"/>
    </row>
    <row r="189" spans="2:17" ht="55.5" customHeight="1">
      <c r="B189" s="412"/>
      <c r="C189" s="417"/>
      <c r="D189" s="418"/>
      <c r="E189" s="418"/>
      <c r="F189" s="419"/>
      <c r="G189" s="225" t="str">
        <f>IF(AND(H189="      Same State Satellite Location(s)",J189&lt;&gt;""), "Not Met",IF(AND(H189="      Same State Satellite Location(s)",J189=""),"Met","N/A"))</f>
        <v>N/A</v>
      </c>
      <c r="H189" s="501" t="str">
        <f>IF('Satellite(s)'!$H$6&lt;&gt;"N/A","      Same state satellite location(s)","      No same state satellite location(s)")</f>
        <v xml:space="preserve">      No same state satellite location(s)</v>
      </c>
      <c r="I189" s="502"/>
      <c r="J189" s="430" t="str" cm="1">
        <f t="array" ref="J189">_xlfn.TEXTJOIN("
",TRUE,IF('Satellite(s)'!F37:AB37="Not Met",'Satellite(s)'!F38:AB38,""))</f>
        <v/>
      </c>
      <c r="K189" s="431"/>
      <c r="L189" s="432"/>
      <c r="Q189" s="69" t="s">
        <v>753</v>
      </c>
    </row>
    <row r="190" spans="2:17" ht="55.5" customHeight="1">
      <c r="B190" s="412"/>
      <c r="C190" s="417"/>
      <c r="D190" s="418"/>
      <c r="E190" s="418"/>
      <c r="F190" s="419"/>
      <c r="G190" s="225" t="str">
        <f>IF(AND(H190="      Out-of-state satellite location(s)",J190&lt;&gt;""), "Not Met",IF(AND(H190="      Out-of-state satellite location(s)",J190=""),"Met","N/A"))</f>
        <v>N/A</v>
      </c>
      <c r="H190" s="501" t="str">
        <f>IF('Satellite(s)'!$H$7&lt;&gt;"N/A","      Out-of-state satellite location(s)","      No out-of-state satellite location(s)")</f>
        <v xml:space="preserve">      No out-of-state satellite location(s)</v>
      </c>
      <c r="I190" s="502"/>
      <c r="J190" s="430" t="str" cm="1">
        <f t="array" ref="J190">_xlfn.TEXTJOIN("
",TRUE,IF('Satellite(s)'!F84:L84="Not Met",'Satellite(s)'!F85:L85,""))</f>
        <v/>
      </c>
      <c r="K190" s="431"/>
      <c r="L190" s="432"/>
      <c r="Q190" s="69" t="s">
        <v>754</v>
      </c>
    </row>
    <row r="191" spans="2:17" ht="55.5" customHeight="1">
      <c r="B191" s="413"/>
      <c r="C191" s="420"/>
      <c r="D191" s="421"/>
      <c r="E191" s="421"/>
      <c r="F191" s="422"/>
      <c r="G191" s="225" t="str">
        <f>IF(AND(H191="      Not Approved Satellite Location(s)",J191&lt;&gt;""), "Not Met",IF(AND(H191="      Not Approved Satellite Location(s)",J191=""),"Met","N/A"))</f>
        <v>N/A</v>
      </c>
      <c r="H191" s="501" t="str">
        <f>IF('Satellite(s)'!$H$8&lt;&gt;"","      Not approved satellite location(s)","      No unapproved satellite location(s)")</f>
        <v xml:space="preserve">      No unapproved satellite location(s)</v>
      </c>
      <c r="I191" s="502"/>
      <c r="J191" s="430" t="str" cm="1">
        <f t="array" ref="J191">_xlfn.TEXTJOIN("
",TRUE,IF('Satellite(s)'!F131:L131="Not Met",'Satellite(s)'!F132:L132,""))</f>
        <v/>
      </c>
      <c r="K191" s="431"/>
      <c r="L191" s="432"/>
      <c r="Q191" s="69" t="s">
        <v>755</v>
      </c>
    </row>
    <row r="192" spans="2:17" ht="43.5" customHeight="1">
      <c r="B192" s="411" t="s">
        <v>638</v>
      </c>
      <c r="C192" s="414" t="s">
        <v>481</v>
      </c>
      <c r="D192" s="415"/>
      <c r="E192" s="415"/>
      <c r="F192" s="416"/>
      <c r="G192" s="449"/>
      <c r="H192" s="433"/>
      <c r="I192" s="471" t="s">
        <v>556</v>
      </c>
      <c r="J192" s="460"/>
      <c r="K192" s="461"/>
      <c r="L192" s="462"/>
      <c r="Q192" s="19" t="s">
        <v>724</v>
      </c>
    </row>
    <row r="193" spans="2:105" ht="26.25" customHeight="1">
      <c r="B193" s="412"/>
      <c r="C193" s="417"/>
      <c r="D193" s="418"/>
      <c r="E193" s="418"/>
      <c r="F193" s="419"/>
      <c r="G193" s="463"/>
      <c r="H193" s="434"/>
      <c r="I193" s="473"/>
      <c r="J193" s="498"/>
      <c r="K193" s="464"/>
      <c r="L193" s="465"/>
    </row>
    <row r="194" spans="2:105" ht="55.5" customHeight="1">
      <c r="B194" s="412"/>
      <c r="C194" s="417"/>
      <c r="D194" s="418"/>
      <c r="E194" s="418"/>
      <c r="F194" s="419"/>
      <c r="G194" s="225" t="str">
        <f>IF(AND(H194="      Same State Satellite Location(s)",J194&lt;&gt;""), "Not Met",IF(AND(H194="      Same State Satellite Location(s)",J194=""),"Met","N/A"))</f>
        <v>N/A</v>
      </c>
      <c r="H194" s="489" t="str">
        <f>IF('Satellite(s)'!$H$6&lt;&gt;"N/A","      Same state satellite location(s)","      No same state satellite location(s)")</f>
        <v xml:space="preserve">      No same state satellite location(s)</v>
      </c>
      <c r="I194" s="490"/>
      <c r="J194" s="430" t="str" cm="1">
        <f t="array" ref="J194">_xlfn.TEXTJOIN("
",TRUE,IF('Satellite(s)'!F47:AB47="Not Met",'Satellite(s)'!F48:AB48,""))</f>
        <v/>
      </c>
      <c r="K194" s="431"/>
      <c r="L194" s="432"/>
      <c r="Q194" s="69" t="s">
        <v>756</v>
      </c>
    </row>
    <row r="195" spans="2:105" ht="55.5" customHeight="1">
      <c r="B195" s="412"/>
      <c r="C195" s="417"/>
      <c r="D195" s="418"/>
      <c r="E195" s="418"/>
      <c r="F195" s="419"/>
      <c r="G195" s="225" t="str">
        <f>IF(AND(H195="      Out-of-state satellite location(s)",J195&lt;&gt;""), "Not Met",IF(AND(H195="      Out-of-state satellite location(s)",J195=""),"Met","N/A"))</f>
        <v>N/A</v>
      </c>
      <c r="H195" s="489" t="str">
        <f>IF('Satellite(s)'!$H$7&lt;&gt;"N/A","      Out-of-state satellite location(s)","      No out-of-state satellite location(s)")</f>
        <v xml:space="preserve">      No out-of-state satellite location(s)</v>
      </c>
      <c r="I195" s="490"/>
      <c r="J195" s="430" t="str" cm="1">
        <f t="array" ref="J195">_xlfn.TEXTJOIN("
",TRUE,IF('Satellite(s)'!F94:L94="Not Met",'Satellite(s)'!F95:L95,""))</f>
        <v/>
      </c>
      <c r="K195" s="431"/>
      <c r="L195" s="432"/>
      <c r="Q195" s="69" t="s">
        <v>757</v>
      </c>
    </row>
    <row r="196" spans="2:105" ht="55.5" customHeight="1">
      <c r="B196" s="413"/>
      <c r="C196" s="420"/>
      <c r="D196" s="421"/>
      <c r="E196" s="421"/>
      <c r="F196" s="422"/>
      <c r="G196" s="225" t="str">
        <f>IF(AND(H196="      Not Approved Satellite Location(s)",J196&lt;&gt;""), "Not Met",IF(AND(H196="      Not Approved Satellite Location(s)",J196=""),"Met","N/A"))</f>
        <v>N/A</v>
      </c>
      <c r="H196" s="489" t="str">
        <f>IF('Satellite(s)'!$H$8&lt;&gt;"","      Not approved satellite location(s)","      No unapproved satellite location(s)")</f>
        <v xml:space="preserve">      No unapproved satellite location(s)</v>
      </c>
      <c r="I196" s="490"/>
      <c r="J196" s="430" t="str" cm="1">
        <f t="array" ref="J196">_xlfn.TEXTJOIN("
",TRUE,IF('Satellite(s)'!F141:L141="Not Met",'Satellite(s)'!F142:L142,""))</f>
        <v/>
      </c>
      <c r="K196" s="431"/>
      <c r="L196" s="432"/>
      <c r="Q196" s="69" t="s">
        <v>758</v>
      </c>
    </row>
    <row r="197" spans="2:105" ht="49.5" customHeight="1">
      <c r="B197" s="453" t="s">
        <v>637</v>
      </c>
      <c r="C197" s="414" t="s">
        <v>479</v>
      </c>
      <c r="D197" s="415"/>
      <c r="E197" s="415"/>
      <c r="F197" s="416"/>
      <c r="G197" s="499"/>
      <c r="H197" s="179"/>
      <c r="I197" s="181" t="s">
        <v>557</v>
      </c>
      <c r="J197" s="460"/>
      <c r="K197" s="461"/>
      <c r="L197" s="462"/>
      <c r="Q197" s="19" t="s">
        <v>722</v>
      </c>
    </row>
    <row r="198" spans="2:105" ht="55.5" customHeight="1">
      <c r="B198" s="454"/>
      <c r="C198" s="417"/>
      <c r="D198" s="418"/>
      <c r="E198" s="418"/>
      <c r="F198" s="419"/>
      <c r="G198" s="500"/>
      <c r="H198" s="179"/>
      <c r="I198" s="182" t="s">
        <v>558</v>
      </c>
      <c r="J198" s="498"/>
      <c r="K198" s="464"/>
      <c r="L198" s="465"/>
    </row>
    <row r="199" spans="2:105" ht="20.25" customHeight="1">
      <c r="B199" s="405" t="s">
        <v>578</v>
      </c>
      <c r="C199" s="406"/>
      <c r="D199" s="406"/>
      <c r="E199" s="406"/>
      <c r="F199" s="406"/>
      <c r="G199" s="406"/>
      <c r="H199" s="406"/>
      <c r="I199" s="406"/>
      <c r="J199" s="406"/>
      <c r="K199" s="406"/>
      <c r="L199" s="407"/>
    </row>
    <row r="200" spans="2:105" s="11" customFormat="1" ht="59.25" customHeight="1">
      <c r="B200" s="411" t="s">
        <v>69</v>
      </c>
      <c r="C200" s="414" t="s">
        <v>70</v>
      </c>
      <c r="D200" s="415"/>
      <c r="E200" s="415"/>
      <c r="F200" s="416"/>
      <c r="G200" s="449"/>
      <c r="H200" s="179"/>
      <c r="I200" s="185" t="str">
        <f>IF($B$2="PRELIMINARY SITE VISIT REPORT FINDINGS", "Plan to complete the Resourse Assessment Matrix [RAM] annually", "Completed Resource Assessment Matrix [RAM] for the last three (3) years")</f>
        <v>Completed Resource Assessment Matrix [RAM] for the last three (3) years</v>
      </c>
      <c r="J200" s="503"/>
      <c r="K200" s="504"/>
      <c r="L200" s="505"/>
      <c r="M200" s="19"/>
      <c r="N200" s="19"/>
      <c r="O200" s="19"/>
      <c r="P200" s="19"/>
      <c r="Q200" s="19" t="s">
        <v>251</v>
      </c>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c r="BT200" s="19"/>
      <c r="BU200" s="19"/>
      <c r="BV200" s="19"/>
      <c r="BW200" s="19"/>
      <c r="BX200" s="19"/>
      <c r="BY200" s="19"/>
      <c r="BZ200" s="19"/>
      <c r="CA200" s="19"/>
      <c r="CB200" s="19"/>
      <c r="CC200" s="19"/>
      <c r="CD200" s="19"/>
      <c r="CE200" s="19"/>
      <c r="CF200" s="19"/>
      <c r="CG200" s="19"/>
      <c r="CH200" s="19"/>
      <c r="CI200" s="19"/>
      <c r="CJ200" s="19"/>
      <c r="CK200" s="19"/>
      <c r="CL200" s="19"/>
      <c r="CM200" s="19"/>
      <c r="CN200" s="19"/>
      <c r="CO200" s="19"/>
      <c r="CP200" s="19"/>
      <c r="CQ200" s="19"/>
      <c r="CR200" s="19"/>
      <c r="CS200" s="19"/>
      <c r="CT200" s="19"/>
      <c r="CU200" s="19"/>
      <c r="CV200" s="19"/>
      <c r="CW200" s="19"/>
      <c r="CX200" s="19"/>
      <c r="CY200" s="19"/>
      <c r="CZ200" s="19"/>
      <c r="DA200" s="19"/>
    </row>
    <row r="201" spans="2:105" ht="56.25" customHeight="1">
      <c r="B201" s="412"/>
      <c r="C201" s="417"/>
      <c r="D201" s="418"/>
      <c r="E201" s="418"/>
      <c r="F201" s="419"/>
      <c r="G201" s="463"/>
      <c r="H201" s="179"/>
      <c r="I201" s="182" t="s">
        <v>559</v>
      </c>
      <c r="J201" s="506"/>
      <c r="K201" s="507"/>
      <c r="L201" s="508"/>
    </row>
    <row r="202" spans="2:105" ht="56.25" customHeight="1">
      <c r="B202" s="412"/>
      <c r="C202" s="417"/>
      <c r="D202" s="418"/>
      <c r="E202" s="418"/>
      <c r="F202" s="419"/>
      <c r="G202" s="463"/>
      <c r="H202" s="179"/>
      <c r="I202" s="183" t="s">
        <v>780</v>
      </c>
      <c r="J202" s="506"/>
      <c r="K202" s="507"/>
      <c r="L202" s="508"/>
    </row>
    <row r="203" spans="2:105" ht="75" customHeight="1">
      <c r="B203" s="412"/>
      <c r="C203" s="417"/>
      <c r="D203" s="418"/>
      <c r="E203" s="418"/>
      <c r="F203" s="419"/>
      <c r="G203" s="225" t="str">
        <f>IF(AND(H203="      Same state satellite location(s)",J203&lt;&gt;""), "Not Met",IF(AND(H203="      Same state satellite location(s)",J203=""),"Met","N/A"))</f>
        <v>N/A</v>
      </c>
      <c r="H203" s="489" t="str">
        <f>IF('Satellite(s)'!$H$6&lt;&gt;"N/A","      Same state satellite location(s)","      No same state satellite location(s)")</f>
        <v xml:space="preserve">      No same state satellite location(s)</v>
      </c>
      <c r="I203" s="490"/>
      <c r="J203" s="491" t="str" cm="1">
        <f t="array" ref="J203">_xlfn.TEXTJOIN("
",TRUE,IF('Satellite(s)'!F22:AB22="Not Met","The RAM was not completed in conjuction with the main campus at the following location(s):" &amp; 'Satellite(s)'!F13:AB13,""))</f>
        <v/>
      </c>
      <c r="K203" s="492"/>
      <c r="L203" s="493"/>
      <c r="Q203" s="69" t="s">
        <v>759</v>
      </c>
    </row>
    <row r="204" spans="2:105" ht="67.5" customHeight="1">
      <c r="B204" s="412"/>
      <c r="C204" s="417"/>
      <c r="D204" s="418"/>
      <c r="E204" s="418"/>
      <c r="F204" s="419"/>
      <c r="G204" s="225" t="str">
        <f>IF(AND(H204="      Out-of-state satellite location(s)",J204&lt;&gt;""), "Not Met",IF(AND(H204="      Out-of-state satellite location(s)",J204=""),"Met","N/A"))</f>
        <v>N/A</v>
      </c>
      <c r="H204" s="489" t="str">
        <f>IF('Satellite(s)'!$H$7&lt;&gt;"N/A","      Out-of-state satellite location(s)","      No out-of-state satellite location(s)")</f>
        <v xml:space="preserve">      No out-of-state satellite location(s)</v>
      </c>
      <c r="I204" s="490"/>
      <c r="J204" s="491" t="str" cm="1">
        <f t="array" ref="J204">_xlfn.TEXTJOIN("
",TRUE,IF('Satellite(s)'!F69:L69="Not Met","The RAM was not completed in conjuction with the main campus at the following location(s):" &amp; 'Satellite(s)'!F60:L60,""))</f>
        <v/>
      </c>
      <c r="K204" s="492"/>
      <c r="L204" s="493"/>
      <c r="Q204" s="69" t="s">
        <v>760</v>
      </c>
    </row>
    <row r="205" spans="2:105" ht="77.099999999999994" customHeight="1">
      <c r="B205" s="413"/>
      <c r="C205" s="420"/>
      <c r="D205" s="421"/>
      <c r="E205" s="421"/>
      <c r="F205" s="422"/>
      <c r="G205" s="225" t="str">
        <f>IF(AND(H205="      Not Approved Satellite Location(s)",J205&lt;&gt;""), "Not Met",IF(AND(H205="      Not Approved Satellite Location(s)",J205=""),"Met","N/A"))</f>
        <v>N/A</v>
      </c>
      <c r="H205" s="489" t="str">
        <f>IF('Satellite(s)'!$H$8&lt;&gt;"","      Not approved satellite location(s)","      No unapproved satellite location(s)")</f>
        <v xml:space="preserve">      No unapproved satellite location(s)</v>
      </c>
      <c r="I205" s="490"/>
      <c r="J205" s="491" t="str" cm="1">
        <f t="array" ref="J205">_xlfn.TEXTJOIN("
",TRUE,IF('Satellite(s)'!F116:L116="Not Met","The RAM was not completed in conjuction with the main campus at the following location(s):" &amp; 'Satellite(s)'!F107:L107,""))</f>
        <v/>
      </c>
      <c r="K205" s="492"/>
      <c r="L205" s="493"/>
      <c r="Q205" s="69" t="s">
        <v>761</v>
      </c>
    </row>
    <row r="206" spans="2:105" ht="65.25" customHeight="1">
      <c r="B206" s="230" t="s">
        <v>69</v>
      </c>
      <c r="C206" s="443" t="s">
        <v>211</v>
      </c>
      <c r="D206" s="444"/>
      <c r="E206" s="444"/>
      <c r="F206" s="445"/>
      <c r="G206" s="224"/>
      <c r="H206" s="179"/>
      <c r="I206" s="182" t="s">
        <v>184</v>
      </c>
      <c r="J206" s="446"/>
      <c r="K206" s="447"/>
      <c r="L206" s="448"/>
      <c r="Q206" s="19" t="s">
        <v>251</v>
      </c>
    </row>
    <row r="207" spans="2:105" ht="39" customHeight="1">
      <c r="B207" s="230" t="s">
        <v>69</v>
      </c>
      <c r="C207" s="443" t="s">
        <v>71</v>
      </c>
      <c r="D207" s="444"/>
      <c r="E207" s="444"/>
      <c r="F207" s="445"/>
      <c r="G207" s="224"/>
      <c r="H207" s="179"/>
      <c r="I207" s="182" t="s">
        <v>560</v>
      </c>
      <c r="J207" s="446"/>
      <c r="K207" s="447"/>
      <c r="L207" s="448"/>
      <c r="Q207" s="19" t="s">
        <v>251</v>
      </c>
    </row>
    <row r="208" spans="2:105" ht="39" customHeight="1">
      <c r="B208" s="230" t="s">
        <v>69</v>
      </c>
      <c r="C208" s="443" t="s">
        <v>72</v>
      </c>
      <c r="D208" s="444"/>
      <c r="E208" s="444"/>
      <c r="F208" s="445"/>
      <c r="G208" s="224"/>
      <c r="H208" s="179"/>
      <c r="I208" s="181" t="s">
        <v>561</v>
      </c>
      <c r="J208" s="460"/>
      <c r="K208" s="461"/>
      <c r="L208" s="462"/>
      <c r="Q208" s="19" t="s">
        <v>251</v>
      </c>
    </row>
    <row r="209" spans="2:17" s="146" customFormat="1" ht="27" customHeight="1">
      <c r="B209" s="408" t="str">
        <f>IF('Cover Page'!$D$8&lt;&gt;"Please Select",'Cover Page'!$D$8, "Select Program Level on the Cover Page tab")</f>
        <v>Select Program Level on the Cover Page tab</v>
      </c>
      <c r="C209" s="409"/>
      <c r="D209" s="409"/>
      <c r="E209" s="409"/>
      <c r="F209" s="409"/>
      <c r="G209" s="409"/>
      <c r="H209" s="409"/>
      <c r="I209" s="409"/>
      <c r="J209" s="409"/>
      <c r="K209" s="409"/>
      <c r="L209" s="410"/>
      <c r="Q209" s="283"/>
    </row>
    <row r="210" spans="2:17" ht="20.25" customHeight="1">
      <c r="B210" s="541" t="s">
        <v>73</v>
      </c>
      <c r="C210" s="542"/>
      <c r="D210" s="542"/>
      <c r="E210" s="542"/>
      <c r="F210" s="542"/>
      <c r="G210" s="542"/>
      <c r="H210" s="542"/>
      <c r="I210" s="542"/>
      <c r="J210" s="542"/>
      <c r="K210" s="542"/>
      <c r="L210" s="543"/>
    </row>
    <row r="211" spans="2:17" ht="20.25" customHeight="1">
      <c r="B211" s="405" t="s">
        <v>74</v>
      </c>
      <c r="C211" s="406"/>
      <c r="D211" s="406"/>
      <c r="E211" s="406"/>
      <c r="F211" s="406"/>
      <c r="G211" s="406"/>
      <c r="H211" s="406"/>
      <c r="I211" s="406"/>
      <c r="J211" s="406"/>
      <c r="K211" s="406"/>
      <c r="L211" s="407"/>
    </row>
    <row r="212" spans="2:17" ht="20.25" customHeight="1">
      <c r="B212" s="405" t="s">
        <v>75</v>
      </c>
      <c r="C212" s="406"/>
      <c r="D212" s="406"/>
      <c r="E212" s="406"/>
      <c r="F212" s="406"/>
      <c r="G212" s="406"/>
      <c r="H212" s="406"/>
      <c r="I212" s="406"/>
      <c r="J212" s="406"/>
      <c r="K212" s="406"/>
      <c r="L212" s="407"/>
    </row>
    <row r="213" spans="2:17" ht="52.5" customHeight="1">
      <c r="B213" s="411" t="s">
        <v>76</v>
      </c>
      <c r="C213" s="414" t="s">
        <v>77</v>
      </c>
      <c r="D213" s="415"/>
      <c r="E213" s="415"/>
      <c r="F213" s="416"/>
      <c r="G213" s="544"/>
      <c r="H213" s="179"/>
      <c r="I213" s="182" t="str">
        <f>IF($B$2="PRELIMINARY SITE VISIT REPORT FINDINGS","Plan to assess the validity and reliability of program exams","Validity and reliability assessments of  
program exams completed")</f>
        <v>Validity and reliability assessments of  
program exams completed</v>
      </c>
      <c r="J213" s="460"/>
      <c r="K213" s="461"/>
      <c r="L213" s="462"/>
      <c r="Q213" s="19" t="s">
        <v>252</v>
      </c>
    </row>
    <row r="214" spans="2:17" ht="73.5" customHeight="1">
      <c r="B214" s="412"/>
      <c r="C214" s="417"/>
      <c r="D214" s="418"/>
      <c r="E214" s="418"/>
      <c r="F214" s="419"/>
      <c r="G214" s="544"/>
      <c r="H214" s="179"/>
      <c r="I214" s="182" t="str">
        <f>IF($B$2="PRELIMINARY SITE VISIT REPORT FINDINGS","Plan for feedback mechanisms by program to students indicating progress toward achievement of competencies", "Feedback mechanisms by program to 
students indicating progress toward 
achievement of competencies")</f>
        <v>Feedback mechanisms by program to 
students indicating progress toward 
achievement of competencies</v>
      </c>
      <c r="J214" s="498"/>
      <c r="K214" s="464"/>
      <c r="L214" s="465"/>
    </row>
    <row r="215" spans="2:17" ht="51.75" customHeight="1">
      <c r="B215" s="412"/>
      <c r="C215" s="417"/>
      <c r="D215" s="418"/>
      <c r="E215" s="418"/>
      <c r="F215" s="419"/>
      <c r="G215" s="544"/>
      <c r="H215" s="179"/>
      <c r="I215" s="182" t="str">
        <f>IF($B$2="PRELIMINARY SITE VISIT REPORT FINDINGS","Plan for evidence of demonstration of skill mastery prior to entering clinical areas", "Evidence of demonstration of skill mastery prior to entering clinical areas")</f>
        <v>Evidence of demonstration of skill mastery prior to entering clinical areas</v>
      </c>
      <c r="J215" s="498"/>
      <c r="K215" s="464"/>
      <c r="L215" s="465"/>
    </row>
    <row r="216" spans="2:17" ht="55.5" customHeight="1">
      <c r="B216" s="412"/>
      <c r="C216" s="417"/>
      <c r="D216" s="418"/>
      <c r="E216" s="418"/>
      <c r="F216" s="419"/>
      <c r="G216" s="225" t="str">
        <f>IF(AND(H216="      Same State Satellite Location(s)",J216&lt;&gt;""), "Not Met",IF(AND(H216="      Same State Satellite Location(s)",J216=""),"Met","N/A"))</f>
        <v>N/A</v>
      </c>
      <c r="H216" s="429" t="str">
        <f>IF('Satellite(s)'!$H$6&lt;&gt;"N/A","      Same state satellite location(s)","      No same state satellite location(s)")</f>
        <v xml:space="preserve">      No same state satellite location(s)</v>
      </c>
      <c r="I216" s="429"/>
      <c r="J216" s="430" t="str" cm="1">
        <f t="array" ref="J216">_xlfn.TEXTJOIN("
",TRUE,IF('Satellite(s)'!F45:AB45="Not Met",'Satellite(s)'!F46:AB46,""))</f>
        <v/>
      </c>
      <c r="K216" s="431"/>
      <c r="L216" s="432"/>
      <c r="Q216" s="69" t="s">
        <v>762</v>
      </c>
    </row>
    <row r="217" spans="2:17" ht="55.5" customHeight="1">
      <c r="B217" s="412"/>
      <c r="C217" s="417"/>
      <c r="D217" s="418"/>
      <c r="E217" s="418"/>
      <c r="F217" s="419"/>
      <c r="G217" s="225" t="str">
        <f>IF(AND(H217="      Out-of-state satellite location(s)",J217&lt;&gt;""), "Not Met",IF(AND(H217="      Out-of-state satellite location(s)",J217=""),"Met","N/A"))</f>
        <v>N/A</v>
      </c>
      <c r="H217" s="429" t="str">
        <f>IF('Satellite(s)'!$H$7&lt;&gt;"N/A","      Out-of-state satellite location(s)","      No out-of-state satellite location(s)")</f>
        <v xml:space="preserve">      No out-of-state satellite location(s)</v>
      </c>
      <c r="I217" s="429"/>
      <c r="J217" s="430" t="str" cm="1">
        <f t="array" ref="J217">_xlfn.TEXTJOIN("
",TRUE,IF('Satellite(s)'!F92:L92="Not Met",'Satellite(s)'!F93:L93,""))</f>
        <v/>
      </c>
      <c r="K217" s="431"/>
      <c r="L217" s="432"/>
      <c r="Q217" s="69" t="s">
        <v>763</v>
      </c>
    </row>
    <row r="218" spans="2:17" ht="55.5" customHeight="1">
      <c r="B218" s="413"/>
      <c r="C218" s="420"/>
      <c r="D218" s="421"/>
      <c r="E218" s="421"/>
      <c r="F218" s="422"/>
      <c r="G218" s="225" t="str">
        <f>IF(AND(H218="      Not Approved Satellite Location(s)",J218&lt;&gt;""), "Not Met",IF(AND(H218="      Not Approved Satellite Location(s)",J218=""),"Met","N/A"))</f>
        <v>N/A</v>
      </c>
      <c r="H218" s="429" t="str">
        <f>IF('Satellite(s)'!$H$8&lt;&gt;"","      Not approved satellite location(s)","      No unapproved satellite location(s)")</f>
        <v xml:space="preserve">      No unapproved satellite location(s)</v>
      </c>
      <c r="I218" s="429"/>
      <c r="J218" s="430" t="str" cm="1">
        <f t="array" ref="J218">_xlfn.TEXTJOIN("
",TRUE,IF('Satellite(s)'!F139:L139="Not Met",'Satellite(s)'!F140:L140,""))</f>
        <v/>
      </c>
      <c r="K218" s="431"/>
      <c r="L218" s="432"/>
      <c r="Q218" s="69" t="s">
        <v>764</v>
      </c>
    </row>
    <row r="219" spans="2:17" ht="86.25" customHeight="1">
      <c r="B219" s="411" t="s">
        <v>76</v>
      </c>
      <c r="C219" s="414" t="s">
        <v>212</v>
      </c>
      <c r="D219" s="415"/>
      <c r="E219" s="415"/>
      <c r="F219" s="416"/>
      <c r="G219" s="544"/>
      <c r="H219" s="179"/>
      <c r="I219" s="182" t="s">
        <v>562</v>
      </c>
      <c r="J219" s="460"/>
      <c r="K219" s="461"/>
      <c r="L219" s="462"/>
      <c r="Q219" s="19" t="s">
        <v>252</v>
      </c>
    </row>
    <row r="220" spans="2:17" ht="66.75" customHeight="1">
      <c r="B220" s="412"/>
      <c r="C220" s="417"/>
      <c r="D220" s="418"/>
      <c r="E220" s="418"/>
      <c r="F220" s="419"/>
      <c r="G220" s="544"/>
      <c r="H220" s="179"/>
      <c r="I220" s="182" t="str">
        <f>IF($B$2="PRELIMINARY SITE VISIT REPORT FINDINGS","Plan for documentation of summative competency assessment for cognitive, clinical, and field components for students", "Documentation of summative competency assessment for cognitive, clinical, and field components for students")</f>
        <v>Documentation of summative competency assessment for cognitive, clinical, and field components for students</v>
      </c>
      <c r="J220" s="498"/>
      <c r="K220" s="464"/>
      <c r="L220" s="465"/>
    </row>
    <row r="221" spans="2:17" ht="45" customHeight="1">
      <c r="B221" s="412"/>
      <c r="C221" s="420"/>
      <c r="D221" s="421"/>
      <c r="E221" s="421"/>
      <c r="F221" s="422"/>
      <c r="G221" s="544"/>
      <c r="H221" s="179"/>
      <c r="I221" s="182" t="s">
        <v>563</v>
      </c>
      <c r="J221" s="467"/>
      <c r="K221" s="468"/>
      <c r="L221" s="469"/>
    </row>
    <row r="222" spans="2:17" ht="20.25" customHeight="1">
      <c r="B222" s="405" t="s">
        <v>78</v>
      </c>
      <c r="C222" s="406"/>
      <c r="D222" s="406"/>
      <c r="E222" s="406"/>
      <c r="F222" s="406"/>
      <c r="G222" s="406"/>
      <c r="H222" s="406"/>
      <c r="I222" s="406"/>
      <c r="J222" s="406"/>
      <c r="K222" s="406"/>
      <c r="L222" s="407"/>
    </row>
    <row r="223" spans="2:17" ht="96" customHeight="1">
      <c r="B223" s="310" t="s">
        <v>214</v>
      </c>
      <c r="C223" s="518" t="s">
        <v>213</v>
      </c>
      <c r="D223" s="518"/>
      <c r="E223" s="518"/>
      <c r="F223" s="519"/>
      <c r="G223" s="176"/>
      <c r="H223" s="192"/>
      <c r="I223" s="193" t="str">
        <f>IF($B$2="PRELIMINARY SITE VISIT REPORT FINDINGS","Conversation regarding documents for student records","Reviewed student records")</f>
        <v>Reviewed student records</v>
      </c>
      <c r="J223" s="520"/>
      <c r="K223" s="521"/>
      <c r="L223" s="522"/>
      <c r="Q223" s="19" t="s">
        <v>340</v>
      </c>
    </row>
    <row r="224" spans="2:17" ht="77.25" customHeight="1">
      <c r="B224" s="311" t="s">
        <v>215</v>
      </c>
      <c r="C224" s="517" t="s">
        <v>216</v>
      </c>
      <c r="D224" s="517"/>
      <c r="E224" s="517"/>
      <c r="F224" s="517"/>
      <c r="G224" s="177"/>
      <c r="H224" s="192"/>
      <c r="I224" s="194" t="s">
        <v>721</v>
      </c>
      <c r="J224" s="534"/>
      <c r="K224" s="535"/>
      <c r="L224" s="536"/>
      <c r="Q224" s="19" t="s">
        <v>341</v>
      </c>
    </row>
    <row r="225" spans="2:17" ht="20.25" customHeight="1">
      <c r="B225" s="405" t="s">
        <v>80</v>
      </c>
      <c r="C225" s="406"/>
      <c r="D225" s="406"/>
      <c r="E225" s="406"/>
      <c r="F225" s="406"/>
      <c r="G225" s="406"/>
      <c r="H225" s="406"/>
      <c r="I225" s="406"/>
      <c r="J225" s="406"/>
      <c r="K225" s="406"/>
      <c r="L225" s="407"/>
    </row>
    <row r="226" spans="2:17" ht="20.25" customHeight="1">
      <c r="B226" s="405" t="s">
        <v>639</v>
      </c>
      <c r="C226" s="406"/>
      <c r="D226" s="406"/>
      <c r="E226" s="406"/>
      <c r="F226" s="406"/>
      <c r="G226" s="406"/>
      <c r="H226" s="406"/>
      <c r="I226" s="406"/>
      <c r="J226" s="406"/>
      <c r="K226" s="406"/>
      <c r="L226" s="407"/>
    </row>
    <row r="227" spans="2:17" ht="46.5" customHeight="1">
      <c r="B227" s="515" t="s">
        <v>79</v>
      </c>
      <c r="C227" s="523" t="s">
        <v>185</v>
      </c>
      <c r="D227" s="524"/>
      <c r="E227" s="524"/>
      <c r="F227" s="525"/>
      <c r="G227" s="537"/>
      <c r="H227" s="539" t="str">
        <f>IF($B$2="PRELIMINARY SITE VISIT REPORT FINDINGS","", "NA should only be selected for programs seeking Initial Accreditation")</f>
        <v>NA should only be selected for programs seeking Initial Accreditation</v>
      </c>
      <c r="I227" s="540"/>
      <c r="J227" s="509"/>
      <c r="K227" s="510"/>
      <c r="L227" s="511"/>
      <c r="Q227" s="19" t="s">
        <v>253</v>
      </c>
    </row>
    <row r="228" spans="2:17" ht="46.5" customHeight="1">
      <c r="B228" s="516"/>
      <c r="C228" s="526"/>
      <c r="D228" s="527"/>
      <c r="E228" s="527"/>
      <c r="F228" s="528"/>
      <c r="G228" s="538"/>
      <c r="H228" s="179"/>
      <c r="I228" s="187" t="str">
        <f>IF($B$2="PRELIMINARY SITE VISIT REPORT FINDINGS","Plan to obtain the data for retention, credentialing, placement", "Reviewed most recent annual report")</f>
        <v>Reviewed most recent annual report</v>
      </c>
      <c r="J228" s="512"/>
      <c r="K228" s="513"/>
      <c r="L228" s="514"/>
    </row>
    <row r="229" spans="2:17" ht="44.25" customHeight="1">
      <c r="B229" s="312" t="s">
        <v>79</v>
      </c>
      <c r="C229" s="545" t="s">
        <v>287</v>
      </c>
      <c r="D229" s="546"/>
      <c r="E229" s="546"/>
      <c r="F229" s="547"/>
      <c r="G229" s="178"/>
      <c r="H229" s="179"/>
      <c r="I229" s="187" t="str">
        <f>IF(AND($B$2="PRELIMINARY SITE VISIT REPORT FINDINGS",H229="N/A"),"N/A - Seeking the Letter of Review", "Reviewed program's analysis and action plans in the annual report")</f>
        <v>Reviewed program's analysis and action plans in the annual report</v>
      </c>
      <c r="J229" s="509"/>
      <c r="K229" s="510"/>
      <c r="L229" s="511"/>
      <c r="Q229" s="19" t="s">
        <v>253</v>
      </c>
    </row>
    <row r="230" spans="2:17" ht="70.5" customHeight="1">
      <c r="B230" s="515" t="s">
        <v>79</v>
      </c>
      <c r="C230" s="437" t="s">
        <v>720</v>
      </c>
      <c r="D230" s="438"/>
      <c r="E230" s="438"/>
      <c r="F230" s="439"/>
      <c r="G230" s="537"/>
      <c r="H230" s="433"/>
      <c r="I230" s="435" t="str">
        <f>IF($B$2="PRELIMINARY SITE VISIT REPORT FINDINGS","N/A - Seeking the Letter of Review", "Reviewed implemented changes based on analysis and action plans from the annual reports")</f>
        <v>Reviewed implemented changes based on analysis and action plans from the annual reports</v>
      </c>
      <c r="J230" s="509"/>
      <c r="K230" s="510"/>
      <c r="L230" s="511"/>
      <c r="Q230" s="19" t="s">
        <v>253</v>
      </c>
    </row>
    <row r="231" spans="2:17" ht="27.75" customHeight="1">
      <c r="B231" s="516"/>
      <c r="C231" s="440"/>
      <c r="D231" s="441"/>
      <c r="E231" s="441"/>
      <c r="F231" s="442"/>
      <c r="G231" s="538"/>
      <c r="H231" s="434"/>
      <c r="I231" s="436"/>
      <c r="J231" s="512"/>
      <c r="K231" s="513"/>
      <c r="L231" s="514"/>
    </row>
    <row r="232" spans="2:17" ht="20.25" customHeight="1">
      <c r="B232" s="405" t="s">
        <v>640</v>
      </c>
      <c r="C232" s="406"/>
      <c r="D232" s="406"/>
      <c r="E232" s="406"/>
      <c r="F232" s="406"/>
      <c r="G232" s="406"/>
      <c r="H232" s="406"/>
      <c r="I232" s="406"/>
      <c r="J232" s="406"/>
      <c r="K232" s="406"/>
      <c r="L232" s="407"/>
    </row>
    <row r="233" spans="2:17" ht="57.95" customHeight="1">
      <c r="B233" s="515" t="s">
        <v>81</v>
      </c>
      <c r="C233" s="523" t="s">
        <v>217</v>
      </c>
      <c r="D233" s="524"/>
      <c r="E233" s="524"/>
      <c r="F233" s="525"/>
      <c r="G233" s="537"/>
      <c r="H233" s="539" t="str">
        <f>IF($B$2="PRELIMINARY SITE VISIT REPORT FINDINGS","", "NA should only be selected for programs seeking Initial Accreditation")</f>
        <v>NA should only be selected for programs seeking Initial Accreditation</v>
      </c>
      <c r="I233" s="540"/>
      <c r="J233" s="509"/>
      <c r="K233" s="510"/>
      <c r="L233" s="511"/>
      <c r="M233" s="63"/>
      <c r="N233" s="63"/>
      <c r="O233" s="63"/>
      <c r="P233" s="63"/>
      <c r="Q233" s="19" t="s">
        <v>483</v>
      </c>
    </row>
    <row r="234" spans="2:17" ht="87" customHeight="1">
      <c r="B234" s="516"/>
      <c r="C234" s="526"/>
      <c r="D234" s="527"/>
      <c r="E234" s="527"/>
      <c r="F234" s="528"/>
      <c r="G234" s="538"/>
      <c r="H234" s="195"/>
      <c r="I234" s="196" t="str">
        <f>IF($B$2="PRELIMINARY SITE VISIT REPORT FINDINGS","N/A - Seeking the Letter of Review
Educate the program about the CoAEMSP Annual Report", "Validate that the outcomes in the Annual Report match outcomes posted on the program's website")</f>
        <v>Validate that the outcomes in the Annual Report match outcomes posted on the program's website</v>
      </c>
      <c r="J234" s="512"/>
      <c r="K234" s="513"/>
      <c r="L234" s="514"/>
      <c r="M234" s="63"/>
      <c r="N234" s="63"/>
      <c r="O234" s="63"/>
      <c r="P234" s="63"/>
    </row>
    <row r="235" spans="2:17" s="146" customFormat="1" ht="27" customHeight="1">
      <c r="B235" s="408" t="str">
        <f>IF('Cover Page'!$D$8&lt;&gt;"Please Select",'Cover Page'!$D$8, "Select Program Level on the Cover Page tab")</f>
        <v>Select Program Level on the Cover Page tab</v>
      </c>
      <c r="C235" s="409"/>
      <c r="D235" s="409"/>
      <c r="E235" s="409"/>
      <c r="F235" s="409"/>
      <c r="G235" s="409"/>
      <c r="H235" s="409"/>
      <c r="I235" s="409"/>
      <c r="J235" s="409"/>
      <c r="K235" s="409"/>
      <c r="L235" s="410"/>
      <c r="Q235" s="283"/>
    </row>
    <row r="236" spans="2:17" ht="20.25" customHeight="1">
      <c r="B236" s="541" t="s">
        <v>82</v>
      </c>
      <c r="C236" s="542"/>
      <c r="D236" s="542"/>
      <c r="E236" s="542"/>
      <c r="F236" s="542"/>
      <c r="G236" s="542"/>
      <c r="H236" s="542"/>
      <c r="I236" s="542"/>
      <c r="J236" s="542"/>
      <c r="K236" s="542"/>
      <c r="L236" s="543"/>
    </row>
    <row r="237" spans="2:17" ht="20.25" customHeight="1">
      <c r="B237" s="405" t="s">
        <v>83</v>
      </c>
      <c r="C237" s="406"/>
      <c r="D237" s="406"/>
      <c r="E237" s="406"/>
      <c r="F237" s="406"/>
      <c r="G237" s="406"/>
      <c r="H237" s="406"/>
      <c r="I237" s="406"/>
      <c r="J237" s="406"/>
      <c r="K237" s="406"/>
      <c r="L237" s="407"/>
    </row>
    <row r="238" spans="2:17" ht="53.25" customHeight="1">
      <c r="B238" s="226" t="s">
        <v>84</v>
      </c>
      <c r="C238" s="427" t="s">
        <v>641</v>
      </c>
      <c r="D238" s="427"/>
      <c r="E238" s="427"/>
      <c r="F238" s="427"/>
      <c r="G238" s="228"/>
      <c r="H238" s="539" t="s">
        <v>564</v>
      </c>
      <c r="I238" s="540"/>
      <c r="J238" s="467"/>
      <c r="K238" s="468"/>
      <c r="L238" s="469"/>
      <c r="Q238" s="19" t="s">
        <v>342</v>
      </c>
    </row>
    <row r="239" spans="2:17" ht="63.75" customHeight="1">
      <c r="B239" s="230" t="s">
        <v>85</v>
      </c>
      <c r="C239" s="427" t="s">
        <v>642</v>
      </c>
      <c r="D239" s="427"/>
      <c r="E239" s="427"/>
      <c r="F239" s="427"/>
      <c r="G239" s="227"/>
      <c r="H239" s="199"/>
      <c r="I239" s="435" t="str">
        <f>IF($B$2="PRELIMINARY SITE VISIT REPORT FINDINGS","Confirm there is no published statement regarding LoR or accreditation.  There should be no mention of seeking LoR or accreditation.
Reviewed the policies (institutional and/or program)"&amp;"
Reviewed student handbook
Reviewed website"&amp;"
Verified with students &amp; graduates","Reviewed the policies (institutional and/or program)"&amp;"
Reviewed student handbook"&amp;"
Reviewed website
Verified with students &amp; graduates")</f>
        <v>Reviewed the policies (institutional and/or program)
Reviewed student handbook
Reviewed website
Verified with students &amp; graduates</v>
      </c>
      <c r="J239" s="446"/>
      <c r="K239" s="447"/>
      <c r="L239" s="448"/>
      <c r="Q239" s="19" t="s">
        <v>343</v>
      </c>
    </row>
    <row r="240" spans="2:17" ht="39" customHeight="1">
      <c r="B240" s="230" t="s">
        <v>85</v>
      </c>
      <c r="C240" s="427" t="s">
        <v>643</v>
      </c>
      <c r="D240" s="427"/>
      <c r="E240" s="427"/>
      <c r="F240" s="427"/>
      <c r="G240" s="227"/>
      <c r="H240" s="199"/>
      <c r="I240" s="530"/>
      <c r="J240" s="446"/>
      <c r="K240" s="447"/>
      <c r="L240" s="448"/>
      <c r="Q240" s="19" t="s">
        <v>343</v>
      </c>
    </row>
    <row r="241" spans="2:17" ht="39" customHeight="1">
      <c r="B241" s="230" t="s">
        <v>85</v>
      </c>
      <c r="C241" s="427" t="s">
        <v>98</v>
      </c>
      <c r="D241" s="427"/>
      <c r="E241" s="427"/>
      <c r="F241" s="427"/>
      <c r="G241" s="227"/>
      <c r="H241" s="199"/>
      <c r="I241" s="530"/>
      <c r="J241" s="446"/>
      <c r="K241" s="447"/>
      <c r="L241" s="448"/>
      <c r="Q241" s="19" t="s">
        <v>343</v>
      </c>
    </row>
    <row r="242" spans="2:17" ht="39" customHeight="1">
      <c r="B242" s="230" t="s">
        <v>85</v>
      </c>
      <c r="C242" s="427" t="s">
        <v>288</v>
      </c>
      <c r="D242" s="427"/>
      <c r="E242" s="427"/>
      <c r="F242" s="427"/>
      <c r="G242" s="227"/>
      <c r="H242" s="199"/>
      <c r="I242" s="530"/>
      <c r="J242" s="446"/>
      <c r="K242" s="447"/>
      <c r="L242" s="448"/>
      <c r="Q242" s="19" t="s">
        <v>343</v>
      </c>
    </row>
    <row r="243" spans="2:17" ht="39" customHeight="1">
      <c r="B243" s="230" t="s">
        <v>85</v>
      </c>
      <c r="C243" s="427" t="s">
        <v>644</v>
      </c>
      <c r="D243" s="427"/>
      <c r="E243" s="427"/>
      <c r="F243" s="427"/>
      <c r="G243" s="227"/>
      <c r="H243" s="199"/>
      <c r="I243" s="530"/>
      <c r="J243" s="446"/>
      <c r="K243" s="447"/>
      <c r="L243" s="448"/>
      <c r="Q243" s="19" t="s">
        <v>343</v>
      </c>
    </row>
    <row r="244" spans="2:17" ht="39" customHeight="1">
      <c r="B244" s="230" t="s">
        <v>85</v>
      </c>
      <c r="C244" s="427" t="s">
        <v>716</v>
      </c>
      <c r="D244" s="427"/>
      <c r="E244" s="427"/>
      <c r="F244" s="427"/>
      <c r="G244" s="227"/>
      <c r="H244" s="199"/>
      <c r="I244" s="530"/>
      <c r="J244" s="446"/>
      <c r="K244" s="447"/>
      <c r="L244" s="448"/>
      <c r="Q244" s="19" t="s">
        <v>343</v>
      </c>
    </row>
    <row r="245" spans="2:17" ht="39" customHeight="1">
      <c r="B245" s="230" t="s">
        <v>85</v>
      </c>
      <c r="C245" s="427" t="s">
        <v>717</v>
      </c>
      <c r="D245" s="427"/>
      <c r="E245" s="427"/>
      <c r="F245" s="427"/>
      <c r="G245" s="227"/>
      <c r="H245" s="199"/>
      <c r="I245" s="530"/>
      <c r="J245" s="446"/>
      <c r="K245" s="447"/>
      <c r="L245" s="448"/>
      <c r="Q245" s="19" t="s">
        <v>343</v>
      </c>
    </row>
    <row r="246" spans="2:17" ht="39" customHeight="1">
      <c r="B246" s="230" t="s">
        <v>85</v>
      </c>
      <c r="C246" s="427" t="s">
        <v>781</v>
      </c>
      <c r="D246" s="427"/>
      <c r="E246" s="427"/>
      <c r="F246" s="427"/>
      <c r="G246" s="227"/>
      <c r="H246" s="199"/>
      <c r="I246" s="530"/>
      <c r="J246" s="446"/>
      <c r="K246" s="447"/>
      <c r="L246" s="448"/>
      <c r="Q246" s="19" t="s">
        <v>343</v>
      </c>
    </row>
    <row r="247" spans="2:17" ht="39" customHeight="1">
      <c r="B247" s="230" t="s">
        <v>85</v>
      </c>
      <c r="C247" s="427" t="s">
        <v>782</v>
      </c>
      <c r="D247" s="427"/>
      <c r="E247" s="427"/>
      <c r="F247" s="427"/>
      <c r="G247" s="227"/>
      <c r="H247" s="199"/>
      <c r="I247" s="530"/>
      <c r="J247" s="446"/>
      <c r="K247" s="447"/>
      <c r="L247" s="448"/>
      <c r="Q247" s="19" t="s">
        <v>343</v>
      </c>
    </row>
    <row r="248" spans="2:17" ht="53.1" customHeight="1">
      <c r="B248" s="230" t="s">
        <v>85</v>
      </c>
      <c r="C248" s="427" t="s">
        <v>645</v>
      </c>
      <c r="D248" s="427"/>
      <c r="E248" s="427"/>
      <c r="F248" s="427"/>
      <c r="G248" s="227"/>
      <c r="H248" s="199"/>
      <c r="I248" s="530"/>
      <c r="J248" s="446"/>
      <c r="K248" s="447"/>
      <c r="L248" s="448"/>
      <c r="Q248" s="19" t="s">
        <v>343</v>
      </c>
    </row>
    <row r="249" spans="2:17" ht="53.1" customHeight="1">
      <c r="B249" s="230" t="s">
        <v>85</v>
      </c>
      <c r="C249" s="427" t="s">
        <v>783</v>
      </c>
      <c r="D249" s="427"/>
      <c r="E249" s="427"/>
      <c r="F249" s="427"/>
      <c r="G249" s="227"/>
      <c r="H249" s="200"/>
      <c r="I249" s="530"/>
      <c r="J249" s="446"/>
      <c r="K249" s="447"/>
      <c r="L249" s="448"/>
      <c r="Q249" s="19" t="s">
        <v>343</v>
      </c>
    </row>
    <row r="250" spans="2:17" ht="53.1" customHeight="1">
      <c r="B250" s="230" t="s">
        <v>85</v>
      </c>
      <c r="C250" s="427" t="s">
        <v>646</v>
      </c>
      <c r="D250" s="427"/>
      <c r="E250" s="427"/>
      <c r="F250" s="427"/>
      <c r="G250" s="227"/>
      <c r="H250" s="281"/>
      <c r="I250" s="436"/>
      <c r="J250" s="446"/>
      <c r="K250" s="447"/>
      <c r="L250" s="448"/>
      <c r="Q250" s="19" t="s">
        <v>343</v>
      </c>
    </row>
    <row r="251" spans="2:17" ht="53.1" customHeight="1">
      <c r="B251" s="219" t="s">
        <v>86</v>
      </c>
      <c r="C251" s="427" t="s">
        <v>583</v>
      </c>
      <c r="D251" s="427"/>
      <c r="E251" s="427"/>
      <c r="F251" s="427"/>
      <c r="G251" s="227"/>
      <c r="H251" s="199"/>
      <c r="I251" s="435" t="str">
        <f>IF($B$2="PRELIMINARY SITE VISIT REPORT FINDINGS","Reviewed the the requirements for graduations 
Plan to make information known to students", "Reviewed requirements for graduation"&amp;" 
Verified with students &amp; graduates")</f>
        <v>Reviewed requirements for graduation 
Verified with students &amp; graduates</v>
      </c>
      <c r="J251" s="446"/>
      <c r="K251" s="447"/>
      <c r="L251" s="448"/>
      <c r="Q251" s="19" t="s">
        <v>344</v>
      </c>
    </row>
    <row r="252" spans="2:17" ht="53.1" customHeight="1">
      <c r="B252" s="219" t="s">
        <v>86</v>
      </c>
      <c r="C252" s="427" t="s">
        <v>97</v>
      </c>
      <c r="D252" s="427"/>
      <c r="E252" s="427"/>
      <c r="F252" s="427"/>
      <c r="G252" s="227"/>
      <c r="H252" s="199"/>
      <c r="I252" s="530"/>
      <c r="J252" s="446"/>
      <c r="K252" s="447"/>
      <c r="L252" s="448"/>
      <c r="Q252" s="19" t="s">
        <v>344</v>
      </c>
    </row>
    <row r="253" spans="2:17" ht="53.1" customHeight="1">
      <c r="B253" s="219" t="s">
        <v>86</v>
      </c>
      <c r="C253" s="427" t="s">
        <v>648</v>
      </c>
      <c r="D253" s="427"/>
      <c r="E253" s="427"/>
      <c r="F253" s="427"/>
      <c r="G253" s="227"/>
      <c r="H253" s="199"/>
      <c r="I253" s="530"/>
      <c r="J253" s="446"/>
      <c r="K253" s="447"/>
      <c r="L253" s="448"/>
      <c r="Q253" s="19" t="s">
        <v>344</v>
      </c>
    </row>
    <row r="254" spans="2:17" ht="53.1" customHeight="1">
      <c r="B254" s="453" t="s">
        <v>86</v>
      </c>
      <c r="C254" s="427" t="s">
        <v>283</v>
      </c>
      <c r="D254" s="427"/>
      <c r="E254" s="427"/>
      <c r="F254" s="427"/>
      <c r="G254" s="449"/>
      <c r="H254" s="423"/>
      <c r="I254" s="530"/>
      <c r="J254" s="460"/>
      <c r="K254" s="461"/>
      <c r="L254" s="462"/>
      <c r="Q254" s="19" t="s">
        <v>344</v>
      </c>
    </row>
    <row r="255" spans="2:17" ht="53.1" customHeight="1">
      <c r="B255" s="455"/>
      <c r="C255" s="427"/>
      <c r="D255" s="427"/>
      <c r="E255" s="427"/>
      <c r="F255" s="427"/>
      <c r="G255" s="450"/>
      <c r="H255" s="424"/>
      <c r="I255" s="530"/>
      <c r="J255" s="467"/>
      <c r="K255" s="468"/>
      <c r="L255" s="469"/>
      <c r="Q255" s="19" t="s">
        <v>344</v>
      </c>
    </row>
    <row r="256" spans="2:17" ht="53.1" customHeight="1">
      <c r="B256" s="411" t="s">
        <v>86</v>
      </c>
      <c r="C256" s="414" t="s">
        <v>647</v>
      </c>
      <c r="D256" s="415"/>
      <c r="E256" s="415"/>
      <c r="F256" s="416"/>
      <c r="G256" s="227"/>
      <c r="H256" s="200"/>
      <c r="I256" s="436"/>
      <c r="J256" s="446"/>
      <c r="K256" s="447"/>
      <c r="L256" s="448"/>
      <c r="Q256" s="19" t="s">
        <v>344</v>
      </c>
    </row>
    <row r="257" spans="2:17" ht="55.5" customHeight="1">
      <c r="B257" s="412"/>
      <c r="C257" s="417"/>
      <c r="D257" s="418"/>
      <c r="E257" s="418"/>
      <c r="F257" s="419"/>
      <c r="G257" s="225" t="str">
        <f>IF(AND(H257="      Same State Satellite Location(s)",J257&lt;&gt;""), "Not Met",IF(AND(H257="      Same State Satellite Location(s)",J257=""),"Met","N/A"))</f>
        <v>N/A</v>
      </c>
      <c r="H257" s="489" t="str">
        <f>IF('Satellite(s)'!$H$6&lt;&gt;"N/A","      Same state satellite location(s)","      No same state satellite location(s)")</f>
        <v xml:space="preserve">      No same state satellite location(s)</v>
      </c>
      <c r="I257" s="490"/>
      <c r="J257" s="430" t="str" cm="1">
        <f t="array" ref="J257">_xlfn.TEXTJOIN("
",TRUE,IF('Satellite(s)'!F26:L26="Not Met",'Satellite(s)'!F27:L27,""))</f>
        <v/>
      </c>
      <c r="K257" s="431"/>
      <c r="L257" s="432"/>
      <c r="Q257" s="69" t="s">
        <v>765</v>
      </c>
    </row>
    <row r="258" spans="2:17" ht="55.5" customHeight="1">
      <c r="B258" s="412"/>
      <c r="C258" s="417"/>
      <c r="D258" s="418"/>
      <c r="E258" s="418"/>
      <c r="F258" s="419"/>
      <c r="G258" s="225" t="str">
        <f>IF(AND(H258="      Out-of-state satellite location(s)",J258&lt;&gt;""), "Not Met",IF(AND(H258="      Out-of-state satellite location(s)",J258=""),"Met","N/A"))</f>
        <v>N/A</v>
      </c>
      <c r="H258" s="489" t="str">
        <f>IF('Satellite(s)'!$H$7&lt;&gt;"N/A","      Out-of-state satellite location(s)","      No out-of-state satellite location(s)")</f>
        <v xml:space="preserve">      No out-of-state satellite location(s)</v>
      </c>
      <c r="I258" s="490"/>
      <c r="J258" s="430" t="str" cm="1">
        <f t="array" ref="J258">_xlfn.TEXTJOIN("
",TRUE,IF('Satellite(s)'!F73:L73="Not Met",'Satellite(s)'!F74:L74,""))</f>
        <v/>
      </c>
      <c r="K258" s="431"/>
      <c r="L258" s="432"/>
      <c r="Q258" s="69" t="s">
        <v>766</v>
      </c>
    </row>
    <row r="259" spans="2:17" ht="55.5" customHeight="1">
      <c r="B259" s="413"/>
      <c r="C259" s="420"/>
      <c r="D259" s="421"/>
      <c r="E259" s="421"/>
      <c r="F259" s="422"/>
      <c r="G259" s="225" t="str">
        <f>IF(AND(H259="      Not Approved Satellite Location(s)",J259&lt;&gt;""), "Not Met",IF(AND(H259="      Not Approved Satellite Location(s)",J259=""),"Met","N/A"))</f>
        <v>N/A</v>
      </c>
      <c r="H259" s="489" t="str">
        <f>IF('Satellite(s)'!$H$8&lt;&gt;"","      Not approved satellite location(s)","      No unapproved satellite location(s)")</f>
        <v xml:space="preserve">      No unapproved satellite location(s)</v>
      </c>
      <c r="I259" s="490"/>
      <c r="J259" s="430" t="str" cm="1">
        <f t="array" ref="J259">_xlfn.TEXTJOIN("
",TRUE,IF('Satellite(s)'!F120:L120="Not Met",'Satellite(s)'!F121:L121,""))</f>
        <v/>
      </c>
      <c r="K259" s="431"/>
      <c r="L259" s="432"/>
      <c r="Q259" s="69" t="s">
        <v>767</v>
      </c>
    </row>
    <row r="260" spans="2:17" ht="79.5" customHeight="1">
      <c r="B260" s="219" t="s">
        <v>218</v>
      </c>
      <c r="C260" s="427" t="s">
        <v>219</v>
      </c>
      <c r="D260" s="427"/>
      <c r="E260" s="427"/>
      <c r="F260" s="427"/>
      <c r="G260" s="227"/>
      <c r="H260" s="179"/>
      <c r="I260" s="187" t="str">
        <f>IF($B$2="PRELIMINARY SITE VISIT REPORT FINDINGS","N/A - Seeking the Letter of Review 
Educate the program about publishing the outcomes each year based on the Annual Report", "Validated outcomes in the Annual Report match outcomes posted on the program sponsor's website")</f>
        <v>Validated outcomes in the Annual Report match outcomes posted on the program sponsor's website</v>
      </c>
      <c r="J260" s="446"/>
      <c r="K260" s="447"/>
      <c r="L260" s="448"/>
      <c r="Q260" s="19" t="s">
        <v>345</v>
      </c>
    </row>
    <row r="261" spans="2:17" ht="20.25" customHeight="1">
      <c r="B261" s="405" t="s">
        <v>220</v>
      </c>
      <c r="C261" s="406"/>
      <c r="D261" s="406"/>
      <c r="E261" s="406"/>
      <c r="F261" s="406"/>
      <c r="G261" s="406"/>
      <c r="H261" s="406"/>
      <c r="I261" s="406"/>
      <c r="J261" s="406"/>
      <c r="K261" s="406"/>
      <c r="L261" s="407"/>
    </row>
    <row r="262" spans="2:17" ht="26.25" customHeight="1">
      <c r="B262" s="453" t="s">
        <v>87</v>
      </c>
      <c r="C262" s="427" t="s">
        <v>715</v>
      </c>
      <c r="D262" s="427"/>
      <c r="E262" s="427"/>
      <c r="F262" s="427"/>
      <c r="G262" s="529"/>
      <c r="H262" s="198"/>
      <c r="I262" s="187" t="s">
        <v>565</v>
      </c>
      <c r="J262" s="460"/>
      <c r="K262" s="461"/>
      <c r="L262" s="462"/>
      <c r="Q262" s="19" t="s">
        <v>254</v>
      </c>
    </row>
    <row r="263" spans="2:17" ht="29.25" customHeight="1">
      <c r="B263" s="454"/>
      <c r="C263" s="427"/>
      <c r="D263" s="427"/>
      <c r="E263" s="427"/>
      <c r="F263" s="427"/>
      <c r="G263" s="466"/>
      <c r="H263" s="199"/>
      <c r="I263" s="187" t="s">
        <v>566</v>
      </c>
      <c r="J263" s="498"/>
      <c r="K263" s="464"/>
      <c r="L263" s="465"/>
      <c r="Q263" s="19"/>
    </row>
    <row r="264" spans="2:17" ht="25.5" customHeight="1">
      <c r="B264" s="455"/>
      <c r="C264" s="427"/>
      <c r="D264" s="427"/>
      <c r="E264" s="427"/>
      <c r="F264" s="427"/>
      <c r="G264" s="466"/>
      <c r="H264" s="200"/>
      <c r="I264" s="196" t="s">
        <v>567</v>
      </c>
      <c r="J264" s="467"/>
      <c r="K264" s="468"/>
      <c r="L264" s="469"/>
      <c r="Q264" s="19"/>
    </row>
    <row r="265" spans="2:17" ht="29.25" customHeight="1">
      <c r="B265" s="453" t="s">
        <v>87</v>
      </c>
      <c r="C265" s="427" t="s">
        <v>88</v>
      </c>
      <c r="D265" s="427"/>
      <c r="E265" s="427"/>
      <c r="F265" s="427"/>
      <c r="G265" s="449"/>
      <c r="H265" s="198"/>
      <c r="I265" s="197" t="s">
        <v>568</v>
      </c>
      <c r="J265" s="460"/>
      <c r="K265" s="461"/>
      <c r="L265" s="462"/>
      <c r="Q265" s="19" t="s">
        <v>254</v>
      </c>
    </row>
    <row r="266" spans="2:17" ht="30" customHeight="1">
      <c r="B266" s="455"/>
      <c r="C266" s="427"/>
      <c r="D266" s="427"/>
      <c r="E266" s="427"/>
      <c r="F266" s="427"/>
      <c r="G266" s="450"/>
      <c r="H266" s="199"/>
      <c r="I266" s="187" t="s">
        <v>569</v>
      </c>
      <c r="J266" s="467"/>
      <c r="K266" s="468"/>
      <c r="L266" s="469"/>
      <c r="Q266" s="19"/>
    </row>
    <row r="267" spans="2:17" ht="18.75" customHeight="1">
      <c r="B267" s="453" t="s">
        <v>87</v>
      </c>
      <c r="C267" s="427" t="s">
        <v>221</v>
      </c>
      <c r="D267" s="427"/>
      <c r="E267" s="427"/>
      <c r="F267" s="427"/>
      <c r="G267" s="449"/>
      <c r="H267" s="433"/>
      <c r="I267" s="471" t="s">
        <v>480</v>
      </c>
      <c r="J267" s="460"/>
      <c r="K267" s="461"/>
      <c r="L267" s="462"/>
      <c r="Q267" s="19" t="s">
        <v>254</v>
      </c>
    </row>
    <row r="268" spans="2:17" ht="28.5" customHeight="1">
      <c r="B268" s="455"/>
      <c r="C268" s="427"/>
      <c r="D268" s="427"/>
      <c r="E268" s="427"/>
      <c r="F268" s="427"/>
      <c r="G268" s="450"/>
      <c r="H268" s="434"/>
      <c r="I268" s="473"/>
      <c r="J268" s="467"/>
      <c r="K268" s="468"/>
      <c r="L268" s="469"/>
    </row>
    <row r="269" spans="2:17" ht="18">
      <c r="B269" s="405" t="s">
        <v>89</v>
      </c>
      <c r="C269" s="406"/>
      <c r="D269" s="406"/>
      <c r="E269" s="406"/>
      <c r="F269" s="406"/>
      <c r="G269" s="406"/>
      <c r="H269" s="406"/>
      <c r="I269" s="406"/>
      <c r="J269" s="406"/>
      <c r="K269" s="406"/>
      <c r="L269" s="407"/>
    </row>
    <row r="270" spans="2:17" ht="104.25" customHeight="1">
      <c r="B270" s="453" t="s">
        <v>90</v>
      </c>
      <c r="C270" s="427" t="s">
        <v>713</v>
      </c>
      <c r="D270" s="427"/>
      <c r="E270" s="427"/>
      <c r="F270" s="427"/>
      <c r="G270" s="499"/>
      <c r="H270" s="179"/>
      <c r="I270" s="182" t="s">
        <v>714</v>
      </c>
      <c r="J270" s="460"/>
      <c r="K270" s="461"/>
      <c r="L270" s="462"/>
      <c r="Q270" s="19" t="s">
        <v>255</v>
      </c>
    </row>
    <row r="271" spans="2:17" ht="47.1" customHeight="1">
      <c r="B271" s="454"/>
      <c r="C271" s="427"/>
      <c r="D271" s="427"/>
      <c r="E271" s="427"/>
      <c r="F271" s="427"/>
      <c r="G271" s="533"/>
      <c r="H271" s="179"/>
      <c r="I271" s="183" t="s">
        <v>712</v>
      </c>
      <c r="J271" s="467"/>
      <c r="K271" s="468"/>
      <c r="L271" s="469"/>
      <c r="Q271" s="19"/>
    </row>
    <row r="272" spans="2:17" ht="114" customHeight="1">
      <c r="B272" s="230" t="s">
        <v>90</v>
      </c>
      <c r="C272" s="427" t="s">
        <v>91</v>
      </c>
      <c r="D272" s="427"/>
      <c r="E272" s="427"/>
      <c r="F272" s="427"/>
      <c r="G272" s="224"/>
      <c r="H272" s="179"/>
      <c r="I272" s="181" t="s">
        <v>711</v>
      </c>
      <c r="J272" s="446"/>
      <c r="K272" s="447"/>
      <c r="L272" s="448"/>
      <c r="Q272" s="19" t="s">
        <v>255</v>
      </c>
    </row>
    <row r="273" spans="2:17" ht="18">
      <c r="B273" s="405" t="s">
        <v>92</v>
      </c>
      <c r="C273" s="406"/>
      <c r="D273" s="406"/>
      <c r="E273" s="406"/>
      <c r="F273" s="406"/>
      <c r="G273" s="406"/>
      <c r="H273" s="406"/>
      <c r="I273" s="406"/>
      <c r="J273" s="406"/>
      <c r="K273" s="406"/>
      <c r="L273" s="407"/>
    </row>
    <row r="274" spans="2:17" ht="33.950000000000003" customHeight="1">
      <c r="B274" s="230" t="s">
        <v>93</v>
      </c>
      <c r="C274" s="443" t="s">
        <v>584</v>
      </c>
      <c r="D274" s="444"/>
      <c r="E274" s="444"/>
      <c r="F274" s="445"/>
      <c r="G274" s="228"/>
      <c r="H274" s="199"/>
      <c r="I274" s="435" t="s">
        <v>710</v>
      </c>
      <c r="J274" s="467"/>
      <c r="K274" s="468"/>
      <c r="L274" s="469"/>
      <c r="Q274" s="19" t="s">
        <v>256</v>
      </c>
    </row>
    <row r="275" spans="2:17" ht="33.950000000000003" customHeight="1">
      <c r="B275" s="230" t="s">
        <v>93</v>
      </c>
      <c r="C275" s="443" t="s">
        <v>94</v>
      </c>
      <c r="D275" s="444"/>
      <c r="E275" s="444"/>
      <c r="F275" s="445"/>
      <c r="G275" s="227"/>
      <c r="H275" s="202"/>
      <c r="I275" s="530"/>
      <c r="J275" s="446"/>
      <c r="K275" s="447"/>
      <c r="L275" s="448"/>
      <c r="Q275" s="19" t="s">
        <v>256</v>
      </c>
    </row>
    <row r="276" spans="2:17" ht="33.950000000000003" customHeight="1">
      <c r="B276" s="230" t="s">
        <v>93</v>
      </c>
      <c r="C276" s="443" t="s">
        <v>95</v>
      </c>
      <c r="D276" s="444"/>
      <c r="E276" s="444"/>
      <c r="F276" s="445"/>
      <c r="G276" s="227"/>
      <c r="H276" s="199"/>
      <c r="I276" s="530"/>
      <c r="J276" s="446"/>
      <c r="K276" s="447"/>
      <c r="L276" s="448"/>
      <c r="Q276" s="19" t="s">
        <v>256</v>
      </c>
    </row>
    <row r="277" spans="2:17" ht="33.950000000000003" customHeight="1">
      <c r="B277" s="230" t="s">
        <v>93</v>
      </c>
      <c r="C277" s="443" t="s">
        <v>96</v>
      </c>
      <c r="D277" s="444"/>
      <c r="E277" s="444"/>
      <c r="F277" s="445"/>
      <c r="G277" s="227"/>
      <c r="H277" s="202"/>
      <c r="I277" s="436"/>
      <c r="J277" s="446"/>
      <c r="K277" s="447"/>
      <c r="L277" s="448"/>
      <c r="Q277" s="19" t="s">
        <v>256</v>
      </c>
    </row>
    <row r="278" spans="2:17" ht="33.950000000000003" customHeight="1">
      <c r="B278" s="411" t="s">
        <v>93</v>
      </c>
      <c r="C278" s="415" t="s">
        <v>709</v>
      </c>
      <c r="D278" s="415"/>
      <c r="E278" s="415"/>
      <c r="F278" s="415"/>
      <c r="G278" s="449"/>
      <c r="H278" s="179"/>
      <c r="I278" s="182" t="s">
        <v>570</v>
      </c>
      <c r="J278" s="460"/>
      <c r="K278" s="461"/>
      <c r="L278" s="462"/>
      <c r="Q278" s="19" t="s">
        <v>256</v>
      </c>
    </row>
    <row r="279" spans="2:17" ht="33.950000000000003" customHeight="1">
      <c r="B279" s="412"/>
      <c r="C279" s="418"/>
      <c r="D279" s="418"/>
      <c r="E279" s="418"/>
      <c r="F279" s="418"/>
      <c r="G279" s="450"/>
      <c r="H279" s="179"/>
      <c r="I279" s="183" t="s">
        <v>784</v>
      </c>
      <c r="J279" s="467"/>
      <c r="K279" s="468"/>
      <c r="L279" s="469"/>
      <c r="Q279" s="19"/>
    </row>
    <row r="280" spans="2:17" ht="55.5" customHeight="1">
      <c r="B280" s="412"/>
      <c r="C280" s="418"/>
      <c r="D280" s="418"/>
      <c r="E280" s="418"/>
      <c r="F280" s="418"/>
      <c r="G280" s="225" t="str">
        <f>IF(AND(H280="      Same State Satellite Location(s)",J280&lt;&gt;""), "Not Met",IF(AND(H280="      Same State Satellite Location(s)",J280=""),"Met","N/A"))</f>
        <v>N/A</v>
      </c>
      <c r="H280" s="489" t="str">
        <f>IF('Satellite(s)'!$H$6&lt;&gt;"N/A","      Same state satellite location(s)","      No same state satellite location(s)")</f>
        <v xml:space="preserve">      No same state satellite location(s)</v>
      </c>
      <c r="I280" s="490"/>
      <c r="J280" s="430" t="str" cm="1">
        <f t="array" ref="J280">_xlfn.TEXTJOIN("
",TRUE,IF('Satellite(s)'!F34:AB34="Not Met",'Satellite(s)'!F35:AB35,""))</f>
        <v/>
      </c>
      <c r="K280" s="431"/>
      <c r="L280" s="432"/>
      <c r="Q280" s="69" t="s">
        <v>768</v>
      </c>
    </row>
    <row r="281" spans="2:17" ht="55.5" customHeight="1">
      <c r="B281" s="412"/>
      <c r="C281" s="418"/>
      <c r="D281" s="418"/>
      <c r="E281" s="418"/>
      <c r="F281" s="418"/>
      <c r="G281" s="225" t="str">
        <f>IF(AND(H281="      Out-of-state satellite location(s)",J281&lt;&gt;""), "Not Met",IF(AND(H281="      Out-of-state satellite location(s)",J281=""),"Met","N/A"))</f>
        <v>N/A</v>
      </c>
      <c r="H281" s="489" t="str">
        <f>IF('Satellite(s)'!$H$7&lt;&gt;"N/A","      Out-of-state satellite location(s)","      No out-of-state satellite location(s)")</f>
        <v xml:space="preserve">      No out-of-state satellite location(s)</v>
      </c>
      <c r="I281" s="490"/>
      <c r="J281" s="430" t="str" cm="1">
        <f t="array" ref="J281">_xlfn.TEXTJOIN("
",TRUE,IF('Satellite(s)'!F81:L81="Not Met",'Satellite(s)'!F82:L82,""))</f>
        <v/>
      </c>
      <c r="K281" s="431"/>
      <c r="L281" s="432"/>
      <c r="Q281" s="69" t="s">
        <v>769</v>
      </c>
    </row>
    <row r="282" spans="2:17" ht="55.5" customHeight="1">
      <c r="B282" s="413"/>
      <c r="C282" s="421"/>
      <c r="D282" s="421"/>
      <c r="E282" s="421"/>
      <c r="F282" s="421"/>
      <c r="G282" s="225" t="str">
        <f>IF(AND(H282="      Not Approved Satellite Location(s)",J282&lt;&gt;""), "Not Met",IF(AND(H282="      Not Approved Satellite Location(s)",J282=""),"Met","N/A"))</f>
        <v>N/A</v>
      </c>
      <c r="H282" s="489" t="str">
        <f>IF('Satellite(s)'!$H$8&lt;&gt;"","      Not approved satellite location(s)","      No unapproved satellite location(s)")</f>
        <v xml:space="preserve">      No unapproved satellite location(s)</v>
      </c>
      <c r="I282" s="490"/>
      <c r="J282" s="430" t="str" cm="1">
        <f t="array" ref="J282">_xlfn.TEXTJOIN("
",TRUE,IF('Satellite(s)'!F128:L128="Not Met",'Satellite(s)'!F129:L129,""))</f>
        <v/>
      </c>
      <c r="K282" s="431"/>
      <c r="L282" s="432"/>
      <c r="Q282" s="69" t="s">
        <v>770</v>
      </c>
    </row>
    <row r="283" spans="2:17" ht="18">
      <c r="B283" s="405" t="s">
        <v>99</v>
      </c>
      <c r="C283" s="406"/>
      <c r="D283" s="406"/>
      <c r="E283" s="406"/>
      <c r="F283" s="406"/>
      <c r="G283" s="406"/>
      <c r="H283" s="406"/>
      <c r="I283" s="406"/>
      <c r="J283" s="406"/>
      <c r="K283" s="406"/>
      <c r="L283" s="407"/>
    </row>
    <row r="284" spans="2:17" ht="39" customHeight="1">
      <c r="B284" s="678" t="s">
        <v>100</v>
      </c>
      <c r="C284" s="414" t="s">
        <v>222</v>
      </c>
      <c r="D284" s="415"/>
      <c r="E284" s="415"/>
      <c r="F284" s="416"/>
      <c r="G284" s="449"/>
      <c r="H284" s="203"/>
      <c r="I284" s="182" t="s">
        <v>513</v>
      </c>
      <c r="J284" s="460"/>
      <c r="K284" s="461"/>
      <c r="L284" s="462"/>
      <c r="Q284" s="19" t="s">
        <v>257</v>
      </c>
    </row>
    <row r="285" spans="2:17" ht="39" customHeight="1">
      <c r="B285" s="678"/>
      <c r="C285" s="417"/>
      <c r="D285" s="418"/>
      <c r="E285" s="418"/>
      <c r="F285" s="419"/>
      <c r="G285" s="463"/>
      <c r="H285" s="203"/>
      <c r="I285" s="182" t="s">
        <v>572</v>
      </c>
      <c r="J285" s="498"/>
      <c r="K285" s="464"/>
      <c r="L285" s="465"/>
    </row>
    <row r="286" spans="2:17" ht="39" customHeight="1">
      <c r="B286" s="678"/>
      <c r="C286" s="417"/>
      <c r="D286" s="418"/>
      <c r="E286" s="418"/>
      <c r="F286" s="419"/>
      <c r="G286" s="463"/>
      <c r="H286" s="203"/>
      <c r="I286" s="182" t="s">
        <v>571</v>
      </c>
      <c r="J286" s="498"/>
      <c r="K286" s="464"/>
      <c r="L286" s="465"/>
    </row>
    <row r="287" spans="2:17" ht="39" customHeight="1">
      <c r="B287" s="678"/>
      <c r="C287" s="420"/>
      <c r="D287" s="421"/>
      <c r="E287" s="421"/>
      <c r="F287" s="422"/>
      <c r="G287" s="450"/>
      <c r="H287" s="203"/>
      <c r="I287" s="182" t="s">
        <v>512</v>
      </c>
      <c r="J287" s="467"/>
      <c r="K287" s="468"/>
      <c r="L287" s="469"/>
    </row>
    <row r="288" spans="2:17" ht="20.25" customHeight="1">
      <c r="B288" s="405" t="s">
        <v>101</v>
      </c>
      <c r="C288" s="406"/>
      <c r="D288" s="406"/>
      <c r="E288" s="406"/>
      <c r="F288" s="406"/>
      <c r="G288" s="406"/>
      <c r="H288" s="406"/>
      <c r="I288" s="406"/>
      <c r="J288" s="406"/>
      <c r="K288" s="406"/>
      <c r="L288" s="407"/>
    </row>
    <row r="289" spans="2:105" ht="83.25" customHeight="1">
      <c r="B289" s="219" t="s">
        <v>102</v>
      </c>
      <c r="C289" s="443" t="s">
        <v>223</v>
      </c>
      <c r="D289" s="444"/>
      <c r="E289" s="444"/>
      <c r="F289" s="445"/>
      <c r="G289" s="228"/>
      <c r="H289" s="195"/>
      <c r="I289" s="204" t="s">
        <v>573</v>
      </c>
      <c r="J289" s="467"/>
      <c r="K289" s="468"/>
      <c r="L289" s="469"/>
      <c r="Q289" s="19" t="s">
        <v>258</v>
      </c>
    </row>
    <row r="290" spans="2:105" s="146" customFormat="1" ht="27" customHeight="1">
      <c r="B290" s="408" t="str">
        <f>IF('Cover Page'!$D$8&lt;&gt;"Please Select",'Cover Page'!$D$8, "Select Program Level on the Cover Page tab")</f>
        <v>Select Program Level on the Cover Page tab</v>
      </c>
      <c r="C290" s="409"/>
      <c r="D290" s="409"/>
      <c r="E290" s="409"/>
      <c r="F290" s="409"/>
      <c r="G290" s="409"/>
      <c r="H290" s="409"/>
      <c r="I290" s="409"/>
      <c r="J290" s="409"/>
      <c r="K290" s="409"/>
      <c r="L290" s="410"/>
      <c r="Q290" s="283"/>
    </row>
    <row r="291" spans="2:105" ht="20.25" customHeight="1">
      <c r="B291" s="672" t="s">
        <v>484</v>
      </c>
      <c r="C291" s="673"/>
      <c r="D291" s="673"/>
      <c r="E291" s="673"/>
      <c r="F291" s="673"/>
      <c r="G291" s="673"/>
      <c r="H291" s="673"/>
      <c r="I291" s="673"/>
      <c r="J291" s="673"/>
      <c r="K291" s="673"/>
      <c r="L291" s="674"/>
    </row>
    <row r="292" spans="2:105" ht="38.85" customHeight="1">
      <c r="B292" s="675" t="s">
        <v>575</v>
      </c>
      <c r="C292" s="676"/>
      <c r="D292" s="676"/>
      <c r="E292" s="676"/>
      <c r="F292" s="677"/>
      <c r="G292" s="236" t="s">
        <v>119</v>
      </c>
      <c r="H292" s="73"/>
      <c r="I292" s="112" t="s">
        <v>119</v>
      </c>
      <c r="J292" s="112">
        <v>1</v>
      </c>
      <c r="K292" s="112">
        <v>2</v>
      </c>
      <c r="L292" s="112">
        <v>3</v>
      </c>
      <c r="M292" s="113">
        <v>4</v>
      </c>
      <c r="N292" s="113">
        <v>5</v>
      </c>
      <c r="O292" s="113">
        <v>6</v>
      </c>
      <c r="P292" s="113">
        <v>7</v>
      </c>
      <c r="Q292" s="287"/>
      <c r="R292" s="110">
        <v>9</v>
      </c>
      <c r="S292" s="110">
        <v>10</v>
      </c>
      <c r="T292" s="110">
        <v>11</v>
      </c>
      <c r="U292" s="110">
        <v>12</v>
      </c>
    </row>
    <row r="293" spans="2:105" ht="36" customHeight="1">
      <c r="B293" s="675" t="s">
        <v>661</v>
      </c>
      <c r="C293" s="683"/>
      <c r="D293" s="683"/>
      <c r="E293" s="683"/>
      <c r="F293" s="684"/>
      <c r="G293" s="236" t="s">
        <v>119</v>
      </c>
      <c r="H293" s="73"/>
      <c r="I293" s="112" t="s">
        <v>119</v>
      </c>
      <c r="J293" s="112">
        <v>1</v>
      </c>
      <c r="K293" s="112">
        <v>2</v>
      </c>
      <c r="L293" s="112">
        <v>3</v>
      </c>
      <c r="M293" s="113">
        <v>4</v>
      </c>
      <c r="N293" s="113">
        <v>5</v>
      </c>
      <c r="O293" s="113">
        <v>6</v>
      </c>
      <c r="P293" s="113">
        <v>7</v>
      </c>
      <c r="Q293" s="287"/>
      <c r="R293" s="110">
        <v>9</v>
      </c>
      <c r="S293" s="110">
        <v>10</v>
      </c>
      <c r="T293" s="110">
        <v>11</v>
      </c>
      <c r="U293" s="110">
        <v>12</v>
      </c>
    </row>
    <row r="294" spans="2:105" ht="53.25" customHeight="1">
      <c r="B294" s="695" t="s">
        <v>574</v>
      </c>
      <c r="C294" s="696"/>
      <c r="D294" s="696"/>
      <c r="E294" s="696"/>
      <c r="F294" s="697"/>
      <c r="G294" s="236" t="s">
        <v>119</v>
      </c>
      <c r="H294" s="116"/>
      <c r="I294" s="117"/>
      <c r="J294" s="115"/>
      <c r="K294" s="116"/>
      <c r="L294" s="116"/>
    </row>
    <row r="295" spans="2:105" s="213" customFormat="1" ht="34.700000000000003" customHeight="1">
      <c r="B295" s="693" t="str">
        <f>IF(G294&lt;&gt;"N/A", "Number of satellite locations not approved:","")</f>
        <v/>
      </c>
      <c r="C295" s="693"/>
      <c r="D295" s="693"/>
      <c r="E295" s="693"/>
      <c r="F295" s="693"/>
      <c r="G295" s="276"/>
      <c r="H295" s="237"/>
      <c r="I295" s="238"/>
      <c r="J295" s="239"/>
      <c r="K295" s="237"/>
      <c r="L295" s="237"/>
      <c r="Q295" s="284"/>
    </row>
    <row r="296" spans="2:105" s="213" customFormat="1">
      <c r="Q296" s="284"/>
    </row>
    <row r="297" spans="2:105" ht="20.25" customHeight="1">
      <c r="B297" s="682" t="str">
        <f>IF(AND('Satellite(s)'!M4&gt;0, B300&lt;&gt;""),"Complete the Consortium Addendum (row 300 below) as well as the Satellite(s) tab",IF(AND('Satellite(s)'!M4&gt;0,B300=""),"Select the Satellite(s) tab to complete the Satellite Addendum",IF(AND('Satellite(s)'!M4=0,B300&lt;&gt;""),"Complete the Consortium Addendum (row 300 below)", "The Site Visit Report is Completed")))</f>
        <v>The Site Visit Report is Completed</v>
      </c>
      <c r="C297" s="682"/>
      <c r="D297" s="682"/>
      <c r="E297" s="682"/>
      <c r="F297" s="682"/>
      <c r="G297" s="682"/>
      <c r="H297" s="682"/>
      <c r="I297" s="682"/>
      <c r="J297" s="682"/>
      <c r="K297" s="682"/>
      <c r="L297" s="682"/>
    </row>
    <row r="300" spans="2:105" ht="26.25">
      <c r="B300" s="532" t="str">
        <f>IF(LEFT(C11,5)="I.A.5", "Consortium Addendum (site visit checklist)","")</f>
        <v/>
      </c>
      <c r="C300" s="532"/>
      <c r="D300" s="532"/>
      <c r="E300" s="532"/>
      <c r="F300" s="532"/>
      <c r="G300" s="532"/>
      <c r="H300" s="532"/>
      <c r="I300" s="532"/>
      <c r="J300" s="532"/>
      <c r="K300" s="532"/>
      <c r="L300" s="532"/>
    </row>
    <row r="301" spans="2:105">
      <c r="B301" s="146"/>
      <c r="C301" s="146"/>
      <c r="D301" s="146"/>
      <c r="E301" s="146"/>
      <c r="F301" s="146"/>
      <c r="G301" s="146"/>
      <c r="H301" s="146"/>
      <c r="I301" s="146"/>
      <c r="J301" s="146"/>
      <c r="K301" s="146"/>
      <c r="L301" s="146"/>
    </row>
    <row r="302" spans="2:105" s="7" customFormat="1" ht="42.75" customHeight="1">
      <c r="B302" s="679" t="str">
        <f>IF(B300&lt;&gt;"", "Does the consortium name match the name on file with the CoAEMSP?","")</f>
        <v/>
      </c>
      <c r="C302" s="679"/>
      <c r="D302" s="679"/>
      <c r="E302" s="679"/>
      <c r="F302" s="679"/>
      <c r="G302" s="150"/>
      <c r="H302" s="151"/>
      <c r="I302" s="151"/>
      <c r="J302" s="151"/>
      <c r="K302" s="151"/>
      <c r="L302" s="151"/>
      <c r="M302" s="52"/>
      <c r="N302" s="52"/>
      <c r="O302" s="52"/>
      <c r="P302" s="52"/>
      <c r="Q302" s="271"/>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52"/>
      <c r="CD302" s="52"/>
      <c r="CE302" s="52"/>
      <c r="CF302" s="52"/>
      <c r="CG302" s="52"/>
      <c r="CH302" s="52"/>
      <c r="CI302" s="52"/>
      <c r="CJ302" s="52"/>
      <c r="CK302" s="52"/>
      <c r="CL302" s="52"/>
      <c r="CM302" s="52"/>
      <c r="CN302" s="52"/>
      <c r="CO302" s="52"/>
      <c r="CP302" s="52"/>
      <c r="CQ302" s="52"/>
      <c r="CR302" s="52"/>
      <c r="CS302" s="52"/>
      <c r="CT302" s="52"/>
      <c r="CU302" s="52"/>
      <c r="CV302" s="52"/>
      <c r="CW302" s="52"/>
      <c r="CX302" s="52"/>
      <c r="CY302" s="52"/>
      <c r="CZ302" s="52"/>
      <c r="DA302" s="52"/>
    </row>
    <row r="303" spans="2:105" ht="21.75" customHeight="1">
      <c r="B303" s="687" t="str">
        <f>IF(B300&lt;&gt;"", "Consortium Name on file with the CoAEMSP:","")</f>
        <v/>
      </c>
      <c r="C303" s="687"/>
      <c r="D303" s="687"/>
      <c r="E303" s="687"/>
      <c r="F303" s="688" t="str">
        <f>IF(B300&lt;&gt;"",'Cover Page'!D12, "")</f>
        <v/>
      </c>
      <c r="G303" s="688"/>
      <c r="H303" s="688"/>
      <c r="I303" s="688"/>
      <c r="J303" s="688"/>
      <c r="K303" s="688"/>
      <c r="L303" s="146"/>
    </row>
    <row r="304" spans="2:105">
      <c r="B304" s="146"/>
      <c r="C304" s="146"/>
      <c r="D304" s="146"/>
      <c r="E304" s="146"/>
      <c r="F304" s="146"/>
      <c r="G304" s="146"/>
      <c r="H304" s="146"/>
      <c r="I304" s="146"/>
      <c r="J304" s="146"/>
      <c r="K304" s="146"/>
      <c r="L304" s="146"/>
    </row>
    <row r="305" spans="2:16" ht="21.75" customHeight="1">
      <c r="B305" s="687" t="str">
        <f>IF(G302="No", "Consortium Name Program Uses:","")</f>
        <v/>
      </c>
      <c r="C305" s="687"/>
      <c r="D305" s="687"/>
      <c r="E305" s="687"/>
      <c r="F305" s="689"/>
      <c r="G305" s="689"/>
      <c r="H305" s="689"/>
      <c r="I305" s="689"/>
      <c r="J305" s="689"/>
      <c r="K305" s="689"/>
      <c r="L305" s="146"/>
      <c r="P305" s="51"/>
    </row>
    <row r="306" spans="2:16">
      <c r="B306" s="146"/>
      <c r="C306" s="146"/>
      <c r="D306" s="146"/>
      <c r="E306" s="146"/>
      <c r="F306" s="146"/>
      <c r="G306" s="146"/>
      <c r="H306" s="146"/>
      <c r="I306" s="146"/>
      <c r="J306" s="146"/>
      <c r="K306" s="146"/>
      <c r="L306" s="146"/>
    </row>
    <row r="307" spans="2:16">
      <c r="B307" s="146"/>
      <c r="C307" s="146"/>
      <c r="D307" s="146"/>
      <c r="E307" s="146"/>
      <c r="F307" s="146"/>
      <c r="G307" s="146"/>
      <c r="H307" s="146"/>
      <c r="I307" s="146"/>
      <c r="J307" s="146"/>
      <c r="K307" s="146"/>
      <c r="L307" s="146"/>
    </row>
    <row r="308" spans="2:16" ht="30.75" customHeight="1">
      <c r="B308" s="691" t="str">
        <f>IF(B300&lt;&gt;"", "List the member organizations of the consortium.  Indicate whether or not each member organization meets Standard I.A. (either paragraph 1,2,3,4,).","")</f>
        <v/>
      </c>
      <c r="C308" s="691"/>
      <c r="D308" s="691"/>
      <c r="E308" s="691"/>
      <c r="F308" s="691"/>
      <c r="G308" s="691"/>
      <c r="H308" s="691"/>
      <c r="I308" s="691"/>
      <c r="J308" s="691"/>
      <c r="K308" s="691"/>
      <c r="L308" s="691"/>
    </row>
    <row r="309" spans="2:16" ht="19.5" customHeight="1">
      <c r="B309" s="146"/>
      <c r="C309" s="692" t="str">
        <f>IF(B300&lt;&gt;"", "          Member Organization","")</f>
        <v/>
      </c>
      <c r="D309" s="692"/>
      <c r="E309" s="692"/>
      <c r="F309" s="692"/>
      <c r="G309" s="692"/>
      <c r="H309" s="692"/>
      <c r="I309" s="692"/>
      <c r="J309" s="152"/>
      <c r="K309" s="153" t="str">
        <f>IF(B300&lt;&gt;"", "Meets Standard I.A","")</f>
        <v/>
      </c>
      <c r="L309" s="146"/>
    </row>
    <row r="310" spans="2:16" ht="20.25" customHeight="1">
      <c r="B310" s="154" t="str">
        <f>IF(B300&lt;&gt;"", "1)  ","")</f>
        <v/>
      </c>
      <c r="C310" s="689"/>
      <c r="D310" s="689"/>
      <c r="E310" s="689"/>
      <c r="F310" s="689"/>
      <c r="G310" s="689"/>
      <c r="H310" s="689"/>
      <c r="I310" s="689"/>
      <c r="J310" s="146"/>
      <c r="K310" s="150"/>
      <c r="L310" s="146"/>
    </row>
    <row r="311" spans="2:16" ht="20.25" customHeight="1">
      <c r="B311" s="154" t="str">
        <f>IF(B300&lt;&gt;"", "2)  ","")</f>
        <v/>
      </c>
      <c r="C311" s="689"/>
      <c r="D311" s="689"/>
      <c r="E311" s="689"/>
      <c r="F311" s="689"/>
      <c r="G311" s="689"/>
      <c r="H311" s="689"/>
      <c r="I311" s="689"/>
      <c r="J311" s="146"/>
      <c r="K311" s="150"/>
      <c r="L311" s="146"/>
    </row>
    <row r="312" spans="2:16" ht="20.25" customHeight="1">
      <c r="B312" s="154" t="str">
        <f>IF(B300&lt;&gt;"", "3)  ","")</f>
        <v/>
      </c>
      <c r="C312" s="689"/>
      <c r="D312" s="689"/>
      <c r="E312" s="689"/>
      <c r="F312" s="689"/>
      <c r="G312" s="689"/>
      <c r="H312" s="689"/>
      <c r="I312" s="689"/>
      <c r="J312" s="146"/>
      <c r="K312" s="150"/>
      <c r="L312" s="146"/>
    </row>
    <row r="313" spans="2:16">
      <c r="B313" s="154"/>
      <c r="C313" s="146"/>
      <c r="D313" s="146"/>
      <c r="E313" s="146"/>
      <c r="F313" s="146"/>
      <c r="G313" s="146"/>
      <c r="H313" s="146"/>
      <c r="I313" s="146"/>
      <c r="J313" s="146"/>
      <c r="K313" s="146"/>
      <c r="L313" s="146"/>
    </row>
    <row r="314" spans="2:16">
      <c r="B314" s="146"/>
      <c r="C314" s="146"/>
      <c r="D314" s="146"/>
      <c r="E314" s="146"/>
      <c r="F314" s="146"/>
      <c r="G314" s="146"/>
      <c r="H314" s="146"/>
      <c r="I314" s="146"/>
      <c r="J314" s="146"/>
      <c r="K314" s="146"/>
      <c r="L314" s="146"/>
    </row>
    <row r="315" spans="2:16">
      <c r="B315" s="146"/>
      <c r="C315" s="146"/>
      <c r="D315" s="146"/>
      <c r="E315" s="146"/>
      <c r="F315" s="146"/>
      <c r="G315" s="146"/>
      <c r="H315" s="146"/>
      <c r="I315" s="146"/>
      <c r="J315" s="146"/>
      <c r="K315" s="146"/>
      <c r="L315" s="146"/>
    </row>
    <row r="316" spans="2:16" ht="25.5" customHeight="1">
      <c r="B316" s="686" t="str">
        <f>IF(B300&lt;&gt;"", "Decision Making Board / Governing Committee","")</f>
        <v/>
      </c>
      <c r="C316" s="686"/>
      <c r="D316" s="686"/>
      <c r="E316" s="686"/>
      <c r="F316" s="686"/>
      <c r="G316" s="686"/>
      <c r="H316" s="686"/>
      <c r="I316" s="686"/>
      <c r="J316" s="686"/>
      <c r="K316" s="686"/>
      <c r="L316" s="686"/>
    </row>
    <row r="317" spans="2:16" ht="25.5" customHeight="1">
      <c r="B317" s="155"/>
      <c r="C317" s="690" t="str">
        <f>IF(B300&lt;&gt;"", "Name / Title","")</f>
        <v/>
      </c>
      <c r="D317" s="690"/>
      <c r="E317" s="690"/>
      <c r="F317" s="690"/>
      <c r="G317" s="690"/>
      <c r="H317" s="690"/>
      <c r="I317" s="690" t="str">
        <f>IF(B300&lt;&gt;"", "Member Organization Represented","")</f>
        <v/>
      </c>
      <c r="J317" s="690"/>
      <c r="K317" s="690"/>
      <c r="L317" s="690"/>
    </row>
    <row r="318" spans="2:16" ht="18.75" customHeight="1">
      <c r="B318" s="156" t="str">
        <f>IF(B300&lt;&gt;"", "CEO/Chair:","")</f>
        <v/>
      </c>
      <c r="C318" s="685"/>
      <c r="D318" s="685"/>
      <c r="E318" s="685"/>
      <c r="F318" s="685"/>
      <c r="G318" s="685"/>
      <c r="H318" s="685"/>
      <c r="I318" s="689"/>
      <c r="J318" s="689"/>
      <c r="K318" s="689"/>
      <c r="L318" s="689"/>
    </row>
    <row r="319" spans="2:16" ht="18" customHeight="1">
      <c r="B319" s="156" t="str">
        <f>IF(B300&lt;&gt;"", "Members:","")</f>
        <v/>
      </c>
      <c r="C319" s="685"/>
      <c r="D319" s="685"/>
      <c r="E319" s="685"/>
      <c r="F319" s="685"/>
      <c r="G319" s="685"/>
      <c r="H319" s="685"/>
      <c r="I319" s="689"/>
      <c r="J319" s="689"/>
      <c r="K319" s="689"/>
      <c r="L319" s="689"/>
    </row>
    <row r="320" spans="2:16" ht="18" customHeight="1">
      <c r="B320" s="146"/>
      <c r="C320" s="685"/>
      <c r="D320" s="685"/>
      <c r="E320" s="685"/>
      <c r="F320" s="685"/>
      <c r="G320" s="685"/>
      <c r="H320" s="685"/>
      <c r="I320" s="689"/>
      <c r="J320" s="689"/>
      <c r="K320" s="689"/>
      <c r="L320" s="689"/>
    </row>
    <row r="321" spans="2:105" ht="18" customHeight="1">
      <c r="B321" s="146"/>
      <c r="C321" s="685"/>
      <c r="D321" s="685"/>
      <c r="E321" s="685"/>
      <c r="F321" s="685"/>
      <c r="G321" s="685"/>
      <c r="H321" s="685"/>
      <c r="I321" s="689"/>
      <c r="J321" s="689"/>
      <c r="K321" s="689"/>
      <c r="L321" s="689"/>
    </row>
    <row r="322" spans="2:105" ht="18" customHeight="1">
      <c r="B322" s="146"/>
      <c r="C322" s="685"/>
      <c r="D322" s="685"/>
      <c r="E322" s="685"/>
      <c r="F322" s="685"/>
      <c r="G322" s="685"/>
      <c r="H322" s="685"/>
      <c r="I322" s="689"/>
      <c r="J322" s="689"/>
      <c r="K322" s="689"/>
      <c r="L322" s="689"/>
    </row>
    <row r="323" spans="2:105" ht="18" customHeight="1">
      <c r="B323" s="146"/>
      <c r="C323" s="685"/>
      <c r="D323" s="685"/>
      <c r="E323" s="685"/>
      <c r="F323" s="685"/>
      <c r="G323" s="685"/>
      <c r="H323" s="685"/>
      <c r="I323" s="689"/>
      <c r="J323" s="689"/>
      <c r="K323" s="689"/>
      <c r="L323" s="689"/>
    </row>
    <row r="324" spans="2:105" ht="18" customHeight="1">
      <c r="B324" s="146"/>
      <c r="C324" s="685"/>
      <c r="D324" s="685"/>
      <c r="E324" s="685"/>
      <c r="F324" s="685"/>
      <c r="G324" s="685"/>
      <c r="H324" s="685"/>
      <c r="I324" s="689"/>
      <c r="J324" s="689"/>
      <c r="K324" s="689"/>
      <c r="L324" s="689"/>
    </row>
    <row r="325" spans="2:105" ht="18" customHeight="1">
      <c r="B325" s="146"/>
      <c r="C325" s="685"/>
      <c r="D325" s="685"/>
      <c r="E325" s="685"/>
      <c r="F325" s="685"/>
      <c r="G325" s="685"/>
      <c r="H325" s="685"/>
      <c r="I325" s="689"/>
      <c r="J325" s="689"/>
      <c r="K325" s="689"/>
      <c r="L325" s="689"/>
    </row>
    <row r="326" spans="2:105" ht="18" customHeight="1">
      <c r="B326" s="146"/>
      <c r="C326" s="685"/>
      <c r="D326" s="685"/>
      <c r="E326" s="685"/>
      <c r="F326" s="685"/>
      <c r="G326" s="685"/>
      <c r="H326" s="685"/>
      <c r="I326" s="689"/>
      <c r="J326" s="689"/>
      <c r="K326" s="689"/>
      <c r="L326" s="689"/>
    </row>
    <row r="327" spans="2:105" ht="18" customHeight="1">
      <c r="B327" s="146"/>
      <c r="C327" s="685"/>
      <c r="D327" s="685"/>
      <c r="E327" s="685"/>
      <c r="F327" s="685"/>
      <c r="G327" s="685"/>
      <c r="H327" s="685"/>
      <c r="I327" s="689"/>
      <c r="J327" s="689"/>
      <c r="K327" s="689"/>
      <c r="L327" s="689"/>
    </row>
    <row r="328" spans="2:105" ht="18" customHeight="1">
      <c r="B328" s="146"/>
      <c r="C328" s="685"/>
      <c r="D328" s="685"/>
      <c r="E328" s="685"/>
      <c r="F328" s="685"/>
      <c r="G328" s="685"/>
      <c r="H328" s="685"/>
      <c r="I328" s="689"/>
      <c r="J328" s="689"/>
      <c r="K328" s="689"/>
      <c r="L328" s="689"/>
    </row>
    <row r="329" spans="2:105" ht="18" customHeight="1">
      <c r="B329" s="146"/>
      <c r="C329" s="685"/>
      <c r="D329" s="685"/>
      <c r="E329" s="685"/>
      <c r="F329" s="685"/>
      <c r="G329" s="685"/>
      <c r="H329" s="685"/>
      <c r="I329" s="689"/>
      <c r="J329" s="689"/>
      <c r="K329" s="689"/>
      <c r="L329" s="689"/>
    </row>
    <row r="330" spans="2:105">
      <c r="B330" s="146"/>
      <c r="C330" s="146"/>
      <c r="D330" s="146"/>
      <c r="E330" s="146"/>
      <c r="F330" s="146"/>
      <c r="G330" s="146"/>
      <c r="H330" s="146"/>
      <c r="I330" s="146"/>
      <c r="J330" s="146"/>
      <c r="K330" s="146"/>
      <c r="L330" s="146"/>
    </row>
    <row r="331" spans="2:105">
      <c r="B331" s="146"/>
      <c r="C331" s="146"/>
      <c r="D331" s="146"/>
      <c r="E331" s="146"/>
      <c r="F331" s="146"/>
      <c r="G331" s="146"/>
      <c r="H331" s="146"/>
      <c r="I331" s="146"/>
      <c r="J331" s="146"/>
      <c r="K331" s="146"/>
      <c r="L331" s="146"/>
    </row>
    <row r="332" spans="2:105" s="7" customFormat="1" ht="30" customHeight="1">
      <c r="B332" s="679" t="str">
        <f>IF(B300&lt;&gt;"", "Does the above composition match the provision in the consortium agreement?","")</f>
        <v/>
      </c>
      <c r="C332" s="679"/>
      <c r="D332" s="679"/>
      <c r="E332" s="679"/>
      <c r="F332" s="679"/>
      <c r="G332" s="679"/>
      <c r="H332" s="679"/>
      <c r="I332" s="679"/>
      <c r="J332" s="150"/>
      <c r="K332" s="151"/>
      <c r="L332" s="151"/>
      <c r="M332" s="52"/>
      <c r="N332" s="52"/>
      <c r="O332" s="52"/>
      <c r="P332" s="52"/>
      <c r="Q332" s="271"/>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52"/>
      <c r="CD332" s="52"/>
      <c r="CE332" s="52"/>
      <c r="CF332" s="52"/>
      <c r="CG332" s="52"/>
      <c r="CH332" s="52"/>
      <c r="CI332" s="52"/>
      <c r="CJ332" s="52"/>
      <c r="CK332" s="52"/>
      <c r="CL332" s="52"/>
      <c r="CM332" s="52"/>
      <c r="CN332" s="52"/>
      <c r="CO332" s="52"/>
      <c r="CP332" s="52"/>
      <c r="CQ332" s="52"/>
      <c r="CR332" s="52"/>
      <c r="CS332" s="52"/>
      <c r="CT332" s="52"/>
      <c r="CU332" s="52"/>
      <c r="CV332" s="52"/>
      <c r="CW332" s="52"/>
      <c r="CX332" s="52"/>
      <c r="CY332" s="52"/>
      <c r="CZ332" s="52"/>
      <c r="DA332" s="52"/>
    </row>
    <row r="333" spans="2:105">
      <c r="B333" s="146" t="str">
        <f>IF(J332="No", "Explain:","")</f>
        <v/>
      </c>
      <c r="C333" s="146"/>
      <c r="D333" s="146"/>
      <c r="E333" s="146"/>
      <c r="F333" s="146"/>
      <c r="G333" s="146"/>
      <c r="H333" s="146"/>
      <c r="I333" s="146"/>
      <c r="J333" s="146"/>
      <c r="K333" s="146"/>
      <c r="L333" s="146"/>
    </row>
    <row r="334" spans="2:105" ht="70.5" customHeight="1">
      <c r="B334" s="680"/>
      <c r="C334" s="680"/>
      <c r="D334" s="680"/>
      <c r="E334" s="680"/>
      <c r="F334" s="680"/>
      <c r="G334" s="680"/>
      <c r="H334" s="680"/>
      <c r="I334" s="680"/>
      <c r="J334" s="680"/>
      <c r="K334" s="680"/>
      <c r="L334" s="680"/>
    </row>
    <row r="335" spans="2:105" ht="7.5" customHeight="1">
      <c r="B335" s="146"/>
      <c r="C335" s="146"/>
      <c r="D335" s="146"/>
      <c r="E335" s="146"/>
      <c r="F335" s="146"/>
      <c r="G335" s="146"/>
      <c r="H335" s="146"/>
      <c r="I335" s="146"/>
      <c r="J335" s="146"/>
      <c r="K335" s="146"/>
      <c r="L335" s="146"/>
    </row>
    <row r="336" spans="2:105" s="7" customFormat="1" ht="30" customHeight="1">
      <c r="B336" s="679" t="str">
        <f>IF(B300&lt;&gt;"", "Is there a separate Advisory Committee for the program?","")</f>
        <v/>
      </c>
      <c r="C336" s="679"/>
      <c r="D336" s="679"/>
      <c r="E336" s="679"/>
      <c r="F336" s="679"/>
      <c r="G336" s="679"/>
      <c r="H336" s="679"/>
      <c r="I336" s="679"/>
      <c r="J336" s="150"/>
      <c r="K336" s="151"/>
      <c r="L336" s="151"/>
      <c r="M336" s="52"/>
      <c r="N336" s="52"/>
      <c r="O336" s="52"/>
      <c r="P336" s="52"/>
      <c r="Q336" s="271"/>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52"/>
      <c r="CD336" s="52"/>
      <c r="CE336" s="52"/>
      <c r="CF336" s="52"/>
      <c r="CG336" s="52"/>
      <c r="CH336" s="52"/>
      <c r="CI336" s="52"/>
      <c r="CJ336" s="52"/>
      <c r="CK336" s="52"/>
      <c r="CL336" s="52"/>
      <c r="CM336" s="52"/>
      <c r="CN336" s="52"/>
      <c r="CO336" s="52"/>
      <c r="CP336" s="52"/>
      <c r="CQ336" s="52"/>
      <c r="CR336" s="52"/>
      <c r="CS336" s="52"/>
      <c r="CT336" s="52"/>
      <c r="CU336" s="52"/>
      <c r="CV336" s="52"/>
      <c r="CW336" s="52"/>
      <c r="CX336" s="52"/>
      <c r="CY336" s="52"/>
      <c r="CZ336" s="52"/>
      <c r="DA336" s="52"/>
    </row>
    <row r="337" spans="2:105" ht="7.5" customHeight="1">
      <c r="B337" s="146"/>
      <c r="C337" s="146"/>
      <c r="D337" s="146"/>
      <c r="E337" s="146"/>
      <c r="F337" s="146"/>
      <c r="G337" s="146"/>
      <c r="H337" s="146"/>
      <c r="I337" s="146"/>
      <c r="J337" s="146"/>
      <c r="K337" s="146"/>
      <c r="L337" s="146"/>
    </row>
    <row r="338" spans="2:105" s="7" customFormat="1" ht="30" customHeight="1">
      <c r="B338" s="679" t="str">
        <f>IF(B300&lt;&gt;"", "Does the organizational chart on-site match the one presented in the self-study report?","")</f>
        <v/>
      </c>
      <c r="C338" s="679"/>
      <c r="D338" s="679"/>
      <c r="E338" s="679"/>
      <c r="F338" s="679"/>
      <c r="G338" s="679"/>
      <c r="H338" s="679"/>
      <c r="I338" s="679"/>
      <c r="J338" s="150"/>
      <c r="K338" s="151"/>
      <c r="L338" s="151"/>
      <c r="M338" s="52"/>
      <c r="N338" s="52"/>
      <c r="O338" s="52"/>
      <c r="P338" s="52"/>
      <c r="Q338" s="271"/>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52"/>
      <c r="CD338" s="52"/>
      <c r="CE338" s="52"/>
      <c r="CF338" s="52"/>
      <c r="CG338" s="52"/>
      <c r="CH338" s="52"/>
      <c r="CI338" s="52"/>
      <c r="CJ338" s="52"/>
      <c r="CK338" s="52"/>
      <c r="CL338" s="52"/>
      <c r="CM338" s="52"/>
      <c r="CN338" s="52"/>
      <c r="CO338" s="52"/>
      <c r="CP338" s="52"/>
      <c r="CQ338" s="52"/>
      <c r="CR338" s="52"/>
      <c r="CS338" s="52"/>
      <c r="CT338" s="52"/>
      <c r="CU338" s="52"/>
      <c r="CV338" s="52"/>
      <c r="CW338" s="52"/>
      <c r="CX338" s="52"/>
      <c r="CY338" s="52"/>
      <c r="CZ338" s="52"/>
      <c r="DA338" s="52"/>
    </row>
    <row r="339" spans="2:105">
      <c r="B339" s="146" t="str">
        <f>IF(J338="No", "Explain:","")</f>
        <v/>
      </c>
      <c r="C339" s="146"/>
      <c r="D339" s="146"/>
      <c r="E339" s="146"/>
      <c r="F339" s="146"/>
      <c r="G339" s="146"/>
      <c r="H339" s="146"/>
      <c r="I339" s="146"/>
      <c r="J339" s="146"/>
      <c r="K339" s="146"/>
      <c r="L339" s="146"/>
    </row>
    <row r="340" spans="2:105" ht="70.5" customHeight="1">
      <c r="B340" s="680"/>
      <c r="C340" s="680"/>
      <c r="D340" s="680"/>
      <c r="E340" s="680"/>
      <c r="F340" s="680"/>
      <c r="G340" s="680"/>
      <c r="H340" s="680"/>
      <c r="I340" s="680"/>
      <c r="J340" s="680"/>
      <c r="K340" s="680"/>
      <c r="L340" s="680"/>
    </row>
    <row r="341" spans="2:105" ht="7.5" customHeight="1">
      <c r="B341" s="146"/>
      <c r="C341" s="146"/>
      <c r="D341" s="146"/>
      <c r="E341" s="146"/>
      <c r="F341" s="146"/>
      <c r="G341" s="146"/>
      <c r="H341" s="146"/>
      <c r="I341" s="146"/>
      <c r="J341" s="146"/>
      <c r="K341" s="146"/>
      <c r="L341" s="146"/>
    </row>
    <row r="342" spans="2:105" s="7" customFormat="1" ht="30" customHeight="1">
      <c r="B342" s="679" t="str">
        <f>IF(B300&lt;&gt;"", "Does the actual operation of the program match the lines of authority stated in the consortium agreement and organizational chart?","")</f>
        <v/>
      </c>
      <c r="C342" s="679"/>
      <c r="D342" s="679"/>
      <c r="E342" s="679"/>
      <c r="F342" s="679"/>
      <c r="G342" s="679"/>
      <c r="H342" s="679"/>
      <c r="I342" s="679"/>
      <c r="J342" s="150"/>
      <c r="K342" s="151"/>
      <c r="L342" s="151"/>
      <c r="M342" s="52"/>
      <c r="N342" s="52"/>
      <c r="O342" s="52"/>
      <c r="P342" s="52"/>
      <c r="Q342" s="271"/>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52"/>
      <c r="CD342" s="52"/>
      <c r="CE342" s="52"/>
      <c r="CF342" s="52"/>
      <c r="CG342" s="52"/>
      <c r="CH342" s="52"/>
      <c r="CI342" s="52"/>
      <c r="CJ342" s="52"/>
      <c r="CK342" s="52"/>
      <c r="CL342" s="52"/>
      <c r="CM342" s="52"/>
      <c r="CN342" s="52"/>
      <c r="CO342" s="52"/>
      <c r="CP342" s="52"/>
      <c r="CQ342" s="52"/>
      <c r="CR342" s="52"/>
      <c r="CS342" s="52"/>
      <c r="CT342" s="52"/>
      <c r="CU342" s="52"/>
      <c r="CV342" s="52"/>
      <c r="CW342" s="52"/>
      <c r="CX342" s="52"/>
      <c r="CY342" s="52"/>
      <c r="CZ342" s="52"/>
      <c r="DA342" s="52"/>
    </row>
    <row r="343" spans="2:105">
      <c r="B343" s="146" t="str">
        <f>IF(J342="No", "Explain:","")</f>
        <v/>
      </c>
      <c r="C343" s="146"/>
      <c r="D343" s="146"/>
      <c r="E343" s="146"/>
      <c r="F343" s="146"/>
      <c r="G343" s="146"/>
      <c r="H343" s="146"/>
      <c r="I343" s="146"/>
      <c r="J343" s="146"/>
      <c r="K343" s="146"/>
      <c r="L343" s="146"/>
    </row>
    <row r="344" spans="2:105" ht="70.5" customHeight="1">
      <c r="B344" s="680"/>
      <c r="C344" s="680"/>
      <c r="D344" s="680"/>
      <c r="E344" s="680"/>
      <c r="F344" s="680"/>
      <c r="G344" s="680"/>
      <c r="H344" s="680"/>
      <c r="I344" s="680"/>
      <c r="J344" s="680"/>
      <c r="K344" s="680"/>
      <c r="L344" s="680"/>
    </row>
    <row r="345" spans="2:105" ht="7.5" customHeight="1">
      <c r="B345" s="146"/>
      <c r="C345" s="146"/>
      <c r="D345" s="146"/>
      <c r="E345" s="146"/>
      <c r="F345" s="146"/>
      <c r="G345" s="146"/>
      <c r="H345" s="146"/>
      <c r="I345" s="146"/>
      <c r="J345" s="146"/>
      <c r="K345" s="146"/>
      <c r="L345" s="146"/>
    </row>
    <row r="346" spans="2:105" ht="21.75" customHeight="1">
      <c r="B346" s="681" t="str">
        <f>IF(B300&lt;&gt;"", "To whom does the program director report on a day-to-day basis?","")</f>
        <v/>
      </c>
      <c r="C346" s="681"/>
      <c r="D346" s="681"/>
      <c r="E346" s="681"/>
      <c r="F346" s="681"/>
      <c r="G346" s="681"/>
      <c r="H346" s="680"/>
      <c r="I346" s="680"/>
      <c r="J346" s="680"/>
      <c r="K346" s="680"/>
      <c r="L346" s="146"/>
    </row>
    <row r="347" spans="2:105" ht="7.5" customHeight="1">
      <c r="B347" s="146"/>
      <c r="C347" s="146"/>
      <c r="D347" s="146"/>
      <c r="E347" s="146"/>
      <c r="F347" s="146"/>
      <c r="G347" s="146"/>
      <c r="H347" s="146"/>
      <c r="I347" s="146"/>
      <c r="J347" s="146"/>
      <c r="K347" s="146"/>
      <c r="L347" s="146"/>
    </row>
    <row r="348" spans="2:105" s="7" customFormat="1" ht="30" customHeight="1">
      <c r="B348" s="679" t="str">
        <f>IF(B300&lt;&gt;"", "Are there written policies and procedures that the program follows?","")</f>
        <v/>
      </c>
      <c r="C348" s="679"/>
      <c r="D348" s="679"/>
      <c r="E348" s="679"/>
      <c r="F348" s="679"/>
      <c r="G348" s="679"/>
      <c r="H348" s="679"/>
      <c r="I348" s="679"/>
      <c r="J348" s="150"/>
      <c r="K348" s="151"/>
      <c r="L348" s="151"/>
      <c r="M348" s="52"/>
      <c r="N348" s="52"/>
      <c r="O348" s="52"/>
      <c r="P348" s="52"/>
      <c r="Q348" s="271"/>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52"/>
      <c r="CD348" s="52"/>
      <c r="CE348" s="52"/>
      <c r="CF348" s="52"/>
      <c r="CG348" s="52"/>
      <c r="CH348" s="52"/>
      <c r="CI348" s="52"/>
      <c r="CJ348" s="52"/>
      <c r="CK348" s="52"/>
      <c r="CL348" s="52"/>
      <c r="CM348" s="52"/>
      <c r="CN348" s="52"/>
      <c r="CO348" s="52"/>
      <c r="CP348" s="52"/>
      <c r="CQ348" s="52"/>
      <c r="CR348" s="52"/>
      <c r="CS348" s="52"/>
      <c r="CT348" s="52"/>
      <c r="CU348" s="52"/>
      <c r="CV348" s="52"/>
      <c r="CW348" s="52"/>
      <c r="CX348" s="52"/>
      <c r="CY348" s="52"/>
      <c r="CZ348" s="52"/>
      <c r="DA348" s="52"/>
    </row>
    <row r="349" spans="2:105">
      <c r="B349" s="146" t="str">
        <f>IF(J348="No", "Explain:","")</f>
        <v/>
      </c>
      <c r="C349" s="146"/>
      <c r="D349" s="146"/>
      <c r="E349" s="146"/>
      <c r="F349" s="146"/>
      <c r="G349" s="146"/>
      <c r="H349" s="146"/>
      <c r="I349" s="146"/>
      <c r="J349" s="146"/>
      <c r="K349" s="146"/>
      <c r="L349" s="146"/>
    </row>
    <row r="350" spans="2:105" ht="70.5" customHeight="1">
      <c r="B350" s="680"/>
      <c r="C350" s="680"/>
      <c r="D350" s="680"/>
      <c r="E350" s="680"/>
      <c r="F350" s="680"/>
      <c r="G350" s="680"/>
      <c r="H350" s="680"/>
      <c r="I350" s="680"/>
      <c r="J350" s="680"/>
      <c r="K350" s="680"/>
      <c r="L350" s="680"/>
    </row>
    <row r="351" spans="2:105" ht="7.5" customHeight="1">
      <c r="B351" s="146"/>
      <c r="C351" s="146"/>
      <c r="D351" s="146"/>
      <c r="E351" s="146"/>
      <c r="F351" s="146"/>
      <c r="G351" s="146"/>
      <c r="H351" s="146"/>
      <c r="I351" s="146"/>
      <c r="J351" s="146"/>
      <c r="K351" s="146"/>
      <c r="L351" s="146"/>
    </row>
    <row r="352" spans="2:105" s="7" customFormat="1" ht="30" customHeight="1">
      <c r="B352" s="679" t="str">
        <f>IF(B300&lt;&gt;"", "Has the governing body met at least annually?","")</f>
        <v/>
      </c>
      <c r="C352" s="679"/>
      <c r="D352" s="679"/>
      <c r="E352" s="679"/>
      <c r="F352" s="679"/>
      <c r="G352" s="679"/>
      <c r="H352" s="679"/>
      <c r="I352" s="679"/>
      <c r="J352" s="150"/>
      <c r="K352" s="151"/>
      <c r="L352" s="151"/>
      <c r="M352" s="52"/>
      <c r="N352" s="52"/>
      <c r="O352" s="52"/>
      <c r="P352" s="52"/>
      <c r="Q352" s="271"/>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52"/>
      <c r="CD352" s="52"/>
      <c r="CE352" s="52"/>
      <c r="CF352" s="52"/>
      <c r="CG352" s="52"/>
      <c r="CH352" s="52"/>
      <c r="CI352" s="52"/>
      <c r="CJ352" s="52"/>
      <c r="CK352" s="52"/>
      <c r="CL352" s="52"/>
      <c r="CM352" s="52"/>
      <c r="CN352" s="52"/>
      <c r="CO352" s="52"/>
      <c r="CP352" s="52"/>
      <c r="CQ352" s="52"/>
      <c r="CR352" s="52"/>
      <c r="CS352" s="52"/>
      <c r="CT352" s="52"/>
      <c r="CU352" s="52"/>
      <c r="CV352" s="52"/>
      <c r="CW352" s="52"/>
      <c r="CX352" s="52"/>
      <c r="CY352" s="52"/>
      <c r="CZ352" s="52"/>
      <c r="DA352" s="52"/>
    </row>
    <row r="353" spans="2:105" ht="7.5" customHeight="1">
      <c r="B353" s="146"/>
      <c r="C353" s="146"/>
      <c r="D353" s="146"/>
      <c r="E353" s="146"/>
      <c r="F353" s="146"/>
      <c r="G353" s="146"/>
      <c r="H353" s="146"/>
      <c r="I353" s="146"/>
      <c r="J353" s="146"/>
      <c r="K353" s="146"/>
      <c r="L353" s="146"/>
    </row>
    <row r="354" spans="2:105" ht="21.75" customHeight="1">
      <c r="B354" s="694" t="str">
        <f>IF(B300&lt;&gt;"", "Dates (last 3-yrs):     ","")</f>
        <v/>
      </c>
      <c r="C354" s="694"/>
      <c r="D354" s="694"/>
      <c r="E354" s="694"/>
      <c r="F354" s="694"/>
      <c r="G354" s="694"/>
      <c r="H354" s="680"/>
      <c r="I354" s="680"/>
      <c r="J354" s="680"/>
      <c r="K354" s="680"/>
      <c r="L354" s="146"/>
    </row>
    <row r="355" spans="2:105" ht="7.5" customHeight="1">
      <c r="B355" s="146"/>
      <c r="C355" s="146"/>
      <c r="D355" s="146"/>
      <c r="E355" s="146"/>
      <c r="F355" s="146"/>
      <c r="G355" s="146"/>
      <c r="H355" s="146"/>
      <c r="I355" s="146"/>
      <c r="J355" s="146"/>
      <c r="K355" s="146"/>
      <c r="L355" s="146"/>
    </row>
    <row r="356" spans="2:105" s="7" customFormat="1" ht="30" customHeight="1">
      <c r="B356" s="679" t="str">
        <f>IF(B300&lt;&gt;"", "Did you review governing body meeting minutes?","")</f>
        <v/>
      </c>
      <c r="C356" s="679"/>
      <c r="D356" s="679"/>
      <c r="E356" s="679"/>
      <c r="F356" s="679"/>
      <c r="G356" s="679"/>
      <c r="H356" s="679"/>
      <c r="I356" s="679"/>
      <c r="J356" s="150"/>
      <c r="K356" s="151"/>
      <c r="L356" s="151"/>
      <c r="M356" s="52"/>
      <c r="N356" s="52"/>
      <c r="O356" s="52"/>
      <c r="P356" s="52"/>
      <c r="Q356" s="271"/>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52"/>
      <c r="CD356" s="52"/>
      <c r="CE356" s="52"/>
      <c r="CF356" s="52"/>
      <c r="CG356" s="52"/>
      <c r="CH356" s="52"/>
      <c r="CI356" s="52"/>
      <c r="CJ356" s="52"/>
      <c r="CK356" s="52"/>
      <c r="CL356" s="52"/>
      <c r="CM356" s="52"/>
      <c r="CN356" s="52"/>
      <c r="CO356" s="52"/>
      <c r="CP356" s="52"/>
      <c r="CQ356" s="52"/>
      <c r="CR356" s="52"/>
      <c r="CS356" s="52"/>
      <c r="CT356" s="52"/>
      <c r="CU356" s="52"/>
      <c r="CV356" s="52"/>
      <c r="CW356" s="52"/>
      <c r="CX356" s="52"/>
      <c r="CY356" s="52"/>
      <c r="CZ356" s="52"/>
      <c r="DA356" s="52"/>
    </row>
    <row r="357" spans="2:105" ht="7.5" customHeight="1">
      <c r="B357" s="146"/>
      <c r="C357" s="146"/>
      <c r="D357" s="146"/>
      <c r="E357" s="146"/>
      <c r="F357" s="146"/>
      <c r="G357" s="146"/>
      <c r="H357" s="146"/>
      <c r="I357" s="146"/>
      <c r="J357" s="146"/>
      <c r="K357" s="146"/>
      <c r="L357" s="146"/>
    </row>
    <row r="358" spans="2:105" ht="21.75" customHeight="1">
      <c r="B358" s="694" t="str">
        <f>IF(B300&lt;&gt;"", "Which meetings?   ","")</f>
        <v/>
      </c>
      <c r="C358" s="694"/>
      <c r="D358" s="694"/>
      <c r="E358" s="694"/>
      <c r="F358" s="694"/>
      <c r="G358" s="694"/>
      <c r="H358" s="680"/>
      <c r="I358" s="680"/>
      <c r="J358" s="680"/>
      <c r="K358" s="680"/>
      <c r="L358" s="146"/>
    </row>
    <row r="359" spans="2:105" ht="7.5" customHeight="1">
      <c r="B359" s="146"/>
      <c r="C359" s="146"/>
      <c r="D359" s="146"/>
      <c r="E359" s="146"/>
      <c r="F359" s="146"/>
      <c r="G359" s="146"/>
      <c r="H359" s="146"/>
      <c r="I359" s="146"/>
      <c r="J359" s="146"/>
      <c r="K359" s="146"/>
      <c r="L359" s="146"/>
    </row>
    <row r="360" spans="2:105" s="7" customFormat="1" ht="24" customHeight="1">
      <c r="B360" s="705" t="str">
        <f>IF(B300&lt;&gt;"", "Do the minutes of the governing body substantiate that the consortium (i.e. sponsor) is:","")</f>
        <v/>
      </c>
      <c r="C360" s="705"/>
      <c r="D360" s="705"/>
      <c r="E360" s="705"/>
      <c r="F360" s="705"/>
      <c r="G360" s="705"/>
      <c r="H360" s="705"/>
      <c r="I360" s="705"/>
      <c r="J360" s="151"/>
      <c r="K360" s="151"/>
      <c r="L360" s="151"/>
      <c r="M360" s="52"/>
      <c r="N360" s="52"/>
      <c r="O360" s="52"/>
      <c r="P360" s="52"/>
      <c r="Q360" s="271"/>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52"/>
      <c r="CD360" s="52"/>
      <c r="CE360" s="52"/>
      <c r="CF360" s="52"/>
      <c r="CG360" s="52"/>
      <c r="CH360" s="52"/>
      <c r="CI360" s="52"/>
      <c r="CJ360" s="52"/>
      <c r="CK360" s="52"/>
      <c r="CL360" s="52"/>
      <c r="CM360" s="52"/>
      <c r="CN360" s="52"/>
      <c r="CO360" s="52"/>
      <c r="CP360" s="52"/>
      <c r="CQ360" s="52"/>
      <c r="CR360" s="52"/>
      <c r="CS360" s="52"/>
      <c r="CT360" s="52"/>
      <c r="CU360" s="52"/>
      <c r="CV360" s="52"/>
      <c r="CW360" s="52"/>
      <c r="CX360" s="52"/>
      <c r="CY360" s="52"/>
      <c r="CZ360" s="52"/>
      <c r="DA360" s="52"/>
    </row>
    <row r="361" spans="2:105" ht="21.75" customHeight="1">
      <c r="B361" s="687" t="str">
        <f>IF(B300&lt;&gt;"", "(1) meeting the accreditation requirements of the Standards?       ","")</f>
        <v/>
      </c>
      <c r="C361" s="687"/>
      <c r="D361" s="687"/>
      <c r="E361" s="687"/>
      <c r="F361" s="687"/>
      <c r="G361" s="687"/>
      <c r="H361" s="687"/>
      <c r="I361" s="687"/>
      <c r="J361" s="150"/>
      <c r="K361" s="157"/>
      <c r="L361" s="146"/>
    </row>
    <row r="362" spans="2:105" ht="21.75" customHeight="1">
      <c r="B362" s="687" t="str">
        <f>IF(B300&lt;&gt;"", "(2) meeting the provisions of the specific consortium agreement?","")</f>
        <v/>
      </c>
      <c r="C362" s="687"/>
      <c r="D362" s="687"/>
      <c r="E362" s="687"/>
      <c r="F362" s="687"/>
      <c r="G362" s="687"/>
      <c r="H362" s="687"/>
      <c r="I362" s="687"/>
      <c r="J362" s="150"/>
      <c r="K362" s="157"/>
      <c r="L362" s="146"/>
    </row>
    <row r="363" spans="2:105">
      <c r="B363" s="146"/>
      <c r="C363" s="146"/>
      <c r="D363" s="146"/>
      <c r="E363" s="146"/>
      <c r="F363" s="146"/>
      <c r="G363" s="146"/>
      <c r="H363" s="146"/>
      <c r="I363" s="146"/>
      <c r="J363" s="146"/>
      <c r="K363" s="146"/>
      <c r="L363" s="146"/>
    </row>
    <row r="364" spans="2:105">
      <c r="B364" s="704" t="str">
        <f>IF(B300&lt;&gt;"", "If no, please describe:","")</f>
        <v/>
      </c>
      <c r="C364" s="704"/>
      <c r="D364" s="704"/>
      <c r="E364" s="704"/>
      <c r="F364" s="704"/>
      <c r="G364" s="704"/>
      <c r="H364" s="146"/>
      <c r="I364" s="146"/>
      <c r="J364" s="146"/>
      <c r="K364" s="146"/>
      <c r="L364" s="146"/>
    </row>
    <row r="365" spans="2:105">
      <c r="B365" s="680"/>
      <c r="C365" s="680"/>
      <c r="D365" s="680"/>
      <c r="E365" s="680"/>
      <c r="F365" s="680"/>
      <c r="G365" s="680"/>
      <c r="H365" s="680"/>
      <c r="I365" s="680"/>
      <c r="J365" s="680"/>
      <c r="K365" s="680"/>
      <c r="L365" s="680"/>
    </row>
    <row r="366" spans="2:105">
      <c r="B366" s="680"/>
      <c r="C366" s="680"/>
      <c r="D366" s="680"/>
      <c r="E366" s="680"/>
      <c r="F366" s="680"/>
      <c r="G366" s="680"/>
      <c r="H366" s="680"/>
      <c r="I366" s="680"/>
      <c r="J366" s="680"/>
      <c r="K366" s="680"/>
      <c r="L366" s="680"/>
    </row>
    <row r="367" spans="2:105">
      <c r="B367" s="680"/>
      <c r="C367" s="680"/>
      <c r="D367" s="680"/>
      <c r="E367" s="680"/>
      <c r="F367" s="680"/>
      <c r="G367" s="680"/>
      <c r="H367" s="680"/>
      <c r="I367" s="680"/>
      <c r="J367" s="680"/>
      <c r="K367" s="680"/>
      <c r="L367" s="680"/>
    </row>
    <row r="368" spans="2:105">
      <c r="B368" s="680"/>
      <c r="C368" s="680"/>
      <c r="D368" s="680"/>
      <c r="E368" s="680"/>
      <c r="F368" s="680"/>
      <c r="G368" s="680"/>
      <c r="H368" s="680"/>
      <c r="I368" s="680"/>
      <c r="J368" s="680"/>
      <c r="K368" s="680"/>
      <c r="L368" s="680"/>
    </row>
    <row r="369" spans="2:12">
      <c r="B369" s="680"/>
      <c r="C369" s="680"/>
      <c r="D369" s="680"/>
      <c r="E369" s="680"/>
      <c r="F369" s="680"/>
      <c r="G369" s="680"/>
      <c r="H369" s="680"/>
      <c r="I369" s="680"/>
      <c r="J369" s="680"/>
      <c r="K369" s="680"/>
      <c r="L369" s="680"/>
    </row>
    <row r="370" spans="2:12">
      <c r="B370" s="680"/>
      <c r="C370" s="680"/>
      <c r="D370" s="680"/>
      <c r="E370" s="680"/>
      <c r="F370" s="680"/>
      <c r="G370" s="680"/>
      <c r="H370" s="680"/>
      <c r="I370" s="680"/>
      <c r="J370" s="680"/>
      <c r="K370" s="680"/>
      <c r="L370" s="680"/>
    </row>
    <row r="371" spans="2:12">
      <c r="B371" s="680"/>
      <c r="C371" s="680"/>
      <c r="D371" s="680"/>
      <c r="E371" s="680"/>
      <c r="F371" s="680"/>
      <c r="G371" s="680"/>
      <c r="H371" s="680"/>
      <c r="I371" s="680"/>
      <c r="J371" s="680"/>
      <c r="K371" s="680"/>
      <c r="L371" s="680"/>
    </row>
    <row r="372" spans="2:12">
      <c r="B372" s="680"/>
      <c r="C372" s="680"/>
      <c r="D372" s="680"/>
      <c r="E372" s="680"/>
      <c r="F372" s="680"/>
      <c r="G372" s="680"/>
      <c r="H372" s="680"/>
      <c r="I372" s="680"/>
      <c r="J372" s="680"/>
      <c r="K372" s="680"/>
      <c r="L372" s="680"/>
    </row>
    <row r="373" spans="2:12">
      <c r="B373" s="680"/>
      <c r="C373" s="680"/>
      <c r="D373" s="680"/>
      <c r="E373" s="680"/>
      <c r="F373" s="680"/>
      <c r="G373" s="680"/>
      <c r="H373" s="680"/>
      <c r="I373" s="680"/>
      <c r="J373" s="680"/>
      <c r="K373" s="680"/>
      <c r="L373" s="680"/>
    </row>
    <row r="374" spans="2:12">
      <c r="B374" s="680"/>
      <c r="C374" s="680"/>
      <c r="D374" s="680"/>
      <c r="E374" s="680"/>
      <c r="F374" s="680"/>
      <c r="G374" s="680"/>
      <c r="H374" s="680"/>
      <c r="I374" s="680"/>
      <c r="J374" s="680"/>
      <c r="K374" s="680"/>
      <c r="L374" s="680"/>
    </row>
    <row r="375" spans="2:12">
      <c r="B375" s="680"/>
      <c r="C375" s="680"/>
      <c r="D375" s="680"/>
      <c r="E375" s="680"/>
      <c r="F375" s="680"/>
      <c r="G375" s="680"/>
      <c r="H375" s="680"/>
      <c r="I375" s="680"/>
      <c r="J375" s="680"/>
      <c r="K375" s="680"/>
      <c r="L375" s="680"/>
    </row>
    <row r="376" spans="2:12">
      <c r="B376" s="680"/>
      <c r="C376" s="680"/>
      <c r="D376" s="680"/>
      <c r="E376" s="680"/>
      <c r="F376" s="680"/>
      <c r="G376" s="680"/>
      <c r="H376" s="680"/>
      <c r="I376" s="680"/>
      <c r="J376" s="680"/>
      <c r="K376" s="680"/>
      <c r="L376" s="680"/>
    </row>
    <row r="377" spans="2:12">
      <c r="B377" s="680"/>
      <c r="C377" s="680"/>
      <c r="D377" s="680"/>
      <c r="E377" s="680"/>
      <c r="F377" s="680"/>
      <c r="G377" s="680"/>
      <c r="H377" s="680"/>
      <c r="I377" s="680"/>
      <c r="J377" s="680"/>
      <c r="K377" s="680"/>
      <c r="L377" s="680"/>
    </row>
    <row r="378" spans="2:12">
      <c r="B378" s="146"/>
      <c r="C378" s="146"/>
      <c r="D378" s="146"/>
      <c r="E378" s="146"/>
      <c r="F378" s="146"/>
      <c r="G378" s="146"/>
      <c r="H378" s="146"/>
      <c r="I378" s="146"/>
      <c r="J378" s="146"/>
      <c r="K378" s="146"/>
      <c r="L378" s="146"/>
    </row>
    <row r="379" spans="2:12" ht="48.6" customHeight="1">
      <c r="B379" s="146"/>
      <c r="C379" s="531" t="str">
        <f>IF(AND(B300&lt;&gt;"",'Satellite(s)'!M4=0), "This completes the Consortium Addendum",IF(AND(B300&lt;&gt;"",'Satellite(s)'!M4&gt;0),"This completes the Consortium Addendum. Continue to the Satellite(s) tab to complete the Satellite Addendum.",IF(AND(B300="",'Satellite(s)'!M4&gt;0),"Select the Satellite(s) tab to complete the Satellite Addendum.","")))</f>
        <v/>
      </c>
      <c r="D379" s="531"/>
      <c r="E379" s="531"/>
      <c r="F379" s="531"/>
      <c r="G379" s="531"/>
      <c r="H379" s="531"/>
      <c r="I379" s="531"/>
      <c r="J379" s="158"/>
      <c r="K379" s="146"/>
      <c r="L379" s="146"/>
    </row>
  </sheetData>
  <sheetProtection algorithmName="SHA-512" hashValue="Pth5I7kST8DTK4BCrGqv8dgbFv3WR9JkfSo1/mmFE8Ao79L9CGr+QdXI0C/0XISJETAwEVSgmbc6FeiC6BkFWw==" saltValue="pOTsramldasrLoeaxphtjg==" spinCount="100000" sheet="1" formatRows="0" selectLockedCells="1"/>
  <customSheetViews>
    <customSheetView guid="{C17C9B4A-0866-4AA0-BC6D-B2274E9D30D3}" showGridLines="0">
      <pane ySplit="6" topLeftCell="A22" activePane="bottomLeft" state="frozen"/>
      <selection pane="bottomLeft" activeCell="J24" sqref="J24:L24"/>
      <pageMargins left="0.45" right="0.45" top="0.5" bottom="0.5" header="0.3" footer="0.3"/>
      <pageSetup scale="79" fitToHeight="0" orientation="landscape" r:id="rId1"/>
    </customSheetView>
    <customSheetView guid="{6FDBC1BF-99FD-492F-9A38-B1FC9531BD14}" showGridLines="0">
      <pane ySplit="6" topLeftCell="A22" activePane="bottomLeft" state="frozen"/>
      <selection pane="bottomLeft" activeCell="J24" sqref="J24:L24"/>
      <pageMargins left="0.45" right="0.45" top="0.5" bottom="0.5" header="0.3" footer="0.3"/>
      <pageSetup scale="79" fitToHeight="0" orientation="landscape" r:id="rId2"/>
    </customSheetView>
  </customSheetViews>
  <mergeCells count="586">
    <mergeCell ref="I167:I170"/>
    <mergeCell ref="H167:H170"/>
    <mergeCell ref="C113:F113"/>
    <mergeCell ref="B144:L144"/>
    <mergeCell ref="C161:F161"/>
    <mergeCell ref="B155:F155"/>
    <mergeCell ref="J119:L119"/>
    <mergeCell ref="J120:L120"/>
    <mergeCell ref="C119:F119"/>
    <mergeCell ref="J153:L153"/>
    <mergeCell ref="B152:L152"/>
    <mergeCell ref="B128:L128"/>
    <mergeCell ref="B123:L123"/>
    <mergeCell ref="B125:L125"/>
    <mergeCell ref="J129:L129"/>
    <mergeCell ref="J130:L130"/>
    <mergeCell ref="J146:L148"/>
    <mergeCell ref="J149:L149"/>
    <mergeCell ref="C120:F120"/>
    <mergeCell ref="H118:I118"/>
    <mergeCell ref="C118:F118"/>
    <mergeCell ref="J131:L132"/>
    <mergeCell ref="G142:G143"/>
    <mergeCell ref="G140:G141"/>
    <mergeCell ref="C321:H321"/>
    <mergeCell ref="C322:H322"/>
    <mergeCell ref="C323:H323"/>
    <mergeCell ref="C324:H324"/>
    <mergeCell ref="C325:H325"/>
    <mergeCell ref="C327:H327"/>
    <mergeCell ref="H358:K358"/>
    <mergeCell ref="B360:I360"/>
    <mergeCell ref="B361:I361"/>
    <mergeCell ref="I324:L324"/>
    <mergeCell ref="I325:L325"/>
    <mergeCell ref="I326:L326"/>
    <mergeCell ref="I327:L327"/>
    <mergeCell ref="I328:L328"/>
    <mergeCell ref="I329:L329"/>
    <mergeCell ref="C328:H328"/>
    <mergeCell ref="C329:H329"/>
    <mergeCell ref="I321:L321"/>
    <mergeCell ref="I322:L322"/>
    <mergeCell ref="I323:L323"/>
    <mergeCell ref="B348:I348"/>
    <mergeCell ref="B352:I352"/>
    <mergeCell ref="B354:G354"/>
    <mergeCell ref="H354:K354"/>
    <mergeCell ref="B365:L377"/>
    <mergeCell ref="B356:I356"/>
    <mergeCell ref="B358:G358"/>
    <mergeCell ref="B294:F294"/>
    <mergeCell ref="I318:L318"/>
    <mergeCell ref="B2:L2"/>
    <mergeCell ref="H73:I73"/>
    <mergeCell ref="J73:L73"/>
    <mergeCell ref="J68:L71"/>
    <mergeCell ref="B138:L138"/>
    <mergeCell ref="B84:L84"/>
    <mergeCell ref="J107:L107"/>
    <mergeCell ref="J89:L91"/>
    <mergeCell ref="C111:F111"/>
    <mergeCell ref="J118:L118"/>
    <mergeCell ref="G213:G215"/>
    <mergeCell ref="B230:B231"/>
    <mergeCell ref="G176:G177"/>
    <mergeCell ref="C23:F23"/>
    <mergeCell ref="C318:H318"/>
    <mergeCell ref="B302:F302"/>
    <mergeCell ref="B362:I362"/>
    <mergeCell ref="B364:G364"/>
    <mergeCell ref="C320:H320"/>
    <mergeCell ref="B297:L297"/>
    <mergeCell ref="G267:G268"/>
    <mergeCell ref="J276:L276"/>
    <mergeCell ref="J277:L277"/>
    <mergeCell ref="C276:F276"/>
    <mergeCell ref="C277:F277"/>
    <mergeCell ref="B293:F293"/>
    <mergeCell ref="C326:H326"/>
    <mergeCell ref="B316:L316"/>
    <mergeCell ref="B303:E303"/>
    <mergeCell ref="F303:K303"/>
    <mergeCell ref="B305:E305"/>
    <mergeCell ref="F305:K305"/>
    <mergeCell ref="C317:H317"/>
    <mergeCell ref="I317:L317"/>
    <mergeCell ref="B308:L308"/>
    <mergeCell ref="C310:I310"/>
    <mergeCell ref="C311:I311"/>
    <mergeCell ref="C312:I312"/>
    <mergeCell ref="C309:I309"/>
    <mergeCell ref="C319:H319"/>
    <mergeCell ref="I319:L319"/>
    <mergeCell ref="I320:L320"/>
    <mergeCell ref="B295:F295"/>
    <mergeCell ref="B332:I332"/>
    <mergeCell ref="B336:I336"/>
    <mergeCell ref="B338:I338"/>
    <mergeCell ref="B342:I342"/>
    <mergeCell ref="H346:K346"/>
    <mergeCell ref="B346:G346"/>
    <mergeCell ref="B350:L350"/>
    <mergeCell ref="B334:L334"/>
    <mergeCell ref="B344:L344"/>
    <mergeCell ref="B340:L340"/>
    <mergeCell ref="B291:L291"/>
    <mergeCell ref="C274:F274"/>
    <mergeCell ref="C275:F275"/>
    <mergeCell ref="B292:F292"/>
    <mergeCell ref="B265:B266"/>
    <mergeCell ref="C265:F266"/>
    <mergeCell ref="B284:B287"/>
    <mergeCell ref="G284:G287"/>
    <mergeCell ref="J284:L287"/>
    <mergeCell ref="B267:B268"/>
    <mergeCell ref="J275:L275"/>
    <mergeCell ref="H281:I281"/>
    <mergeCell ref="J281:L281"/>
    <mergeCell ref="H280:I280"/>
    <mergeCell ref="J280:L280"/>
    <mergeCell ref="G265:G266"/>
    <mergeCell ref="H267:H268"/>
    <mergeCell ref="J267:L268"/>
    <mergeCell ref="B290:L290"/>
    <mergeCell ref="I274:I277"/>
    <mergeCell ref="J274:L274"/>
    <mergeCell ref="B278:B282"/>
    <mergeCell ref="C278:F282"/>
    <mergeCell ref="J265:L266"/>
    <mergeCell ref="J53:L54"/>
    <mergeCell ref="B158:L158"/>
    <mergeCell ref="B85:L85"/>
    <mergeCell ref="J86:L88"/>
    <mergeCell ref="H57:I57"/>
    <mergeCell ref="J57:L57"/>
    <mergeCell ref="B53:B57"/>
    <mergeCell ref="C53:F57"/>
    <mergeCell ref="C106:F106"/>
    <mergeCell ref="C116:F116"/>
    <mergeCell ref="J111:L111"/>
    <mergeCell ref="C107:F107"/>
    <mergeCell ref="C112:F112"/>
    <mergeCell ref="J116:L116"/>
    <mergeCell ref="J112:L112"/>
    <mergeCell ref="J113:L113"/>
    <mergeCell ref="C114:F114"/>
    <mergeCell ref="J55:L55"/>
    <mergeCell ref="H56:I56"/>
    <mergeCell ref="J105:L105"/>
    <mergeCell ref="J106:L106"/>
    <mergeCell ref="H89:H91"/>
    <mergeCell ref="I89:I91"/>
    <mergeCell ref="B117:L117"/>
    <mergeCell ref="C59:F63"/>
    <mergeCell ref="B59:B63"/>
    <mergeCell ref="H75:I75"/>
    <mergeCell ref="J65:L66"/>
    <mergeCell ref="H61:I61"/>
    <mergeCell ref="G65:G66"/>
    <mergeCell ref="J72:L72"/>
    <mergeCell ref="G77:G83"/>
    <mergeCell ref="J77:L83"/>
    <mergeCell ref="B67:L67"/>
    <mergeCell ref="B76:L76"/>
    <mergeCell ref="J75:L75"/>
    <mergeCell ref="C72:F75"/>
    <mergeCell ref="C68:F71"/>
    <mergeCell ref="B68:B71"/>
    <mergeCell ref="J63:L63"/>
    <mergeCell ref="J74:L74"/>
    <mergeCell ref="B65:B66"/>
    <mergeCell ref="J59:L60"/>
    <mergeCell ref="C58:F58"/>
    <mergeCell ref="J58:L58"/>
    <mergeCell ref="G59:G60"/>
    <mergeCell ref="C99:F101"/>
    <mergeCell ref="B99:B101"/>
    <mergeCell ref="H74:I74"/>
    <mergeCell ref="J114:L114"/>
    <mergeCell ref="C115:F115"/>
    <mergeCell ref="J115:L115"/>
    <mergeCell ref="C110:F110"/>
    <mergeCell ref="B108:L108"/>
    <mergeCell ref="G86:G88"/>
    <mergeCell ref="J92:L92"/>
    <mergeCell ref="C86:F88"/>
    <mergeCell ref="B86:B88"/>
    <mergeCell ref="B89:B91"/>
    <mergeCell ref="B109:L109"/>
    <mergeCell ref="J110:L110"/>
    <mergeCell ref="H103:I104"/>
    <mergeCell ref="C103:F103"/>
    <mergeCell ref="C93:F95"/>
    <mergeCell ref="G93:G95"/>
    <mergeCell ref="C92:F92"/>
    <mergeCell ref="J96:L96"/>
    <mergeCell ref="C32:F33"/>
    <mergeCell ref="G32:G33"/>
    <mergeCell ref="C50:F50"/>
    <mergeCell ref="B32:B33"/>
    <mergeCell ref="J32:L33"/>
    <mergeCell ref="C51:F51"/>
    <mergeCell ref="J50:L50"/>
    <mergeCell ref="J51:L51"/>
    <mergeCell ref="H47:I47"/>
    <mergeCell ref="C45:F45"/>
    <mergeCell ref="B41:B42"/>
    <mergeCell ref="G41:G42"/>
    <mergeCell ref="J41:L42"/>
    <mergeCell ref="J39:L39"/>
    <mergeCell ref="H48:I48"/>
    <mergeCell ref="J48:L48"/>
    <mergeCell ref="H49:I49"/>
    <mergeCell ref="J49:L49"/>
    <mergeCell ref="B46:B49"/>
    <mergeCell ref="C46:F49"/>
    <mergeCell ref="J40:L40"/>
    <mergeCell ref="J47:L47"/>
    <mergeCell ref="J46:L46"/>
    <mergeCell ref="J45:L45"/>
    <mergeCell ref="B35:L35"/>
    <mergeCell ref="B77:B83"/>
    <mergeCell ref="J43:L43"/>
    <mergeCell ref="B37:L37"/>
    <mergeCell ref="C44:F44"/>
    <mergeCell ref="J44:L44"/>
    <mergeCell ref="C64:F64"/>
    <mergeCell ref="C52:F52"/>
    <mergeCell ref="C43:F43"/>
    <mergeCell ref="B36:L36"/>
    <mergeCell ref="B38:L38"/>
    <mergeCell ref="J56:L56"/>
    <mergeCell ref="H63:I63"/>
    <mergeCell ref="C77:F83"/>
    <mergeCell ref="H77:I77"/>
    <mergeCell ref="C39:F39"/>
    <mergeCell ref="G53:G54"/>
    <mergeCell ref="C41:F42"/>
    <mergeCell ref="B72:B75"/>
    <mergeCell ref="J61:L61"/>
    <mergeCell ref="J52:L52"/>
    <mergeCell ref="H55:I55"/>
    <mergeCell ref="H62:I62"/>
    <mergeCell ref="J62:L62"/>
    <mergeCell ref="J15:L15"/>
    <mergeCell ref="B30:L30"/>
    <mergeCell ref="C19:F19"/>
    <mergeCell ref="C31:F31"/>
    <mergeCell ref="J31:L31"/>
    <mergeCell ref="B24:B29"/>
    <mergeCell ref="J17:L17"/>
    <mergeCell ref="B16:L16"/>
    <mergeCell ref="C27:F27"/>
    <mergeCell ref="C25:F25"/>
    <mergeCell ref="C29:F29"/>
    <mergeCell ref="C28:F28"/>
    <mergeCell ref="B20:L20"/>
    <mergeCell ref="J19:L19"/>
    <mergeCell ref="C18:F18"/>
    <mergeCell ref="J18:L18"/>
    <mergeCell ref="C24:F24"/>
    <mergeCell ref="G24:G29"/>
    <mergeCell ref="J24:L29"/>
    <mergeCell ref="C15:F15"/>
    <mergeCell ref="E5:F5"/>
    <mergeCell ref="G5:H5"/>
    <mergeCell ref="B8:L8"/>
    <mergeCell ref="B9:L9"/>
    <mergeCell ref="C14:F14"/>
    <mergeCell ref="C10:F10"/>
    <mergeCell ref="J10:L10"/>
    <mergeCell ref="J6:L6"/>
    <mergeCell ref="B13:B14"/>
    <mergeCell ref="C13:F13"/>
    <mergeCell ref="J13:L14"/>
    <mergeCell ref="G13:G14"/>
    <mergeCell ref="B11:B12"/>
    <mergeCell ref="C11:F12"/>
    <mergeCell ref="I11:I12"/>
    <mergeCell ref="H11:H12"/>
    <mergeCell ref="J11:L12"/>
    <mergeCell ref="G11:G12"/>
    <mergeCell ref="H150:I150"/>
    <mergeCell ref="J140:L141"/>
    <mergeCell ref="B166:L166"/>
    <mergeCell ref="F3:K3"/>
    <mergeCell ref="C26:F26"/>
    <mergeCell ref="C34:F34"/>
    <mergeCell ref="J34:L34"/>
    <mergeCell ref="C40:F40"/>
    <mergeCell ref="J23:L23"/>
    <mergeCell ref="C89:F91"/>
    <mergeCell ref="G68:G71"/>
    <mergeCell ref="C6:F6"/>
    <mergeCell ref="H6:I6"/>
    <mergeCell ref="J64:L64"/>
    <mergeCell ref="C65:F66"/>
    <mergeCell ref="B4:L4"/>
    <mergeCell ref="B7:L7"/>
    <mergeCell ref="B22:L22"/>
    <mergeCell ref="B21:L21"/>
    <mergeCell ref="C17:F17"/>
    <mergeCell ref="K5:L5"/>
    <mergeCell ref="B124:F124"/>
    <mergeCell ref="B126:B127"/>
    <mergeCell ref="C5:D5"/>
    <mergeCell ref="C139:F139"/>
    <mergeCell ref="H184:I184"/>
    <mergeCell ref="J184:L184"/>
    <mergeCell ref="I172:I174"/>
    <mergeCell ref="J172:L172"/>
    <mergeCell ref="C173:F173"/>
    <mergeCell ref="H183:I183"/>
    <mergeCell ref="J159:L159"/>
    <mergeCell ref="C160:F160"/>
    <mergeCell ref="J160:L160"/>
    <mergeCell ref="J161:L161"/>
    <mergeCell ref="C163:F163"/>
    <mergeCell ref="G181:G182"/>
    <mergeCell ref="B175:L175"/>
    <mergeCell ref="C176:F180"/>
    <mergeCell ref="B176:B180"/>
    <mergeCell ref="C172:F172"/>
    <mergeCell ref="C174:F174"/>
    <mergeCell ref="J174:L174"/>
    <mergeCell ref="C157:F157"/>
    <mergeCell ref="C167:F167"/>
    <mergeCell ref="J173:L173"/>
    <mergeCell ref="H172:H174"/>
    <mergeCell ref="J142:L143"/>
    <mergeCell ref="J181:L182"/>
    <mergeCell ref="C247:F247"/>
    <mergeCell ref="C240:F240"/>
    <mergeCell ref="J178:L178"/>
    <mergeCell ref="H180:I180"/>
    <mergeCell ref="J180:L180"/>
    <mergeCell ref="J260:L260"/>
    <mergeCell ref="I251:I256"/>
    <mergeCell ref="J253:L253"/>
    <mergeCell ref="J238:L238"/>
    <mergeCell ref="H238:I238"/>
    <mergeCell ref="H189:I189"/>
    <mergeCell ref="B210:L210"/>
    <mergeCell ref="C208:F208"/>
    <mergeCell ref="J208:L208"/>
    <mergeCell ref="H195:I195"/>
    <mergeCell ref="J203:L203"/>
    <mergeCell ref="C197:F198"/>
    <mergeCell ref="J227:L228"/>
    <mergeCell ref="G219:G221"/>
    <mergeCell ref="H216:I216"/>
    <mergeCell ref="C229:F229"/>
    <mergeCell ref="G230:G231"/>
    <mergeCell ref="I192:I193"/>
    <mergeCell ref="G192:G193"/>
    <mergeCell ref="J192:L193"/>
    <mergeCell ref="J249:L249"/>
    <mergeCell ref="J240:L240"/>
    <mergeCell ref="J248:L248"/>
    <mergeCell ref="C239:F239"/>
    <mergeCell ref="J250:L250"/>
    <mergeCell ref="C253:F253"/>
    <mergeCell ref="J183:L183"/>
    <mergeCell ref="H192:H193"/>
    <mergeCell ref="B209:L209"/>
    <mergeCell ref="C238:F238"/>
    <mergeCell ref="J224:L224"/>
    <mergeCell ref="G227:G228"/>
    <mergeCell ref="H227:I227"/>
    <mergeCell ref="J241:L241"/>
    <mergeCell ref="J247:L247"/>
    <mergeCell ref="B232:L232"/>
    <mergeCell ref="B225:L225"/>
    <mergeCell ref="B233:B234"/>
    <mergeCell ref="C233:F234"/>
    <mergeCell ref="G233:G234"/>
    <mergeCell ref="H233:I233"/>
    <mergeCell ref="B236:L236"/>
    <mergeCell ref="C379:I379"/>
    <mergeCell ref="C289:F289"/>
    <mergeCell ref="B288:L288"/>
    <mergeCell ref="J289:L289"/>
    <mergeCell ref="B283:L283"/>
    <mergeCell ref="G278:G279"/>
    <mergeCell ref="J278:L279"/>
    <mergeCell ref="C284:F287"/>
    <mergeCell ref="J257:L257"/>
    <mergeCell ref="H257:I257"/>
    <mergeCell ref="C267:F268"/>
    <mergeCell ref="B300:L300"/>
    <mergeCell ref="B269:L269"/>
    <mergeCell ref="J270:L271"/>
    <mergeCell ref="J272:L272"/>
    <mergeCell ref="B273:L273"/>
    <mergeCell ref="B270:B271"/>
    <mergeCell ref="C270:F271"/>
    <mergeCell ref="G270:G271"/>
    <mergeCell ref="C272:F272"/>
    <mergeCell ref="H282:I282"/>
    <mergeCell ref="J282:L282"/>
    <mergeCell ref="I267:I268"/>
    <mergeCell ref="C260:F260"/>
    <mergeCell ref="J262:L264"/>
    <mergeCell ref="J254:L255"/>
    <mergeCell ref="G254:G255"/>
    <mergeCell ref="C251:F251"/>
    <mergeCell ref="J246:L246"/>
    <mergeCell ref="B261:L261"/>
    <mergeCell ref="C254:F255"/>
    <mergeCell ref="G262:G264"/>
    <mergeCell ref="B254:B255"/>
    <mergeCell ref="C262:F264"/>
    <mergeCell ref="H259:I259"/>
    <mergeCell ref="B262:B264"/>
    <mergeCell ref="C248:F248"/>
    <mergeCell ref="C250:F250"/>
    <mergeCell ref="C246:F246"/>
    <mergeCell ref="C249:F249"/>
    <mergeCell ref="J252:L252"/>
    <mergeCell ref="C252:F252"/>
    <mergeCell ref="J256:L256"/>
    <mergeCell ref="J251:L251"/>
    <mergeCell ref="J258:L258"/>
    <mergeCell ref="J259:L259"/>
    <mergeCell ref="H258:I258"/>
    <mergeCell ref="I239:I250"/>
    <mergeCell ref="C245:F245"/>
    <mergeCell ref="J239:L239"/>
    <mergeCell ref="B237:L237"/>
    <mergeCell ref="C241:F241"/>
    <mergeCell ref="J242:L242"/>
    <mergeCell ref="J244:L244"/>
    <mergeCell ref="J245:L245"/>
    <mergeCell ref="J233:L234"/>
    <mergeCell ref="C243:F243"/>
    <mergeCell ref="J243:L243"/>
    <mergeCell ref="C242:F242"/>
    <mergeCell ref="C244:F244"/>
    <mergeCell ref="J230:L231"/>
    <mergeCell ref="B227:B228"/>
    <mergeCell ref="J229:L229"/>
    <mergeCell ref="B222:L222"/>
    <mergeCell ref="B226:L226"/>
    <mergeCell ref="C224:F224"/>
    <mergeCell ref="C223:F223"/>
    <mergeCell ref="J219:L221"/>
    <mergeCell ref="J223:L223"/>
    <mergeCell ref="C227:F228"/>
    <mergeCell ref="B212:L212"/>
    <mergeCell ref="H217:I217"/>
    <mergeCell ref="J217:L217"/>
    <mergeCell ref="J216:L216"/>
    <mergeCell ref="J176:L177"/>
    <mergeCell ref="B186:B191"/>
    <mergeCell ref="C186:F191"/>
    <mergeCell ref="H185:I185"/>
    <mergeCell ref="J185:L185"/>
    <mergeCell ref="H204:I204"/>
    <mergeCell ref="J204:L204"/>
    <mergeCell ref="H205:I205"/>
    <mergeCell ref="J205:L205"/>
    <mergeCell ref="J189:L189"/>
    <mergeCell ref="H179:I179"/>
    <mergeCell ref="J179:L179"/>
    <mergeCell ref="H194:I194"/>
    <mergeCell ref="J194:L194"/>
    <mergeCell ref="H203:I203"/>
    <mergeCell ref="J200:L202"/>
    <mergeCell ref="H178:I178"/>
    <mergeCell ref="H190:I190"/>
    <mergeCell ref="J190:L190"/>
    <mergeCell ref="C181:F185"/>
    <mergeCell ref="G89:G91"/>
    <mergeCell ref="J93:L95"/>
    <mergeCell ref="H96:I96"/>
    <mergeCell ref="H99:I99"/>
    <mergeCell ref="J99:L99"/>
    <mergeCell ref="J206:L206"/>
    <mergeCell ref="G186:G188"/>
    <mergeCell ref="J213:L215"/>
    <mergeCell ref="B211:L211"/>
    <mergeCell ref="B199:L199"/>
    <mergeCell ref="C206:F206"/>
    <mergeCell ref="C207:F207"/>
    <mergeCell ref="J207:L207"/>
    <mergeCell ref="G197:G198"/>
    <mergeCell ref="J197:L198"/>
    <mergeCell ref="J195:L195"/>
    <mergeCell ref="H196:I196"/>
    <mergeCell ref="J196:L196"/>
    <mergeCell ref="H191:I191"/>
    <mergeCell ref="J191:L191"/>
    <mergeCell ref="J186:L188"/>
    <mergeCell ref="B197:B198"/>
    <mergeCell ref="G200:G202"/>
    <mergeCell ref="B181:B185"/>
    <mergeCell ref="C105:F105"/>
    <mergeCell ref="B93:B95"/>
    <mergeCell ref="J104:L104"/>
    <mergeCell ref="C104:F104"/>
    <mergeCell ref="B102:L102"/>
    <mergeCell ref="J103:L103"/>
    <mergeCell ref="B96:B98"/>
    <mergeCell ref="H97:I97"/>
    <mergeCell ref="J97:L97"/>
    <mergeCell ref="H100:I100"/>
    <mergeCell ref="J100:L100"/>
    <mergeCell ref="H105:I106"/>
    <mergeCell ref="H98:I98"/>
    <mergeCell ref="J98:L98"/>
    <mergeCell ref="H101:I101"/>
    <mergeCell ref="J101:L101"/>
    <mergeCell ref="C96:F98"/>
    <mergeCell ref="J170:L170"/>
    <mergeCell ref="B171:L171"/>
    <mergeCell ref="B131:B132"/>
    <mergeCell ref="C131:F132"/>
    <mergeCell ref="G131:G132"/>
    <mergeCell ref="C159:F159"/>
    <mergeCell ref="B154:L154"/>
    <mergeCell ref="I159:I163"/>
    <mergeCell ref="H159:H163"/>
    <mergeCell ref="C153:F153"/>
    <mergeCell ref="B145:L145"/>
    <mergeCell ref="J163:L163"/>
    <mergeCell ref="H134:I134"/>
    <mergeCell ref="B140:B141"/>
    <mergeCell ref="B133:L133"/>
    <mergeCell ref="B135:L135"/>
    <mergeCell ref="B134:F134"/>
    <mergeCell ref="J136:L137"/>
    <mergeCell ref="J167:L167"/>
    <mergeCell ref="C162:F162"/>
    <mergeCell ref="J162:L162"/>
    <mergeCell ref="C146:F151"/>
    <mergeCell ref="C142:F143"/>
    <mergeCell ref="B142:B143"/>
    <mergeCell ref="C121:F121"/>
    <mergeCell ref="C122:F122"/>
    <mergeCell ref="J122:L122"/>
    <mergeCell ref="J121:L121"/>
    <mergeCell ref="G126:G127"/>
    <mergeCell ref="H124:I124"/>
    <mergeCell ref="B146:B151"/>
    <mergeCell ref="J150:L150"/>
    <mergeCell ref="B165:F165"/>
    <mergeCell ref="H151:I151"/>
    <mergeCell ref="J151:L151"/>
    <mergeCell ref="J157:L157"/>
    <mergeCell ref="B156:L156"/>
    <mergeCell ref="H149:I149"/>
    <mergeCell ref="G146:G148"/>
    <mergeCell ref="J139:L139"/>
    <mergeCell ref="C129:F129"/>
    <mergeCell ref="C130:F130"/>
    <mergeCell ref="C126:F127"/>
    <mergeCell ref="B136:B137"/>
    <mergeCell ref="C136:F137"/>
    <mergeCell ref="G136:G137"/>
    <mergeCell ref="C140:F141"/>
    <mergeCell ref="J126:L127"/>
    <mergeCell ref="B164:L164"/>
    <mergeCell ref="B235:L235"/>
    <mergeCell ref="B192:B196"/>
    <mergeCell ref="C192:F196"/>
    <mergeCell ref="B200:B205"/>
    <mergeCell ref="C200:F205"/>
    <mergeCell ref="B256:B259"/>
    <mergeCell ref="C256:F259"/>
    <mergeCell ref="H254:H255"/>
    <mergeCell ref="B213:B218"/>
    <mergeCell ref="C213:F218"/>
    <mergeCell ref="H165:I165"/>
    <mergeCell ref="C168:F168"/>
    <mergeCell ref="J168:L168"/>
    <mergeCell ref="H218:I218"/>
    <mergeCell ref="J218:L218"/>
    <mergeCell ref="C219:F221"/>
    <mergeCell ref="H230:H231"/>
    <mergeCell ref="I230:I231"/>
    <mergeCell ref="C230:F231"/>
    <mergeCell ref="B219:B221"/>
    <mergeCell ref="C169:F169"/>
    <mergeCell ref="J169:L169"/>
    <mergeCell ref="C170:F170"/>
  </mergeCells>
  <conditionalFormatting sqref="B2 B3:L3">
    <cfRule type="expression" dxfId="1130" priority="2750">
      <formula>$B$2="PRELIMINARY SITE VISIT REPORT FINDINGS"</formula>
    </cfRule>
  </conditionalFormatting>
  <conditionalFormatting sqref="B7 B20 B209">
    <cfRule type="expression" dxfId="1129" priority="2761">
      <formula>$B7="AEMT"</formula>
    </cfRule>
    <cfRule type="expression" dxfId="1128" priority="2760">
      <formula>$B7="Paramedic"</formula>
    </cfRule>
  </conditionalFormatting>
  <conditionalFormatting sqref="B13:B15">
    <cfRule type="expression" dxfId="1127" priority="2297">
      <formula>B13="N/A"</formula>
    </cfRule>
  </conditionalFormatting>
  <conditionalFormatting sqref="B35">
    <cfRule type="expression" dxfId="1126" priority="175">
      <formula>$B35="AEMT"</formula>
    </cfRule>
    <cfRule type="expression" dxfId="1125" priority="174">
      <formula>$B35="Paramedic"</formula>
    </cfRule>
  </conditionalFormatting>
  <conditionalFormatting sqref="B126:B127 B136 B157">
    <cfRule type="expression" dxfId="1124" priority="2072">
      <formula>G124="N/A"</formula>
    </cfRule>
  </conditionalFormatting>
  <conditionalFormatting sqref="B129 B139 B160">
    <cfRule type="expression" dxfId="1123" priority="2062">
      <formula>G124="N/A"</formula>
    </cfRule>
  </conditionalFormatting>
  <conditionalFormatting sqref="B130 B140 B161">
    <cfRule type="expression" dxfId="1122" priority="2057">
      <formula>G124="N/A"</formula>
    </cfRule>
  </conditionalFormatting>
  <conditionalFormatting sqref="B131 B162">
    <cfRule type="expression" dxfId="1121" priority="2051">
      <formula>G124="N/A"</formula>
    </cfRule>
  </conditionalFormatting>
  <conditionalFormatting sqref="B142">
    <cfRule type="expression" dxfId="1120" priority="2045">
      <formula>G134="N/A"</formula>
    </cfRule>
  </conditionalFormatting>
  <conditionalFormatting sqref="B159">
    <cfRule type="expression" dxfId="1119" priority="2028">
      <formula>G155="N/A"</formula>
    </cfRule>
  </conditionalFormatting>
  <conditionalFormatting sqref="B163">
    <cfRule type="expression" dxfId="1118" priority="1972">
      <formula>G155="N/A"</formula>
    </cfRule>
  </conditionalFormatting>
  <conditionalFormatting sqref="B167">
    <cfRule type="expression" dxfId="1117" priority="113">
      <formula>G165="N/A"</formula>
    </cfRule>
  </conditionalFormatting>
  <conditionalFormatting sqref="B168">
    <cfRule type="expression" dxfId="1116" priority="78">
      <formula>G160="N/A"</formula>
    </cfRule>
  </conditionalFormatting>
  <conditionalFormatting sqref="B169">
    <cfRule type="expression" dxfId="1115" priority="74">
      <formula>G160="N/A"</formula>
    </cfRule>
  </conditionalFormatting>
  <conditionalFormatting sqref="B170">
    <cfRule type="expression" dxfId="1114" priority="70">
      <formula>G160="N/A"</formula>
    </cfRule>
  </conditionalFormatting>
  <conditionalFormatting sqref="B172">
    <cfRule type="expression" dxfId="1113" priority="104">
      <formula>G165="N/A"</formula>
    </cfRule>
  </conditionalFormatting>
  <conditionalFormatting sqref="B173">
    <cfRule type="expression" dxfId="1112" priority="100">
      <formula>G165="N/A"</formula>
    </cfRule>
  </conditionalFormatting>
  <conditionalFormatting sqref="B174">
    <cfRule type="expression" dxfId="1111" priority="96">
      <formula>G165="N/A"</formula>
    </cfRule>
  </conditionalFormatting>
  <conditionalFormatting sqref="B235">
    <cfRule type="expression" dxfId="1110" priority="38">
      <formula>$B235="AEMT"</formula>
    </cfRule>
    <cfRule type="expression" dxfId="1109" priority="37">
      <formula>$B235="Paramedic"</formula>
    </cfRule>
  </conditionalFormatting>
  <conditionalFormatting sqref="B290">
    <cfRule type="expression" dxfId="1108" priority="30">
      <formula>$B290="Paramedic"</formula>
    </cfRule>
    <cfRule type="expression" dxfId="1107" priority="31">
      <formula>$B290="AEMT"</formula>
    </cfRule>
  </conditionalFormatting>
  <conditionalFormatting sqref="B297">
    <cfRule type="expression" dxfId="1106" priority="1676">
      <formula>(OR(G292&lt;&gt;"N/A", G293&lt;&gt;"N/A", G294&lt;&gt;"N/A"))</formula>
    </cfRule>
    <cfRule type="expression" dxfId="1105" priority="1715">
      <formula>G294="N/A"</formula>
    </cfRule>
  </conditionalFormatting>
  <conditionalFormatting sqref="B317">
    <cfRule type="expression" dxfId="1104" priority="1898">
      <formula>$B$300&lt;&gt;""</formula>
    </cfRule>
  </conditionalFormatting>
  <conditionalFormatting sqref="B295:F295">
    <cfRule type="expression" dxfId="1103" priority="1679">
      <formula>$G$294="Yes"</formula>
    </cfRule>
  </conditionalFormatting>
  <conditionalFormatting sqref="B4:L4 B6:L6">
    <cfRule type="expression" dxfId="1102" priority="2753">
      <formula>$B$2="PRELIMINARY SITE VISIT REPORT FINDINGS"</formula>
    </cfRule>
  </conditionalFormatting>
  <conditionalFormatting sqref="B5:L5">
    <cfRule type="expression" dxfId="1101" priority="2754">
      <formula>$B$2="PRELIMINARY SITE VISIT REPORT FINDINGS"</formula>
    </cfRule>
  </conditionalFormatting>
  <conditionalFormatting sqref="B7:L7 B20:L20 B35:L35 B209:L209">
    <cfRule type="expression" dxfId="1100" priority="173">
      <formula>$B$7="Select Program Level on the Cover Page tab"</formula>
    </cfRule>
  </conditionalFormatting>
  <conditionalFormatting sqref="B8:L8 B21:L21 B36:L36 B210:L210 B236:L236">
    <cfRule type="expression" dxfId="1099" priority="2757">
      <formula>$B$2="PRELIMINARY SITE VISIT REPORT FINDINGS"</formula>
    </cfRule>
  </conditionalFormatting>
  <conditionalFormatting sqref="B125:L125 B128:L128 B135:L135 B138:L138 B156:L156 B158:L158 B9:L9 B16:L16 B22:L22 B30:L30 B37:L38 B67:L67 B76:L76 B84:L85 B102:L102 B108:L109 B117:L117 B123:L123 B124:F124 B133:L133 B144:L145 B152:L152 B154:L154 B175:L175 B199:L199 B211:L212 B222:L222 B225:L226 B232:L232 B237:L237 B261:L261 B269:L269 B273:L273 B283:L283 B288:L288">
    <cfRule type="expression" dxfId="1098" priority="2756">
      <formula>$B$2="PRELIMINARY SITE VISIT REPORT FINDINGS"</formula>
    </cfRule>
  </conditionalFormatting>
  <conditionalFormatting sqref="B125:L125">
    <cfRule type="expression" dxfId="1097" priority="9">
      <formula>$G$124="N/A"</formula>
    </cfRule>
  </conditionalFormatting>
  <conditionalFormatting sqref="B125:L132">
    <cfRule type="expression" dxfId="1096" priority="23">
      <formula>$G$124="N/A"</formula>
    </cfRule>
  </conditionalFormatting>
  <conditionalFormatting sqref="B135:L143">
    <cfRule type="expression" dxfId="1095" priority="22">
      <formula>$G$134="N/A"</formula>
    </cfRule>
  </conditionalFormatting>
  <conditionalFormatting sqref="B136:L143">
    <cfRule type="expression" dxfId="1094" priority="21">
      <formula>$G$134="Yes"</formula>
    </cfRule>
  </conditionalFormatting>
  <conditionalFormatting sqref="B156:L156">
    <cfRule type="expression" dxfId="1093" priority="8">
      <formula>$G$155="N/A"</formula>
    </cfRule>
  </conditionalFormatting>
  <conditionalFormatting sqref="B156:L163">
    <cfRule type="expression" dxfId="1092" priority="20">
      <formula>$G$155="N/A"</formula>
    </cfRule>
  </conditionalFormatting>
  <conditionalFormatting sqref="B166:L166">
    <cfRule type="expression" dxfId="1091" priority="7">
      <formula>$G$165="N/A"</formula>
    </cfRule>
  </conditionalFormatting>
  <conditionalFormatting sqref="B166:L174">
    <cfRule type="expression" dxfId="1090" priority="15">
      <formula>$G$165="Yes"</formula>
    </cfRule>
  </conditionalFormatting>
  <conditionalFormatting sqref="B171:L171 B164:L164 B166:L166">
    <cfRule type="expression" dxfId="1089" priority="122">
      <formula>$B$2="PRELIMINARY SITE VISIT REPORT FINDINGS"</formula>
    </cfRule>
  </conditionalFormatting>
  <conditionalFormatting sqref="B171:L174">
    <cfRule type="expression" dxfId="1088" priority="5">
      <formula>$G$165="No"</formula>
    </cfRule>
    <cfRule type="expression" dxfId="1087" priority="4">
      <formula>$G$165=""</formula>
    </cfRule>
  </conditionalFormatting>
  <conditionalFormatting sqref="B235:L235">
    <cfRule type="expression" dxfId="1086" priority="32">
      <formula>$B$7="Select Program Level on the Cover Page tab"</formula>
    </cfRule>
  </conditionalFormatting>
  <conditionalFormatting sqref="B290:L290">
    <cfRule type="expression" dxfId="1085" priority="25">
      <formula>$B$7="Select Program Level on the Cover Page tab"</formula>
    </cfRule>
  </conditionalFormatting>
  <conditionalFormatting sqref="B300:L300">
    <cfRule type="expression" dxfId="1084" priority="1910">
      <formula>$B$300&lt;&gt;""</formula>
    </cfRule>
  </conditionalFormatting>
  <conditionalFormatting sqref="B308:L308">
    <cfRule type="expression" dxfId="1083" priority="1904">
      <formula>$B$300&lt;&gt;""</formula>
    </cfRule>
  </conditionalFormatting>
  <conditionalFormatting sqref="B316:L316">
    <cfRule type="expression" dxfId="1082" priority="1899">
      <formula>$B$300&lt;&gt;""</formula>
    </cfRule>
  </conditionalFormatting>
  <conditionalFormatting sqref="B334:L334">
    <cfRule type="expression" dxfId="1081" priority="1851">
      <formula>$J$332="No"</formula>
    </cfRule>
  </conditionalFormatting>
  <conditionalFormatting sqref="B340:L340">
    <cfRule type="expression" dxfId="1080" priority="1853">
      <formula>$J$338="No"</formula>
    </cfRule>
  </conditionalFormatting>
  <conditionalFormatting sqref="B344:L344">
    <cfRule type="expression" dxfId="1079" priority="1854">
      <formula>$J$342="No"</formula>
    </cfRule>
  </conditionalFormatting>
  <conditionalFormatting sqref="B350:L350">
    <cfRule type="expression" dxfId="1078" priority="1855">
      <formula>$J$348="No"</formula>
    </cfRule>
  </conditionalFormatting>
  <conditionalFormatting sqref="B365:L377">
    <cfRule type="expression" dxfId="1077" priority="125">
      <formula>$B$300&lt;&gt;""</formula>
    </cfRule>
  </conditionalFormatting>
  <conditionalFormatting sqref="C126:C127 F126:F127 D127:E127 C136 C157:F157 C167 F167">
    <cfRule type="expression" dxfId="1076" priority="2071">
      <formula>G124="N/A"</formula>
    </cfRule>
  </conditionalFormatting>
  <conditionalFormatting sqref="C129 F129 C139 F139 C160:F160">
    <cfRule type="expression" dxfId="1075" priority="2061">
      <formula>G124="N/A"</formula>
    </cfRule>
  </conditionalFormatting>
  <conditionalFormatting sqref="C130 F130 C140 F140 C161:F161">
    <cfRule type="expression" dxfId="1074" priority="2056">
      <formula>G124="N/A"</formula>
    </cfRule>
  </conditionalFormatting>
  <conditionalFormatting sqref="C131 F131 C162:F162 C172 F172">
    <cfRule type="expression" dxfId="1073" priority="2050">
      <formula>G124="N/A"</formula>
    </cfRule>
  </conditionalFormatting>
  <conditionalFormatting sqref="C142 F142 C173 F173">
    <cfRule type="expression" dxfId="1072" priority="2044">
      <formula>G134="N/A"</formula>
    </cfRule>
  </conditionalFormatting>
  <conditionalFormatting sqref="C379">
    <cfRule type="expression" dxfId="1071" priority="1852">
      <formula>$C$379&lt;&gt;""</formula>
    </cfRule>
  </conditionalFormatting>
  <conditionalFormatting sqref="C13:F14 C15">
    <cfRule type="expression" dxfId="1070" priority="2295">
      <formula>B13="N/A"</formula>
    </cfRule>
  </conditionalFormatting>
  <conditionalFormatting sqref="C14:F14">
    <cfRule type="expression" dxfId="1069" priority="3787">
      <formula>LEFT($C11, 4)="I.B."</formula>
    </cfRule>
    <cfRule type="expression" dxfId="1068" priority="3786">
      <formula>B13="N/A"</formula>
    </cfRule>
  </conditionalFormatting>
  <conditionalFormatting sqref="C159:F159">
    <cfRule type="expression" dxfId="1067" priority="2027">
      <formula>G155="N/A"</formula>
    </cfRule>
  </conditionalFormatting>
  <conditionalFormatting sqref="C163:F163">
    <cfRule type="expression" dxfId="1066" priority="1971">
      <formula>G155="N/A"</formula>
    </cfRule>
  </conditionalFormatting>
  <conditionalFormatting sqref="C168:F168">
    <cfRule type="expression" dxfId="1065" priority="77">
      <formula>G160="N/A"</formula>
    </cfRule>
  </conditionalFormatting>
  <conditionalFormatting sqref="C169:F169">
    <cfRule type="expression" dxfId="1064" priority="73">
      <formula>G160="No"</formula>
    </cfRule>
  </conditionalFormatting>
  <conditionalFormatting sqref="C170:F170">
    <cfRule type="expression" dxfId="1063" priority="69">
      <formula>G160="N/A"</formula>
    </cfRule>
  </conditionalFormatting>
  <conditionalFormatting sqref="C317:H317">
    <cfRule type="expression" dxfId="1062" priority="1897">
      <formula>$B$300&lt;&gt;""</formula>
    </cfRule>
  </conditionalFormatting>
  <conditionalFormatting sqref="C310:I312 K310:K312 C318:H318">
    <cfRule type="expression" dxfId="1061" priority="1894">
      <formula>$B$300&lt;&gt;""</formula>
    </cfRule>
  </conditionalFormatting>
  <conditionalFormatting sqref="E129 E139">
    <cfRule type="expression" dxfId="1060" priority="3792">
      <formula>H124="N/A"</formula>
    </cfRule>
  </conditionalFormatting>
  <conditionalFormatting sqref="E130 E140">
    <cfRule type="expression" dxfId="1059" priority="3795">
      <formula>H124="N/A"</formula>
    </cfRule>
  </conditionalFormatting>
  <conditionalFormatting sqref="E131 E172">
    <cfRule type="expression" dxfId="1058" priority="3798">
      <formula>H124="N/A"</formula>
    </cfRule>
  </conditionalFormatting>
  <conditionalFormatting sqref="E142 E173">
    <cfRule type="expression" dxfId="1057" priority="3806">
      <formula>H134="N/A"</formula>
    </cfRule>
  </conditionalFormatting>
  <conditionalFormatting sqref="E167">
    <cfRule type="expression" dxfId="1056" priority="3808">
      <formula>H165="N/A"</formula>
    </cfRule>
  </conditionalFormatting>
  <conditionalFormatting sqref="E174">
    <cfRule type="expression" dxfId="1055" priority="3817">
      <formula>H165="N/A"</formula>
    </cfRule>
  </conditionalFormatting>
  <conditionalFormatting sqref="F303:K303">
    <cfRule type="expression" dxfId="1054" priority="138">
      <formula>$B$300&lt;&gt;""</formula>
    </cfRule>
  </conditionalFormatting>
  <conditionalFormatting sqref="F305:K305">
    <cfRule type="expression" dxfId="1053" priority="1907">
      <formula>$G$302="No"</formula>
    </cfRule>
  </conditionalFormatting>
  <conditionalFormatting sqref="G13 G15 G10:G11">
    <cfRule type="cellIs" dxfId="1052" priority="2613" operator="equal">
      <formula>"Not Met"</formula>
    </cfRule>
  </conditionalFormatting>
  <conditionalFormatting sqref="G13 G15 G11">
    <cfRule type="cellIs" dxfId="1051" priority="2612" operator="equal">
      <formula>"Met"</formula>
    </cfRule>
  </conditionalFormatting>
  <conditionalFormatting sqref="G13:G15">
    <cfRule type="expression" dxfId="1050" priority="2293">
      <formula>B13="N/A"</formula>
    </cfRule>
  </conditionalFormatting>
  <conditionalFormatting sqref="G17:G19">
    <cfRule type="cellIs" dxfId="1049" priority="2610" operator="equal">
      <formula>"Met"</formula>
    </cfRule>
  </conditionalFormatting>
  <conditionalFormatting sqref="G23:G24 G31:G32 G96:G101">
    <cfRule type="cellIs" dxfId="1048" priority="2614" operator="equal">
      <formula>"Met"</formula>
    </cfRule>
  </conditionalFormatting>
  <conditionalFormatting sqref="G34">
    <cfRule type="cellIs" dxfId="1047" priority="2604" operator="equal">
      <formula>"Met"</formula>
    </cfRule>
  </conditionalFormatting>
  <conditionalFormatting sqref="G39:G41">
    <cfRule type="cellIs" dxfId="1046" priority="2595" operator="equal">
      <formula>"Not Met"</formula>
    </cfRule>
    <cfRule type="cellIs" dxfId="1045" priority="2594" operator="equal">
      <formula>"Met"</formula>
    </cfRule>
  </conditionalFormatting>
  <conditionalFormatting sqref="G43:G45 H68:H72">
    <cfRule type="cellIs" dxfId="1044" priority="2182" operator="equal">
      <formula>"Not Met"</formula>
    </cfRule>
  </conditionalFormatting>
  <conditionalFormatting sqref="G43:G53">
    <cfRule type="cellIs" dxfId="1043" priority="285" operator="equal">
      <formula>"Met"</formula>
    </cfRule>
  </conditionalFormatting>
  <conditionalFormatting sqref="G47:G49">
    <cfRule type="cellIs" dxfId="1042" priority="87" operator="equal">
      <formula>"Not Met"</formula>
    </cfRule>
  </conditionalFormatting>
  <conditionalFormatting sqref="G55:G57">
    <cfRule type="cellIs" dxfId="1041" priority="333" operator="equal">
      <formula>"Not Met"</formula>
    </cfRule>
  </conditionalFormatting>
  <conditionalFormatting sqref="G55:G59">
    <cfRule type="cellIs" dxfId="1040" priority="140" operator="equal">
      <formula>"Met"</formula>
    </cfRule>
  </conditionalFormatting>
  <conditionalFormatting sqref="G61:G65">
    <cfRule type="cellIs" dxfId="1039" priority="282" operator="equal">
      <formula>"Met"</formula>
    </cfRule>
    <cfRule type="cellIs" dxfId="1038" priority="283" operator="equal">
      <formula>"Not Met"</formula>
    </cfRule>
  </conditionalFormatting>
  <conditionalFormatting sqref="G68:G71">
    <cfRule type="expression" dxfId="1037" priority="3">
      <formula>$G$68="Met"</formula>
    </cfRule>
    <cfRule type="expression" dxfId="1036" priority="41">
      <formula>$G$68="Not Met"</formula>
    </cfRule>
  </conditionalFormatting>
  <conditionalFormatting sqref="G72:G75">
    <cfRule type="cellIs" dxfId="1035" priority="327" operator="equal">
      <formula>"Not Met"</formula>
    </cfRule>
    <cfRule type="cellIs" dxfId="1034" priority="326" operator="equal">
      <formula>"Met"</formula>
    </cfRule>
  </conditionalFormatting>
  <conditionalFormatting sqref="G77">
    <cfRule type="cellIs" dxfId="1033" priority="2556" operator="equal">
      <formula>"Met"</formula>
    </cfRule>
    <cfRule type="cellIs" dxfId="1032" priority="2557" operator="equal">
      <formula>"Not Met"</formula>
    </cfRule>
  </conditionalFormatting>
  <conditionalFormatting sqref="G86">
    <cfRule type="cellIs" dxfId="1031" priority="2554" operator="equal">
      <formula>"Met"</formula>
    </cfRule>
    <cfRule type="cellIs" dxfId="1030" priority="2555" operator="equal">
      <formula>"Not Met"</formula>
    </cfRule>
  </conditionalFormatting>
  <conditionalFormatting sqref="G89">
    <cfRule type="cellIs" dxfId="1029" priority="2550" operator="equal">
      <formula>"Met"</formula>
    </cfRule>
    <cfRule type="cellIs" dxfId="1028" priority="2551" operator="equal">
      <formula>"Not Met"</formula>
    </cfRule>
  </conditionalFormatting>
  <conditionalFormatting sqref="G92:G93">
    <cfRule type="cellIs" dxfId="1027" priority="2084" operator="equal">
      <formula>"Met"</formula>
    </cfRule>
  </conditionalFormatting>
  <conditionalFormatting sqref="G96:G101">
    <cfRule type="cellIs" dxfId="1026" priority="312" operator="equal">
      <formula>"Not Met"</formula>
    </cfRule>
  </conditionalFormatting>
  <conditionalFormatting sqref="G103:G107">
    <cfRule type="cellIs" dxfId="1025" priority="1850" operator="equal">
      <formula>"Not Met"</formula>
    </cfRule>
    <cfRule type="cellIs" dxfId="1024" priority="1849" operator="equal">
      <formula>"Met"</formula>
    </cfRule>
  </conditionalFormatting>
  <conditionalFormatting sqref="G110:G116">
    <cfRule type="cellIs" dxfId="1023" priority="2174" operator="equal">
      <formula>"Met"</formula>
    </cfRule>
  </conditionalFormatting>
  <conditionalFormatting sqref="G118">
    <cfRule type="cellIs" dxfId="1022" priority="1848" operator="equal">
      <formula>"Not Met"</formula>
    </cfRule>
  </conditionalFormatting>
  <conditionalFormatting sqref="G118:G122">
    <cfRule type="cellIs" dxfId="1021" priority="1847" operator="equal">
      <formula>"Met"</formula>
    </cfRule>
  </conditionalFormatting>
  <conditionalFormatting sqref="G126">
    <cfRule type="cellIs" dxfId="1020" priority="2216" operator="equal">
      <formula>"Not Met"</formula>
    </cfRule>
    <cfRule type="cellIs" dxfId="1019" priority="2215" operator="equal">
      <formula>"Met"</formula>
    </cfRule>
  </conditionalFormatting>
  <conditionalFormatting sqref="G126:G127 G157">
    <cfRule type="expression" dxfId="1018" priority="2070">
      <formula>G124="N/A"</formula>
    </cfRule>
  </conditionalFormatting>
  <conditionalFormatting sqref="G129 G139 G160">
    <cfRule type="expression" dxfId="1017" priority="2060">
      <formula>G124="N/A"</formula>
    </cfRule>
  </conditionalFormatting>
  <conditionalFormatting sqref="G129:G131">
    <cfRule type="cellIs" dxfId="1016" priority="2203" operator="equal">
      <formula>"Not Met"</formula>
    </cfRule>
    <cfRule type="cellIs" dxfId="1015" priority="2202" operator="equal">
      <formula>"Met"</formula>
    </cfRule>
  </conditionalFormatting>
  <conditionalFormatting sqref="G130 G140 G161">
    <cfRule type="expression" dxfId="1014" priority="2055">
      <formula>G124="N/A"</formula>
    </cfRule>
  </conditionalFormatting>
  <conditionalFormatting sqref="G131 G162">
    <cfRule type="expression" dxfId="1013" priority="2049">
      <formula>G124="N/A"</formula>
    </cfRule>
  </conditionalFormatting>
  <conditionalFormatting sqref="G136">
    <cfRule type="cellIs" dxfId="1012" priority="2160" operator="equal">
      <formula>"Met"</formula>
    </cfRule>
    <cfRule type="expression" dxfId="1011" priority="2035">
      <formula>G134="N/A"</formula>
    </cfRule>
  </conditionalFormatting>
  <conditionalFormatting sqref="G139:G140 G142">
    <cfRule type="cellIs" dxfId="1010" priority="2148" operator="equal">
      <formula>"Not Met"</formula>
    </cfRule>
    <cfRule type="cellIs" dxfId="1009" priority="2147" operator="equal">
      <formula>"Met"</formula>
    </cfRule>
  </conditionalFormatting>
  <conditionalFormatting sqref="G142">
    <cfRule type="expression" dxfId="1008" priority="2043">
      <formula>G134="N/A"</formula>
    </cfRule>
  </conditionalFormatting>
  <conditionalFormatting sqref="G146">
    <cfRule type="cellIs" dxfId="1007" priority="2510" operator="equal">
      <formula>"Met"</formula>
    </cfRule>
    <cfRule type="cellIs" dxfId="1006" priority="2511" operator="equal">
      <formula>"Not Met"</formula>
    </cfRule>
  </conditionalFormatting>
  <conditionalFormatting sqref="G149:G151">
    <cfRule type="cellIs" dxfId="1005" priority="336" operator="equal">
      <formula>"Not Met"</formula>
    </cfRule>
    <cfRule type="cellIs" dxfId="1004" priority="335" operator="equal">
      <formula>"Met"</formula>
    </cfRule>
  </conditionalFormatting>
  <conditionalFormatting sqref="G153">
    <cfRule type="cellIs" dxfId="1003" priority="2506" operator="equal">
      <formula>"Met"</formula>
    </cfRule>
  </conditionalFormatting>
  <conditionalFormatting sqref="G157">
    <cfRule type="cellIs" dxfId="1002" priority="2140" operator="equal">
      <formula>"Met"</formula>
    </cfRule>
  </conditionalFormatting>
  <conditionalFormatting sqref="G159">
    <cfRule type="expression" dxfId="1001" priority="2026">
      <formula>G155="N/A"</formula>
    </cfRule>
  </conditionalFormatting>
  <conditionalFormatting sqref="G159:G163 G172:G174">
    <cfRule type="cellIs" dxfId="1000" priority="2112" operator="equal">
      <formula>"Met"</formula>
    </cfRule>
    <cfRule type="cellIs" dxfId="999" priority="2113" operator="equal">
      <formula>"Not Met"</formula>
    </cfRule>
  </conditionalFormatting>
  <conditionalFormatting sqref="G163">
    <cfRule type="expression" dxfId="998" priority="1970">
      <formula>G155="N/A"</formula>
    </cfRule>
  </conditionalFormatting>
  <conditionalFormatting sqref="G167">
    <cfRule type="expression" dxfId="997" priority="111">
      <formula>G165="N/A"</formula>
    </cfRule>
    <cfRule type="cellIs" dxfId="996" priority="116" operator="equal">
      <formula>"Met"</formula>
    </cfRule>
  </conditionalFormatting>
  <conditionalFormatting sqref="G168">
    <cfRule type="expression" dxfId="995" priority="76">
      <formula>G160="N/A"</formula>
    </cfRule>
  </conditionalFormatting>
  <conditionalFormatting sqref="G168:G170">
    <cfRule type="cellIs" dxfId="994" priority="80" operator="equal">
      <formula>"Not Met"</formula>
    </cfRule>
    <cfRule type="cellIs" dxfId="993" priority="79" operator="equal">
      <formula>"Met"</formula>
    </cfRule>
  </conditionalFormatting>
  <conditionalFormatting sqref="G169">
    <cfRule type="expression" dxfId="992" priority="72">
      <formula>G160="N/A"</formula>
    </cfRule>
  </conditionalFormatting>
  <conditionalFormatting sqref="G170">
    <cfRule type="expression" dxfId="991" priority="68">
      <formula>G160="N/A"</formula>
    </cfRule>
  </conditionalFormatting>
  <conditionalFormatting sqref="G172">
    <cfRule type="expression" dxfId="990" priority="102">
      <formula>G165="N/A"</formula>
    </cfRule>
  </conditionalFormatting>
  <conditionalFormatting sqref="G173">
    <cfRule type="expression" dxfId="989" priority="98">
      <formula>G165="N/A"</formula>
    </cfRule>
  </conditionalFormatting>
  <conditionalFormatting sqref="G176">
    <cfRule type="cellIs" dxfId="988" priority="2500" operator="equal">
      <formula>"Met"</formula>
    </cfRule>
  </conditionalFormatting>
  <conditionalFormatting sqref="G178:G186">
    <cfRule type="cellIs" dxfId="987" priority="296" operator="equal">
      <formula>"Met"</formula>
    </cfRule>
    <cfRule type="cellIs" dxfId="986" priority="297" operator="equal">
      <formula>"Not Met"</formula>
    </cfRule>
  </conditionalFormatting>
  <conditionalFormatting sqref="G189:G192">
    <cfRule type="cellIs" dxfId="985" priority="307" operator="equal">
      <formula>"Not Met"</formula>
    </cfRule>
    <cfRule type="cellIs" dxfId="984" priority="306" operator="equal">
      <formula>"Met"</formula>
    </cfRule>
  </conditionalFormatting>
  <conditionalFormatting sqref="G194:G197">
    <cfRule type="cellIs" dxfId="983" priority="271" operator="equal">
      <formula>"Not Met"</formula>
    </cfRule>
    <cfRule type="cellIs" dxfId="982" priority="270" operator="equal">
      <formula>"Met"</formula>
    </cfRule>
  </conditionalFormatting>
  <conditionalFormatting sqref="G200">
    <cfRule type="cellIs" dxfId="981" priority="2492" operator="equal">
      <formula>"Met"</formula>
    </cfRule>
  </conditionalFormatting>
  <conditionalFormatting sqref="G203:G205">
    <cfRule type="cellIs" dxfId="980" priority="289" operator="equal">
      <formula>"Not Met"</formula>
    </cfRule>
  </conditionalFormatting>
  <conditionalFormatting sqref="G203:G209">
    <cfRule type="cellIs" dxfId="979" priority="288" operator="equal">
      <formula>"Met"</formula>
    </cfRule>
  </conditionalFormatting>
  <conditionalFormatting sqref="G213">
    <cfRule type="cellIs" dxfId="978" priority="2485" operator="equal">
      <formula>"Not Met"</formula>
    </cfRule>
    <cfRule type="cellIs" dxfId="977" priority="2484" operator="equal">
      <formula>"Met"</formula>
    </cfRule>
  </conditionalFormatting>
  <conditionalFormatting sqref="G216:G219">
    <cfRule type="cellIs" dxfId="976" priority="265" operator="equal">
      <formula>"Met"</formula>
    </cfRule>
    <cfRule type="cellIs" dxfId="975" priority="266" operator="equal">
      <formula>"Not Met"</formula>
    </cfRule>
  </conditionalFormatting>
  <conditionalFormatting sqref="G223:G224">
    <cfRule type="cellIs" dxfId="974" priority="2102" operator="equal">
      <formula>"Met"</formula>
    </cfRule>
  </conditionalFormatting>
  <conditionalFormatting sqref="G227">
    <cfRule type="cellIs" dxfId="973" priority="368" operator="equal">
      <formula>"Met"</formula>
    </cfRule>
    <cfRule type="cellIs" dxfId="972" priority="367" operator="equal">
      <formula>"Not Met"</formula>
    </cfRule>
  </conditionalFormatting>
  <conditionalFormatting sqref="G229:G230">
    <cfRule type="cellIs" dxfId="971" priority="360" operator="equal">
      <formula>"Not Met"</formula>
    </cfRule>
    <cfRule type="cellIs" dxfId="970" priority="359" operator="equal">
      <formula>"Met"</formula>
    </cfRule>
  </conditionalFormatting>
  <conditionalFormatting sqref="G233">
    <cfRule type="cellIs" dxfId="969" priority="354" operator="equal">
      <formula>"Not Met"</formula>
    </cfRule>
    <cfRule type="cellIs" dxfId="968" priority="353" operator="equal">
      <formula>"Met"</formula>
    </cfRule>
  </conditionalFormatting>
  <conditionalFormatting sqref="G235">
    <cfRule type="cellIs" dxfId="967" priority="33" operator="equal">
      <formula>"Met"</formula>
    </cfRule>
  </conditionalFormatting>
  <conditionalFormatting sqref="G238:G254">
    <cfRule type="cellIs" dxfId="966" priority="2447" operator="equal">
      <formula>"Not Met"</formula>
    </cfRule>
    <cfRule type="cellIs" dxfId="965" priority="2446" operator="equal">
      <formula>"Met"</formula>
    </cfRule>
  </conditionalFormatting>
  <conditionalFormatting sqref="G256:G259">
    <cfRule type="cellIs" dxfId="964" priority="258" operator="equal">
      <formula>"Not Met"</formula>
    </cfRule>
  </conditionalFormatting>
  <conditionalFormatting sqref="G256:G260">
    <cfRule type="cellIs" dxfId="963" priority="257" operator="equal">
      <formula>"Met"</formula>
    </cfRule>
  </conditionalFormatting>
  <conditionalFormatting sqref="G262">
    <cfRule type="cellIs" dxfId="962" priority="2442" operator="equal">
      <formula>"Met"</formula>
    </cfRule>
  </conditionalFormatting>
  <conditionalFormatting sqref="G265">
    <cfRule type="cellIs" dxfId="961" priority="2440" operator="equal">
      <formula>"Met"</formula>
    </cfRule>
  </conditionalFormatting>
  <conditionalFormatting sqref="G267">
    <cfRule type="cellIs" dxfId="960" priority="2092" operator="equal">
      <formula>"Met"</formula>
    </cfRule>
  </conditionalFormatting>
  <conditionalFormatting sqref="G270">
    <cfRule type="cellIs" dxfId="959" priority="2439" operator="equal">
      <formula>"Not Met"</formula>
    </cfRule>
    <cfRule type="cellIs" dxfId="958" priority="2438" operator="equal">
      <formula>"Met"</formula>
    </cfRule>
  </conditionalFormatting>
  <conditionalFormatting sqref="G272">
    <cfRule type="cellIs" dxfId="957" priority="2437" operator="equal">
      <formula>"Not Met"</formula>
    </cfRule>
    <cfRule type="cellIs" dxfId="956" priority="2436" operator="equal">
      <formula>"Met"</formula>
    </cfRule>
  </conditionalFormatting>
  <conditionalFormatting sqref="G274:G278">
    <cfRule type="cellIs" dxfId="955" priority="2427" operator="equal">
      <formula>"Not Met"</formula>
    </cfRule>
    <cfRule type="cellIs" dxfId="954" priority="2426" operator="equal">
      <formula>"Met"</formula>
    </cfRule>
  </conditionalFormatting>
  <conditionalFormatting sqref="G280:G282">
    <cfRule type="cellIs" dxfId="953" priority="252" operator="equal">
      <formula>"Met"</formula>
    </cfRule>
    <cfRule type="cellIs" dxfId="952" priority="253" operator="equal">
      <formula>"Not Met"</formula>
    </cfRule>
  </conditionalFormatting>
  <conditionalFormatting sqref="G284">
    <cfRule type="cellIs" dxfId="951" priority="2425" operator="equal">
      <formula>"Not Met"</formula>
    </cfRule>
    <cfRule type="cellIs" dxfId="950" priority="2424" operator="equal">
      <formula>"Met"</formula>
    </cfRule>
  </conditionalFormatting>
  <conditionalFormatting sqref="G289:G290">
    <cfRule type="cellIs" dxfId="949" priority="26" operator="equal">
      <formula>"Met"</formula>
    </cfRule>
  </conditionalFormatting>
  <conditionalFormatting sqref="G292:G294">
    <cfRule type="expression" dxfId="948" priority="348">
      <formula>$G$294="N/A"</formula>
    </cfRule>
  </conditionalFormatting>
  <conditionalFormatting sqref="G295">
    <cfRule type="expression" dxfId="947" priority="1680">
      <formula>G294="Yes"</formula>
    </cfRule>
  </conditionalFormatting>
  <conditionalFormatting sqref="G302">
    <cfRule type="expression" dxfId="946" priority="139">
      <formula>$B$300&lt;&gt;""</formula>
    </cfRule>
  </conditionalFormatting>
  <conditionalFormatting sqref="G17:H19">
    <cfRule type="cellIs" dxfId="945" priority="2288" operator="equal">
      <formula>"Not Met"</formula>
    </cfRule>
  </conditionalFormatting>
  <conditionalFormatting sqref="G23:H23">
    <cfRule type="cellIs" dxfId="944" priority="159" operator="equal">
      <formula>"Not Met"</formula>
    </cfRule>
  </conditionalFormatting>
  <conditionalFormatting sqref="G24:H24 H25:H29 G31:H33 H31:H34 G34">
    <cfRule type="cellIs" dxfId="943" priority="2615" operator="equal">
      <formula>"Not Met"</formula>
    </cfRule>
  </conditionalFormatting>
  <conditionalFormatting sqref="G46:H46">
    <cfRule type="cellIs" dxfId="942" priority="2591" operator="equal">
      <formula>"Not Met"</formula>
    </cfRule>
  </conditionalFormatting>
  <conditionalFormatting sqref="G50:H53">
    <cfRule type="cellIs" dxfId="941" priority="2583" operator="equal">
      <formula>"Not Met"</formula>
    </cfRule>
  </conditionalFormatting>
  <conditionalFormatting sqref="G58:H58">
    <cfRule type="cellIs" dxfId="940" priority="145" operator="equal">
      <formula>"Not Met"</formula>
    </cfRule>
  </conditionalFormatting>
  <conditionalFormatting sqref="G59:H59">
    <cfRule type="cellIs" dxfId="939" priority="2581" operator="equal">
      <formula>"Not Met"</formula>
    </cfRule>
  </conditionalFormatting>
  <conditionalFormatting sqref="G92:H92">
    <cfRule type="cellIs" dxfId="938" priority="2547" operator="equal">
      <formula>"Not Met"</formula>
    </cfRule>
  </conditionalFormatting>
  <conditionalFormatting sqref="G93:H93">
    <cfRule type="cellIs" dxfId="937" priority="2081" operator="equal">
      <formula>"Not Met"</formula>
    </cfRule>
  </conditionalFormatting>
  <conditionalFormatting sqref="G110:H111">
    <cfRule type="cellIs" dxfId="936" priority="2529" operator="equal">
      <formula>"Not Met"</formula>
    </cfRule>
  </conditionalFormatting>
  <conditionalFormatting sqref="G112:H116">
    <cfRule type="cellIs" dxfId="935" priority="2171" operator="equal">
      <formula>"Not Met"</formula>
    </cfRule>
  </conditionalFormatting>
  <conditionalFormatting sqref="G119:H122">
    <cfRule type="cellIs" dxfId="934" priority="2226" operator="equal">
      <formula>"Not Met"</formula>
    </cfRule>
  </conditionalFormatting>
  <conditionalFormatting sqref="G136:H136">
    <cfRule type="cellIs" dxfId="933" priority="2157" operator="equal">
      <formula>"Not Met"</formula>
    </cfRule>
  </conditionalFormatting>
  <conditionalFormatting sqref="G153:H153">
    <cfRule type="cellIs" dxfId="932" priority="2507" operator="equal">
      <formula>"Not Met"</formula>
    </cfRule>
  </conditionalFormatting>
  <conditionalFormatting sqref="G157:H157">
    <cfRule type="cellIs" dxfId="931" priority="2131" operator="equal">
      <formula>"Not Met"</formula>
    </cfRule>
  </conditionalFormatting>
  <conditionalFormatting sqref="G167:H167">
    <cfRule type="cellIs" dxfId="930" priority="115" operator="equal">
      <formula>"Not Met"</formula>
    </cfRule>
  </conditionalFormatting>
  <conditionalFormatting sqref="G176:H176">
    <cfRule type="cellIs" dxfId="929" priority="2501" operator="equal">
      <formula>"Not Met"</formula>
    </cfRule>
  </conditionalFormatting>
  <conditionalFormatting sqref="G206:H209 G200:H200">
    <cfRule type="cellIs" dxfId="928" priority="2237" operator="equal">
      <formula>"Not Met"</formula>
    </cfRule>
  </conditionalFormatting>
  <conditionalFormatting sqref="G223:H224">
    <cfRule type="cellIs" dxfId="927" priority="2101" operator="equal">
      <formula>"Not Met"</formula>
    </cfRule>
  </conditionalFormatting>
  <conditionalFormatting sqref="G235:H235">
    <cfRule type="cellIs" dxfId="926" priority="35" operator="equal">
      <formula>"Not Met"</formula>
    </cfRule>
  </conditionalFormatting>
  <conditionalFormatting sqref="G260:H260">
    <cfRule type="cellIs" dxfId="925" priority="2095" operator="equal">
      <formula>"Not Met"</formula>
    </cfRule>
  </conditionalFormatting>
  <conditionalFormatting sqref="G262:H262 G265:H265">
    <cfRule type="cellIs" dxfId="924" priority="2334" operator="equal">
      <formula>"Not Met"</formula>
    </cfRule>
  </conditionalFormatting>
  <conditionalFormatting sqref="G267:H267">
    <cfRule type="cellIs" dxfId="923" priority="2089" operator="equal">
      <formula>"Not Met"</formula>
    </cfRule>
  </conditionalFormatting>
  <conditionalFormatting sqref="G289:H290">
    <cfRule type="cellIs" dxfId="922" priority="28" operator="equal">
      <formula>"Not Met"</formula>
    </cfRule>
  </conditionalFormatting>
  <conditionalFormatting sqref="H13:H15 H11">
    <cfRule type="cellIs" dxfId="921" priority="2300" operator="equal">
      <formula>"Not Met"</formula>
    </cfRule>
    <cfRule type="cellIs" dxfId="920" priority="2299" operator="equal">
      <formula>"Met"</formula>
    </cfRule>
  </conditionalFormatting>
  <conditionalFormatting sqref="H14">
    <cfRule type="expression" dxfId="919" priority="2217">
      <formula>B13="N/A"</formula>
    </cfRule>
  </conditionalFormatting>
  <conditionalFormatting sqref="H17:H19 H23:H29 H31:H34 H68:H72 H86:H89 H92:H95 H176:H177">
    <cfRule type="cellIs" dxfId="918" priority="2287" operator="equal">
      <formula>"Met"</formula>
    </cfRule>
  </conditionalFormatting>
  <conditionalFormatting sqref="H26">
    <cfRule type="cellIs" dxfId="917" priority="2192" operator="equal">
      <formula>"Not Met"</formula>
    </cfRule>
  </conditionalFormatting>
  <conditionalFormatting sqref="H39:H45">
    <cfRule type="cellIs" dxfId="916" priority="2178" operator="equal">
      <formula>"Not Met"</formula>
    </cfRule>
  </conditionalFormatting>
  <conditionalFormatting sqref="H39:H46 H50:H54 H58:H60 H119:H122 H107 H110:H116">
    <cfRule type="cellIs" dxfId="915" priority="2177" operator="equal">
      <formula>"Met"</formula>
    </cfRule>
  </conditionalFormatting>
  <conditionalFormatting sqref="H54">
    <cfRule type="cellIs" dxfId="914" priority="345" operator="equal">
      <formula>"Not Met"</formula>
    </cfRule>
  </conditionalFormatting>
  <conditionalFormatting sqref="H58:H60 H50:H54 H39:H46 H119:H122">
    <cfRule type="expression" dxfId="913" priority="2176">
      <formula>B39="N/A"</formula>
    </cfRule>
  </conditionalFormatting>
  <conditionalFormatting sqref="H60">
    <cfRule type="cellIs" dxfId="912" priority="420" operator="equal">
      <formula>"Not Met"</formula>
    </cfRule>
  </conditionalFormatting>
  <conditionalFormatting sqref="H64:H66 H86:H89 H186:H188 H192 H197:H198 H213:H215 H219:H221">
    <cfRule type="cellIs" dxfId="911" priority="2657" operator="equal">
      <formula>"Not Met"</formula>
    </cfRule>
  </conditionalFormatting>
  <conditionalFormatting sqref="H64:H66 H153 G10 H186:H188 H192 H197:H198 H213:H215 H219:H221">
    <cfRule type="cellIs" dxfId="910" priority="2656" operator="equal">
      <formula>"Met"</formula>
    </cfRule>
  </conditionalFormatting>
  <conditionalFormatting sqref="H78:H83 H126:H127 H146:H148 H159">
    <cfRule type="cellIs" dxfId="909" priority="2228" operator="equal">
      <formula>"Met"</formula>
    </cfRule>
    <cfRule type="cellIs" dxfId="908" priority="2229" operator="equal">
      <formula>"Not Met"</formula>
    </cfRule>
  </conditionalFormatting>
  <conditionalFormatting sqref="H94:H95">
    <cfRule type="cellIs" dxfId="907" priority="428" operator="equal">
      <formula>"Not Met"</formula>
    </cfRule>
  </conditionalFormatting>
  <conditionalFormatting sqref="H107">
    <cfRule type="cellIs" dxfId="906" priority="83" operator="equal">
      <formula>"Not Met"</formula>
    </cfRule>
  </conditionalFormatting>
  <conditionalFormatting sqref="H126 H157">
    <cfRule type="expression" dxfId="905" priority="2069">
      <formula>G124="N/A"</formula>
    </cfRule>
  </conditionalFormatting>
  <conditionalFormatting sqref="H126:H127 H159 H78:H83 H146:H148">
    <cfRule type="expression" dxfId="904" priority="2227">
      <formula>B78="N/A"</formula>
    </cfRule>
  </conditionalFormatting>
  <conditionalFormatting sqref="H127">
    <cfRule type="expression" dxfId="903" priority="2068">
      <formula>G124="N/A"</formula>
    </cfRule>
  </conditionalFormatting>
  <conditionalFormatting sqref="H129">
    <cfRule type="cellIs" dxfId="902" priority="405" operator="equal">
      <formula>"Met"</formula>
    </cfRule>
    <cfRule type="cellIs" dxfId="901" priority="406" operator="equal">
      <formula>"Not Met"</formula>
    </cfRule>
  </conditionalFormatting>
  <conditionalFormatting sqref="H129:H130">
    <cfRule type="expression" dxfId="900" priority="403">
      <formula>G123="N/A"</formula>
    </cfRule>
  </conditionalFormatting>
  <conditionalFormatting sqref="H129:H132 H23:H29 H68:H72 H107 H110:H116 H136:H137 H139:H143 H157 H92:H95 H13:H15 H17:H19 H31:H34 H64:H66 H86:H89 H153">
    <cfRule type="expression" dxfId="899" priority="2286">
      <formula>B13="N/A"</formula>
    </cfRule>
  </conditionalFormatting>
  <conditionalFormatting sqref="H130:H132">
    <cfRule type="cellIs" dxfId="898" priority="2199" operator="equal">
      <formula>"Not Met"</formula>
    </cfRule>
    <cfRule type="cellIs" dxfId="897" priority="2198" operator="equal">
      <formula>"Met"</formula>
    </cfRule>
  </conditionalFormatting>
  <conditionalFormatting sqref="H131:H132">
    <cfRule type="expression" dxfId="896" priority="2048">
      <formula>G124="N/A"</formula>
    </cfRule>
  </conditionalFormatting>
  <conditionalFormatting sqref="H132 H142">
    <cfRule type="expression" dxfId="895" priority="2042">
      <formula>G124="N/A"</formula>
    </cfRule>
  </conditionalFormatting>
  <conditionalFormatting sqref="H136">
    <cfRule type="cellIs" dxfId="894" priority="2156" operator="equal">
      <formula>"Met"</formula>
    </cfRule>
    <cfRule type="expression" dxfId="893" priority="2034">
      <formula>G134="N/A"</formula>
    </cfRule>
  </conditionalFormatting>
  <conditionalFormatting sqref="H137">
    <cfRule type="expression" dxfId="892" priority="53">
      <formula>G131="N/A"</formula>
    </cfRule>
    <cfRule type="cellIs" dxfId="891" priority="55" operator="equal">
      <formula>"Met"</formula>
    </cfRule>
    <cfRule type="cellIs" dxfId="890" priority="56" operator="equal">
      <formula>"Not Met"</formula>
    </cfRule>
  </conditionalFormatting>
  <conditionalFormatting sqref="H139">
    <cfRule type="cellIs" dxfId="889" priority="400" operator="equal">
      <formula>"Met"</formula>
    </cfRule>
    <cfRule type="cellIs" dxfId="888" priority="401" operator="equal">
      <formula>"Not Met"</formula>
    </cfRule>
  </conditionalFormatting>
  <conditionalFormatting sqref="H139:H141">
    <cfRule type="expression" dxfId="887" priority="398">
      <formula>G133="N/A"</formula>
    </cfRule>
  </conditionalFormatting>
  <conditionalFormatting sqref="H140:H143">
    <cfRule type="cellIs" dxfId="886" priority="2143" operator="equal">
      <formula>"Met"</formula>
    </cfRule>
    <cfRule type="cellIs" dxfId="885" priority="2144" operator="equal">
      <formula>"Not Met"</formula>
    </cfRule>
  </conditionalFormatting>
  <conditionalFormatting sqref="H143">
    <cfRule type="expression" dxfId="884" priority="60">
      <formula>G138="N/A"</formula>
    </cfRule>
  </conditionalFormatting>
  <conditionalFormatting sqref="H157">
    <cfRule type="cellIs" dxfId="883" priority="2130" operator="equal">
      <formula>"Met"</formula>
    </cfRule>
  </conditionalFormatting>
  <conditionalFormatting sqref="H167">
    <cfRule type="expression" dxfId="882" priority="121">
      <formula>B167="N/A"</formula>
    </cfRule>
    <cfRule type="cellIs" dxfId="881" priority="114" operator="equal">
      <formula>"Met"</formula>
    </cfRule>
    <cfRule type="expression" dxfId="880" priority="110">
      <formula>G165="N/A"</formula>
    </cfRule>
  </conditionalFormatting>
  <conditionalFormatting sqref="H172">
    <cfRule type="cellIs" dxfId="879" priority="120" operator="equal">
      <formula>"Not Met"</formula>
    </cfRule>
    <cfRule type="expression" dxfId="878" priority="118">
      <formula>B172="N/A"</formula>
    </cfRule>
    <cfRule type="cellIs" dxfId="877" priority="119" operator="equal">
      <formula>"Met"</formula>
    </cfRule>
  </conditionalFormatting>
  <conditionalFormatting sqref="H177">
    <cfRule type="cellIs" dxfId="876" priority="304" operator="equal">
      <formula>"Not Met"</formula>
    </cfRule>
  </conditionalFormatting>
  <conditionalFormatting sqref="H181:H182">
    <cfRule type="cellIs" dxfId="875" priority="11" operator="equal">
      <formula>"Met"</formula>
    </cfRule>
    <cfRule type="cellIs" dxfId="874" priority="10" operator="equal">
      <formula>"Not Met"</formula>
    </cfRule>
  </conditionalFormatting>
  <conditionalFormatting sqref="H200:H202">
    <cfRule type="cellIs" dxfId="873" priority="290" operator="equal">
      <formula>"Met"</formula>
    </cfRule>
  </conditionalFormatting>
  <conditionalFormatting sqref="H201:H202">
    <cfRule type="cellIs" dxfId="872" priority="291" operator="equal">
      <formula>"Not Met"</formula>
    </cfRule>
  </conditionalFormatting>
  <conditionalFormatting sqref="H206:H209">
    <cfRule type="cellIs" dxfId="871" priority="2236" operator="equal">
      <formula>"Met"</formula>
    </cfRule>
  </conditionalFormatting>
  <conditionalFormatting sqref="H223:H224">
    <cfRule type="cellIs" dxfId="870" priority="2100" operator="equal">
      <formula>"Met"</formula>
    </cfRule>
  </conditionalFormatting>
  <conditionalFormatting sqref="H228:H230">
    <cfRule type="cellIs" dxfId="869" priority="358" operator="equal">
      <formula>"Not Met"</formula>
    </cfRule>
    <cfRule type="cellIs" dxfId="868" priority="357" operator="equal">
      <formula>"Met"</formula>
    </cfRule>
  </conditionalFormatting>
  <conditionalFormatting sqref="H234">
    <cfRule type="cellIs" dxfId="867" priority="1967" operator="equal">
      <formula>"Not Met"</formula>
    </cfRule>
  </conditionalFormatting>
  <conditionalFormatting sqref="H234:H235">
    <cfRule type="cellIs" dxfId="866" priority="34" operator="equal">
      <formula>"Met"</formula>
    </cfRule>
  </conditionalFormatting>
  <conditionalFormatting sqref="H251">
    <cfRule type="cellIs" dxfId="865" priority="2331" operator="equal">
      <formula>"Met"</formula>
    </cfRule>
    <cfRule type="cellIs" dxfId="864" priority="2332" operator="equal">
      <formula>"Not Met"</formula>
    </cfRule>
  </conditionalFormatting>
  <conditionalFormatting sqref="H260">
    <cfRule type="cellIs" dxfId="863" priority="2094" operator="equal">
      <formula>"Met"</formula>
    </cfRule>
  </conditionalFormatting>
  <conditionalFormatting sqref="H262 H265">
    <cfRule type="cellIs" dxfId="862" priority="2333" operator="equal">
      <formula>"Met"</formula>
    </cfRule>
  </conditionalFormatting>
  <conditionalFormatting sqref="H267">
    <cfRule type="cellIs" dxfId="861" priority="2088" operator="equal">
      <formula>"Met"</formula>
    </cfRule>
  </conditionalFormatting>
  <conditionalFormatting sqref="H270:H272">
    <cfRule type="cellIs" dxfId="860" priority="2338" operator="equal">
      <formula>"Not Met"</formula>
    </cfRule>
    <cfRule type="cellIs" dxfId="859" priority="2337" operator="equal">
      <formula>"Met"</formula>
    </cfRule>
  </conditionalFormatting>
  <conditionalFormatting sqref="H274 H276">
    <cfRule type="cellIs" dxfId="858" priority="2344" operator="equal">
      <formula>"Not Met"</formula>
    </cfRule>
    <cfRule type="cellIs" dxfId="857" priority="2343" operator="equal">
      <formula>"Met"</formula>
    </cfRule>
  </conditionalFormatting>
  <conditionalFormatting sqref="H278:H279">
    <cfRule type="cellIs" dxfId="856" priority="2348" operator="equal">
      <formula>"Not Met"</formula>
    </cfRule>
    <cfRule type="cellIs" dxfId="855" priority="2347" operator="equal">
      <formula>"Met"</formula>
    </cfRule>
  </conditionalFormatting>
  <conditionalFormatting sqref="H284:H287">
    <cfRule type="cellIs" dxfId="854" priority="2087" operator="equal">
      <formula>"Not Met"</formula>
    </cfRule>
    <cfRule type="cellIs" dxfId="853" priority="2086" operator="equal">
      <formula>"Met"</formula>
    </cfRule>
  </conditionalFormatting>
  <conditionalFormatting sqref="H289:H290">
    <cfRule type="cellIs" dxfId="852" priority="27" operator="equal">
      <formula>"Met"</formula>
    </cfRule>
  </conditionalFormatting>
  <conditionalFormatting sqref="H47:I47 H55:I57 H61:I63 H73:I75 H96:I101 H149:I151 H178:I180 H183:I185 H189:I191 H194:I196 H203:I205 H216:I218 H257:I259">
    <cfRule type="expression" dxfId="851" priority="280">
      <formula>$H$149&lt;&gt;""</formula>
    </cfRule>
  </conditionalFormatting>
  <conditionalFormatting sqref="H48:I49">
    <cfRule type="expression" dxfId="850" priority="86">
      <formula>$H$48&lt;&gt;""</formula>
    </cfRule>
  </conditionalFormatting>
  <conditionalFormatting sqref="H159:I159">
    <cfRule type="expression" dxfId="849" priority="393">
      <formula>#REF!="N/A"</formula>
    </cfRule>
  </conditionalFormatting>
  <conditionalFormatting sqref="H280:I282">
    <cfRule type="expression" dxfId="848" priority="84">
      <formula>$H$149&lt;&gt;""</formula>
    </cfRule>
  </conditionalFormatting>
  <conditionalFormatting sqref="H346:K346">
    <cfRule type="expression" dxfId="847" priority="133">
      <formula>$B$300&lt;&gt;""</formula>
    </cfRule>
  </conditionalFormatting>
  <conditionalFormatting sqref="H354:K354">
    <cfRule type="expression" dxfId="846" priority="129">
      <formula>$B$300&lt;&gt;""</formula>
    </cfRule>
  </conditionalFormatting>
  <conditionalFormatting sqref="H358:K358">
    <cfRule type="expression" dxfId="845" priority="128">
      <formula>$B$300&lt;&gt;""</formula>
    </cfRule>
  </conditionalFormatting>
  <conditionalFormatting sqref="H292:L293">
    <cfRule type="expression" dxfId="844" priority="1705">
      <formula>AND(#REF!=#REF!,#REF!&gt;=1)</formula>
    </cfRule>
  </conditionalFormatting>
  <conditionalFormatting sqref="H292:M293">
    <cfRule type="expression" dxfId="843" priority="1706">
      <formula>#REF!-#REF!&gt;=1</formula>
    </cfRule>
  </conditionalFormatting>
  <conditionalFormatting sqref="I11 B13:L14 B15:C15 G15:L15">
    <cfRule type="expression" dxfId="842" priority="24">
      <formula>$B$13="I.A.5"</formula>
    </cfRule>
  </conditionalFormatting>
  <conditionalFormatting sqref="I13:I15">
    <cfRule type="expression" dxfId="841" priority="2291">
      <formula>B13="N/A"</formula>
    </cfRule>
  </conditionalFormatting>
  <conditionalFormatting sqref="I14">
    <cfRule type="expression" dxfId="840" priority="2290">
      <formula>B13="N/A"</formula>
    </cfRule>
  </conditionalFormatting>
  <conditionalFormatting sqref="I126 I136 I157">
    <cfRule type="expression" dxfId="839" priority="2067">
      <formula>G124="N/A"</formula>
    </cfRule>
  </conditionalFormatting>
  <conditionalFormatting sqref="I127">
    <cfRule type="expression" dxfId="838" priority="2066">
      <formula>G124="N/A"</formula>
    </cfRule>
  </conditionalFormatting>
  <conditionalFormatting sqref="I129:I130">
    <cfRule type="expression" dxfId="837" priority="407">
      <formula>G123="N/A"</formula>
    </cfRule>
  </conditionalFormatting>
  <conditionalFormatting sqref="I131:I132">
    <cfRule type="expression" dxfId="836" priority="2047">
      <formula>G124="N/A"</formula>
    </cfRule>
  </conditionalFormatting>
  <conditionalFormatting sqref="I137">
    <cfRule type="expression" dxfId="835" priority="54">
      <formula>G131="N/A"</formula>
    </cfRule>
  </conditionalFormatting>
  <conditionalFormatting sqref="I139:I141">
    <cfRule type="expression" dxfId="834" priority="402">
      <formula>G133="N/A"</formula>
    </cfRule>
  </conditionalFormatting>
  <conditionalFormatting sqref="I142">
    <cfRule type="expression" dxfId="833" priority="2041">
      <formula>G134="N/A"</formula>
    </cfRule>
  </conditionalFormatting>
  <conditionalFormatting sqref="I143">
    <cfRule type="expression" dxfId="832" priority="61">
      <formula>G138="N/A"</formula>
    </cfRule>
  </conditionalFormatting>
  <conditionalFormatting sqref="I167">
    <cfRule type="expression" dxfId="831" priority="108">
      <formula>G165="N/A"</formula>
    </cfRule>
  </conditionalFormatting>
  <conditionalFormatting sqref="I1:J1">
    <cfRule type="expression" dxfId="830" priority="2749">
      <formula>#REF!="Not OK"</formula>
    </cfRule>
  </conditionalFormatting>
  <conditionalFormatting sqref="I317:L317">
    <cfRule type="expression" dxfId="829" priority="1896">
      <formula>$B$300&lt;&gt;""</formula>
    </cfRule>
  </conditionalFormatting>
  <conditionalFormatting sqref="I318:L329 C319:H329">
    <cfRule type="expression" dxfId="828" priority="1882">
      <formula>$B$300&lt;&gt;""</formula>
    </cfRule>
  </conditionalFormatting>
  <conditionalFormatting sqref="J11 J13 J15 J17:J19 J23:J24 J31:J32 J34 J58:J59 J96:J101 J139:J140 J142 J153 J172:J174 J107 J92 J206:J208">
    <cfRule type="expression" dxfId="827" priority="2361">
      <formula>G11="Not Met"</formula>
    </cfRule>
  </conditionalFormatting>
  <conditionalFormatting sqref="J13 J15 J11 J17:J19 J23:J24 J31:J32 J34 J58:J59 J96:J101">
    <cfRule type="expression" dxfId="826" priority="2360">
      <formula>J11&gt;0</formula>
    </cfRule>
  </conditionalFormatting>
  <conditionalFormatting sqref="J39:J41 J43:J46 J48:J53 J64:J65 J72 J77 J86 J89 J93 J103:J105 J110:J116 J118:J122 J126 J129:J131 J146 J157 J159:J163 J167 J176 J181 J186 J192 J197 J200 J213 J219 J223:J224 J229:J230 J238:J254 J256:J260 J262 J265 J267 J270 J272 J274:J278 J284 J289">
    <cfRule type="expression" dxfId="825" priority="2411">
      <formula>G39="Not Met"</formula>
    </cfRule>
  </conditionalFormatting>
  <conditionalFormatting sqref="J92:J93 J107 J139:J140 J142 J153 J172:J174 J206:J209 J157 J129:J131 J159:J163 J229:J230 J126 J167 J136 J39:J41 J43:J46 J48:J53 J64:J65 J72 J77 J86 J89 J103:J105 J110:J116 J118:J122 J146 J176 J181 J186 J192 J197 J200 J213 J219 J223:J224 J238:J254 J256:J260 J262 J265 J267 J270 J272 J274:J278 J284">
    <cfRule type="expression" dxfId="824" priority="2410">
      <formula>J39&gt;0</formula>
    </cfRule>
  </conditionalFormatting>
  <conditionalFormatting sqref="J136">
    <cfRule type="expression" dxfId="823" priority="3785">
      <formula>G136="Not Met"</formula>
    </cfRule>
  </conditionalFormatting>
  <conditionalFormatting sqref="J230">
    <cfRule type="expression" dxfId="822" priority="362">
      <formula>G234="Not Met"</formula>
    </cfRule>
    <cfRule type="expression" dxfId="821" priority="363">
      <formula>#REF!="Not Met"</formula>
    </cfRule>
  </conditionalFormatting>
  <conditionalFormatting sqref="J235">
    <cfRule type="expression" dxfId="820" priority="36">
      <formula>J235&gt;0</formula>
    </cfRule>
  </conditionalFormatting>
  <conditionalFormatting sqref="J289:J290">
    <cfRule type="expression" dxfId="819" priority="29">
      <formula>J289&gt;0</formula>
    </cfRule>
  </conditionalFormatting>
  <conditionalFormatting sqref="J332">
    <cfRule type="expression" dxfId="818" priority="137">
      <formula>$B$300&lt;&gt;""</formula>
    </cfRule>
  </conditionalFormatting>
  <conditionalFormatting sqref="J336">
    <cfRule type="expression" dxfId="817" priority="136">
      <formula>$B$300&lt;&gt;""</formula>
    </cfRule>
  </conditionalFormatting>
  <conditionalFormatting sqref="J338">
    <cfRule type="expression" dxfId="816" priority="135">
      <formula>$B$300&lt;&gt;""</formula>
    </cfRule>
  </conditionalFormatting>
  <conditionalFormatting sqref="J342">
    <cfRule type="expression" dxfId="815" priority="134">
      <formula>$B$300&lt;&gt;""</formula>
    </cfRule>
  </conditionalFormatting>
  <conditionalFormatting sqref="J348">
    <cfRule type="expression" dxfId="814" priority="132">
      <formula>$B$300&lt;&gt;""</formula>
    </cfRule>
  </conditionalFormatting>
  <conditionalFormatting sqref="J352">
    <cfRule type="expression" dxfId="813" priority="131">
      <formula>$B$300&lt;&gt;""</formula>
    </cfRule>
  </conditionalFormatting>
  <conditionalFormatting sqref="J356">
    <cfRule type="expression" dxfId="812" priority="130">
      <formula>$B$300&lt;&gt;""</formula>
    </cfRule>
  </conditionalFormatting>
  <conditionalFormatting sqref="J361:J362">
    <cfRule type="expression" dxfId="811" priority="126">
      <formula>$B$300&lt;&gt;""</formula>
    </cfRule>
  </conditionalFormatting>
  <conditionalFormatting sqref="J13:L15">
    <cfRule type="expression" dxfId="810" priority="2289">
      <formula>B13="N/A"</formula>
    </cfRule>
  </conditionalFormatting>
  <conditionalFormatting sqref="J68:L71">
    <cfRule type="expression" dxfId="809" priority="40">
      <formula>$G$68="Not Met"</formula>
    </cfRule>
    <cfRule type="expression" dxfId="808" priority="39">
      <formula>$J$68&lt;&gt;""</formula>
    </cfRule>
  </conditionalFormatting>
  <conditionalFormatting sqref="J92:L92">
    <cfRule type="expression" dxfId="807" priority="42">
      <formula>$J$92&lt;&gt;""</formula>
    </cfRule>
  </conditionalFormatting>
  <conditionalFormatting sqref="J106:L106">
    <cfRule type="expression" dxfId="806" priority="43">
      <formula>$J$106&lt;&gt;""</formula>
    </cfRule>
    <cfRule type="expression" dxfId="805" priority="45">
      <formula>$G$106="Not Met"</formula>
    </cfRule>
  </conditionalFormatting>
  <conditionalFormatting sqref="J107:L107">
    <cfRule type="expression" dxfId="804" priority="44">
      <formula>$J$107&lt;&gt;""</formula>
    </cfRule>
  </conditionalFormatting>
  <conditionalFormatting sqref="J126:L127 J167">
    <cfRule type="expression" dxfId="803" priority="106">
      <formula>G124="N/A"</formula>
    </cfRule>
  </conditionalFormatting>
  <conditionalFormatting sqref="J131:L131 J162:L162">
    <cfRule type="expression" dxfId="802" priority="2046">
      <formula>G124="N/A"</formula>
    </cfRule>
  </conditionalFormatting>
  <conditionalFormatting sqref="J136:L136">
    <cfRule type="expression" dxfId="801" priority="51">
      <formula>G133="N/A"</formula>
    </cfRule>
  </conditionalFormatting>
  <conditionalFormatting sqref="J136:L137">
    <cfRule type="expression" dxfId="800" priority="50">
      <formula>$J$136&lt;&gt;""</formula>
    </cfRule>
  </conditionalFormatting>
  <conditionalFormatting sqref="J139:L139 J129:L129 J160:L160">
    <cfRule type="expression" dxfId="799" priority="2058">
      <formula>G124="N/A"</formula>
    </cfRule>
  </conditionalFormatting>
  <conditionalFormatting sqref="J139:L139">
    <cfRule type="expression" dxfId="798" priority="57">
      <formula>$J$139&lt;&gt;""</formula>
    </cfRule>
  </conditionalFormatting>
  <conditionalFormatting sqref="J140:L140 J130:L130 J161:L161">
    <cfRule type="expression" dxfId="797" priority="2052">
      <formula>G124="N/A"</formula>
    </cfRule>
  </conditionalFormatting>
  <conditionalFormatting sqref="J140:L141">
    <cfRule type="expression" dxfId="796" priority="58">
      <formula>$J$140&lt;&gt;""</formula>
    </cfRule>
  </conditionalFormatting>
  <conditionalFormatting sqref="J142:L142">
    <cfRule type="expression" dxfId="795" priority="2040">
      <formula>G134="N/A"</formula>
    </cfRule>
  </conditionalFormatting>
  <conditionalFormatting sqref="J142:L143">
    <cfRule type="expression" dxfId="794" priority="59">
      <formula>$J$142&lt;&gt;""</formula>
    </cfRule>
  </conditionalFormatting>
  <conditionalFormatting sqref="J149:L151">
    <cfRule type="expression" dxfId="793" priority="123">
      <formula>J149&lt;&gt;""</formula>
    </cfRule>
    <cfRule type="expression" dxfId="792" priority="124">
      <formula>G149="Not Met"</formula>
    </cfRule>
  </conditionalFormatting>
  <conditionalFormatting sqref="J153:L153">
    <cfRule type="expression" dxfId="791" priority="66">
      <formula>$J$153&lt;&gt;""</formula>
    </cfRule>
  </conditionalFormatting>
  <conditionalFormatting sqref="J157:L157">
    <cfRule type="expression" dxfId="790" priority="2065">
      <formula>G155="N/A"</formula>
    </cfRule>
  </conditionalFormatting>
  <conditionalFormatting sqref="J159:L159">
    <cfRule type="expression" dxfId="789" priority="2024">
      <formula>G155="N/A"</formula>
    </cfRule>
  </conditionalFormatting>
  <conditionalFormatting sqref="J163:L163">
    <cfRule type="expression" dxfId="788" priority="1968">
      <formula>G155="N/A"</formula>
    </cfRule>
  </conditionalFormatting>
  <conditionalFormatting sqref="J168:L168">
    <cfRule type="expression" dxfId="787" priority="2">
      <formula>$J$168&lt;&gt;""</formula>
    </cfRule>
    <cfRule type="expression" dxfId="786" priority="19">
      <formula>$G$168="Not Met"</formula>
    </cfRule>
  </conditionalFormatting>
  <conditionalFormatting sqref="J169:L169">
    <cfRule type="expression" dxfId="785" priority="1">
      <formula>$J$169&lt;&gt;""</formula>
    </cfRule>
    <cfRule type="expression" dxfId="784" priority="18">
      <formula>$G$169="Not Met"</formula>
    </cfRule>
  </conditionalFormatting>
  <conditionalFormatting sqref="J170:L170">
    <cfRule type="expression" dxfId="783" priority="17">
      <formula>$G$170="Not Met"</formula>
    </cfRule>
  </conditionalFormatting>
  <conditionalFormatting sqref="J172:L172">
    <cfRule type="expression" dxfId="782" priority="48">
      <formula>$J$172&lt;&gt;""</formula>
    </cfRule>
  </conditionalFormatting>
  <conditionalFormatting sqref="J173:L173">
    <cfRule type="expression" dxfId="781" priority="47">
      <formula>$J$173&lt;&gt;""</formula>
    </cfRule>
  </conditionalFormatting>
  <conditionalFormatting sqref="J174:L174">
    <cfRule type="expression" dxfId="780" priority="46">
      <formula>$J$174&lt;&gt;""</formula>
    </cfRule>
  </conditionalFormatting>
  <conditionalFormatting sqref="J206:L206">
    <cfRule type="expression" dxfId="779" priority="14">
      <formula>$J$206&lt;&gt;""</formula>
    </cfRule>
  </conditionalFormatting>
  <conditionalFormatting sqref="J207:L207">
    <cfRule type="expression" dxfId="778" priority="13">
      <formula>$J$207&lt;&gt;""</formula>
    </cfRule>
  </conditionalFormatting>
  <conditionalFormatting sqref="J208:L208">
    <cfRule type="expression" dxfId="777" priority="12">
      <formula>$J$208&lt;&gt;""</formula>
    </cfRule>
  </conditionalFormatting>
  <conditionalFormatting sqref="J227:L227">
    <cfRule type="expression" dxfId="776" priority="365">
      <formula>$J$227&lt;&gt;""</formula>
    </cfRule>
    <cfRule type="expression" dxfId="775" priority="366">
      <formula>$G$227="Not Met"</formula>
    </cfRule>
  </conditionalFormatting>
  <conditionalFormatting sqref="J233:L233">
    <cfRule type="expression" dxfId="774" priority="352">
      <formula>$G$233="Not Met"</formula>
    </cfRule>
    <cfRule type="expression" dxfId="773" priority="351">
      <formula>$J$233&gt;0</formula>
    </cfRule>
  </conditionalFormatting>
  <conditionalFormatting sqref="N292:N293">
    <cfRule type="expression" dxfId="772" priority="1709">
      <formula>#REF!-#REF!&gt;=1</formula>
    </cfRule>
  </conditionalFormatting>
  <conditionalFormatting sqref="O292:P293">
    <cfRule type="expression" dxfId="771" priority="1708">
      <formula>#REF!-#REF!&gt;=1</formula>
    </cfRule>
  </conditionalFormatting>
  <dataValidations count="14">
    <dataValidation type="list" allowBlank="1" showInputMessage="1" showErrorMessage="1" sqref="G11" xr:uid="{00000000-0002-0000-0200-000001000000}">
      <formula1>"Met, Not Met"</formula1>
    </dataValidation>
    <dataValidation type="list" allowBlank="1" showInputMessage="1" showErrorMessage="1" sqref="H50:H54 H78:H83 H234:H235 H119:H122 H107 H274:H279 H126:H127 H129:H132 H139:H143 H167 H289:H290 H157 H64:H66 H153 H192 H181:H182 H256 H68:H72 H262:H268 H270:H272 H260 H219:H221 H284:H287 H206:H209 H110:H116 H159 H197:H198 H223:H224 H146:H148 H186:H188 H200:H202 H31:H34 H58:H60 H213:H215 H172 H17:H19 H23:H29 H39:H46 H136:H137 H86:H89 H92:H95 H239:H254 H228:H230 H176:H177 H11 H13:H15" xr:uid="{00000000-0002-0000-0200-000002000000}">
      <formula1>"Yes, No, N/A"</formula1>
    </dataValidation>
    <dataValidation type="list" allowBlank="1" showInputMessage="1" showErrorMessage="1" sqref="C11:F11" xr:uid="{00000000-0002-0000-0200-000003000000}">
      <formula1>Sponsorship</formula1>
    </dataValidation>
    <dataValidation type="list" allowBlank="1" showInputMessage="1" showErrorMessage="1" sqref="G209 G235 G290" xr:uid="{00000000-0002-0000-0200-000004000000}">
      <formula1>"Met, Not Met, N/A"</formula1>
    </dataValidation>
    <dataValidation type="list" allowBlank="1" showInputMessage="1" showErrorMessage="1" sqref="G124 G294 G155 G134" xr:uid="{00000000-0002-0000-0200-000005000000}">
      <formula1>"Yes, N/A"</formula1>
    </dataValidation>
    <dataValidation type="list" allowBlank="1" showInputMessage="1" showErrorMessage="1" sqref="J124" xr:uid="{00000000-0002-0000-0200-000006000000}">
      <formula1>"1, 2, 3, 4, 5"</formula1>
    </dataValidation>
    <dataValidation type="list" allowBlank="1" showInputMessage="1" showErrorMessage="1" sqref="J134" xr:uid="{00000000-0002-0000-0200-000007000000}">
      <formula1>"1, 2, 3, 4, 5, 6, 7, 8, 9, 10, 11, 12, 13, 14, 15, 16, 17, 18, 19, 20"</formula1>
    </dataValidation>
    <dataValidation type="list" allowBlank="1" showInputMessage="1" showErrorMessage="1" sqref="J155" xr:uid="{00000000-0002-0000-0200-000008000000}">
      <formula1>"1, 1 (Same as PD), 2, 3, 4, 5, 6, 7, 8, 9, 10"</formula1>
    </dataValidation>
    <dataValidation type="list" allowBlank="1" showInputMessage="1" showErrorMessage="1" sqref="J338 J336 J342 J348 J352 J356 J361:J362 G302 K310:K312 J332 G165" xr:uid="{00000000-0002-0000-0200-000009000000}">
      <formula1>"Yes, No"</formula1>
    </dataValidation>
    <dataValidation type="list" allowBlank="1" showInputMessage="1" showErrorMessage="1" sqref="G293" xr:uid="{00000000-0002-0000-0200-00000B000000}">
      <formula1>"N/A, 1, 2, 3, 4"</formula1>
    </dataValidation>
    <dataValidation type="list" allowBlank="1" showInputMessage="1" showErrorMessage="1" sqref="G292" xr:uid="{48C5D2C4-E69C-466D-8A85-3225E56D83FF}">
      <formula1>"N/A, 1, 2, 3, 4, 5, 6, 7, 8, 9, 10, 11, 12, 13, 14, 15, 16"</formula1>
    </dataValidation>
    <dataValidation type="list" allowBlank="1" showInputMessage="1" showErrorMessage="1" sqref="G295" xr:uid="{4D0E0018-08C2-4FBE-B316-47E054EA1417}">
      <formula1>"1, 2, 3, 4"</formula1>
    </dataValidation>
    <dataValidation type="list" allowBlank="1" showInputMessage="1" showErrorMessage="1" sqref="J165" xr:uid="{553E93ED-9F58-4AAD-8E67-CA9B7114ADE2}">
      <formula1>"1, 1 (Same as PD), 2, 3, 4, 5"</formula1>
    </dataValidation>
    <dataValidation type="list" allowBlank="1" showInputMessage="1" showErrorMessage="1" sqref="G23:G29 G31:G34 G39:G46 G50:G54 G58:G60 G64:G66 G68:G72 G77:G83 G86:G95 G103:G107 G110:G116 G118:G122 G13:G15 G17:G19 G129 G131:G132 G130 G126:G127 G142:G143 G140:G141 G139 G136:G137 G146:G148 G153 G163 G162 G161 G160 G159 G157 G167 G168 G169 G170 G172 G173 G174 G176:G177 G181:G182 G186:G188 G192:G193 G197:G198 G200:G202 G206 G207 G208 G213:G215 G219:G221 G223 G224 G227:G228 G229 G230:G231 G233:G234 G238 G239 G240 G241 G242 G243 G244 G245 G246 G247 G248 G249 G250 G251 G252 G253 G254:G255 G256 G260 G262:G264 G265:G266 G267:G268 G270:G271 G272 G274 G275 G276 G277 G278:G279 G284:G287 G289" xr:uid="{ED57B0DB-3066-40ED-9B07-1E5AC0223FDE}">
      <formula1>MetNADNE</formula1>
    </dataValidation>
  </dataValidations>
  <hyperlinks>
    <hyperlink ref="I5" location="'SV Findings'!G199" display="'SV Findings'!G199" xr:uid="{00000000-0004-0000-0200-000000000000}"/>
    <hyperlink ref="J5" location="'SV Findings'!G222" display="'SV Findings'!G222" xr:uid="{00000000-0004-0000-0200-000001000000}"/>
    <hyperlink ref="E5:F5" location="'SV Findings'!G19" display="'SV Findings'!G19" xr:uid="{00000000-0004-0000-0200-000002000000}"/>
    <hyperlink ref="G5:H5" location="'SV Findings'!G36" display="'SV Findings'!G36" xr:uid="{00000000-0004-0000-0200-000003000000}"/>
    <hyperlink ref="C5:D5" location="'SV Findings'!G10" display="'SV Findings'!G10" xr:uid="{00000000-0004-0000-0200-000004000000}"/>
  </hyperlinks>
  <pageMargins left="0.45" right="0.45" top="0.5" bottom="0.5" header="0.3" footer="0.3"/>
  <pageSetup scale="72" fitToHeight="0" orientation="landscape" r:id="rId3"/>
  <rowBreaks count="19" manualBreakCount="19">
    <brk id="19" min="1" max="11" man="1"/>
    <brk id="31" min="1" max="11" man="1"/>
    <brk id="45" min="1" max="11" man="1"/>
    <brk id="58" min="1" max="11" man="1"/>
    <brk id="71" min="1" max="11" man="1"/>
    <brk id="83" min="1" max="11" man="1"/>
    <brk id="93" min="1" max="11" man="1"/>
    <brk id="98" min="1" max="11" man="1"/>
    <brk id="122" min="1" max="11" man="1"/>
    <brk id="137" min="1" max="11" man="1"/>
    <brk id="153" min="1" max="11" man="1"/>
    <brk id="170" min="1" max="11" man="1"/>
    <brk id="185" min="1" max="11" man="1"/>
    <brk id="198" min="1" max="11" man="1"/>
    <brk id="208" min="1" max="11" man="1"/>
    <brk id="221" min="1" max="11" man="1"/>
    <brk id="234" min="1" max="11" man="1"/>
    <brk id="268" min="1" max="11" man="1"/>
    <brk id="282" min="1" max="11" man="1"/>
  </rowBreaks>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9"/>
    <pageSetUpPr fitToPage="1"/>
  </sheetPr>
  <dimension ref="A2:XFD337"/>
  <sheetViews>
    <sheetView showGridLines="0" zoomScaleNormal="100" workbookViewId="0">
      <selection activeCell="A24" sqref="A24:XFD24"/>
    </sheetView>
  </sheetViews>
  <sheetFormatPr defaultColWidth="9.125" defaultRowHeight="14.25"/>
  <cols>
    <col min="1" max="1" width="3.625" customWidth="1"/>
    <col min="2" max="2" width="12.5" customWidth="1"/>
    <col min="3" max="3" width="32.125" customWidth="1"/>
    <col min="4" max="4" width="15.625" customWidth="1"/>
    <col min="5" max="5" width="30.625" customWidth="1"/>
    <col min="6" max="6" width="10.625" customWidth="1"/>
    <col min="7" max="7" width="40.625" customWidth="1"/>
    <col min="8" max="8" width="3.625" customWidth="1"/>
    <col min="9" max="9" width="12.5" customWidth="1"/>
    <col min="10" max="10" width="32.125" customWidth="1"/>
    <col min="11" max="11" width="15.625" customWidth="1"/>
    <col min="12" max="12" width="30.625" customWidth="1"/>
    <col min="13" max="13" width="10.625" customWidth="1"/>
    <col min="14" max="14" width="40.625" customWidth="1"/>
    <col min="15" max="15" width="3.625" customWidth="1"/>
    <col min="16" max="16" width="12.5" customWidth="1"/>
    <col min="17" max="17" width="32.125" customWidth="1"/>
    <col min="18" max="18" width="15.625" customWidth="1"/>
    <col min="19" max="19" width="30.625" customWidth="1"/>
    <col min="20" max="20" width="10.625" customWidth="1"/>
    <col min="21" max="21" width="40.625" customWidth="1"/>
    <col min="22" max="22" width="3.625" customWidth="1"/>
    <col min="23" max="23" width="12.5" customWidth="1"/>
    <col min="24" max="24" width="32.125" customWidth="1"/>
    <col min="25" max="25" width="15.625" customWidth="1"/>
    <col min="26" max="26" width="30.625" customWidth="1"/>
    <col min="27" max="27" width="10.625" customWidth="1"/>
    <col min="28" max="28" width="40.625" customWidth="1"/>
    <col min="29" max="29" width="3.625" customWidth="1"/>
    <col min="30" max="30" width="12.5" customWidth="1"/>
    <col min="31" max="31" width="32.125" customWidth="1"/>
    <col min="32" max="32" width="15.625" customWidth="1"/>
    <col min="33" max="33" width="30.625" customWidth="1"/>
    <col min="34" max="34" width="10.625" customWidth="1"/>
    <col min="35" max="35" width="40.625" customWidth="1"/>
    <col min="36" max="36" width="3.625" customWidth="1"/>
    <col min="37" max="37" width="12.5" customWidth="1"/>
    <col min="38" max="38" width="32.125" customWidth="1"/>
    <col min="39" max="39" width="15.625" customWidth="1"/>
    <col min="40" max="40" width="30.625" customWidth="1"/>
    <col min="41" max="41" width="10.625" customWidth="1"/>
    <col min="42" max="42" width="40.625" customWidth="1"/>
    <col min="43" max="43" width="3.625" customWidth="1"/>
    <col min="44" max="44" width="12.5" customWidth="1"/>
    <col min="45" max="45" width="32.125" customWidth="1"/>
    <col min="46" max="46" width="15.625" customWidth="1"/>
    <col min="47" max="47" width="30.625" customWidth="1"/>
    <col min="48" max="48" width="10.625" customWidth="1"/>
    <col min="49" max="49" width="40.625" customWidth="1"/>
    <col min="50" max="50" width="3.625" customWidth="1"/>
    <col min="51" max="51" width="12.5" customWidth="1"/>
    <col min="52" max="52" width="32.125" customWidth="1"/>
    <col min="53" max="53" width="15.625" customWidth="1"/>
    <col min="54" max="54" width="30.625" customWidth="1"/>
    <col min="55" max="55" width="10.625" customWidth="1"/>
    <col min="56" max="56" width="40.625" customWidth="1"/>
    <col min="57" max="57" width="3.625" customWidth="1"/>
    <col min="58" max="58" width="12.5" customWidth="1"/>
    <col min="59" max="59" width="32.125" customWidth="1"/>
    <col min="60" max="60" width="15.625" customWidth="1"/>
    <col min="61" max="61" width="30.625" customWidth="1"/>
    <col min="62" max="62" width="10.625" customWidth="1"/>
    <col min="63" max="63" width="40.625" customWidth="1"/>
    <col min="64" max="64" width="3.625" customWidth="1"/>
    <col min="65" max="65" width="12.5" customWidth="1"/>
    <col min="66" max="66" width="32.125" customWidth="1"/>
    <col min="67" max="67" width="15.625" customWidth="1"/>
    <col min="68" max="68" width="30.625" customWidth="1"/>
    <col min="69" max="69" width="10.625" customWidth="1"/>
    <col min="70" max="70" width="40.625" customWidth="1"/>
    <col min="71" max="71" width="3.625" customWidth="1"/>
  </cols>
  <sheetData>
    <row r="2" spans="2:12" ht="83.25" customHeight="1">
      <c r="B2" s="798" t="s">
        <v>260</v>
      </c>
      <c r="C2" s="798"/>
      <c r="D2" s="798"/>
      <c r="E2" s="798"/>
      <c r="F2" s="798"/>
      <c r="G2" s="799"/>
    </row>
    <row r="3" spans="2:12" ht="20.25" customHeight="1">
      <c r="B3" s="785">
        <f>'Cover Page'!D10</f>
        <v>0</v>
      </c>
      <c r="C3" s="786"/>
      <c r="D3" s="765">
        <f>'Cover Page'!D12</f>
        <v>0</v>
      </c>
      <c r="E3" s="765"/>
      <c r="F3" s="765"/>
      <c r="G3" s="766"/>
    </row>
    <row r="4" spans="2:12" ht="35.1" customHeight="1">
      <c r="B4" s="767" t="s">
        <v>598</v>
      </c>
      <c r="C4" s="768"/>
      <c r="D4" s="768"/>
      <c r="E4" s="768"/>
      <c r="F4" s="768"/>
      <c r="G4" s="769"/>
    </row>
    <row r="5" spans="2:12" s="146" customFormat="1" ht="27" customHeight="1">
      <c r="B5" s="718" t="str">
        <f>IF('Cover Page'!$D$8&lt;&gt;"Please Select",'Cover Page'!$D$8, "")</f>
        <v/>
      </c>
      <c r="C5" s="718"/>
      <c r="D5" s="718"/>
      <c r="E5" s="718"/>
      <c r="F5" s="718"/>
      <c r="G5" s="719"/>
      <c r="H5"/>
      <c r="I5"/>
      <c r="J5"/>
      <c r="K5"/>
      <c r="L5"/>
    </row>
    <row r="6" spans="2:12" s="7" customFormat="1" ht="47.1" customHeight="1">
      <c r="B6" s="770" t="s">
        <v>224</v>
      </c>
      <c r="C6" s="771"/>
      <c r="D6" s="771"/>
      <c r="E6" s="771"/>
      <c r="F6" s="771"/>
      <c r="G6" s="772"/>
    </row>
    <row r="7" spans="2:12" s="7" customFormat="1" ht="179.25" customHeight="1">
      <c r="B7" s="776" t="s">
        <v>225</v>
      </c>
      <c r="C7" s="777"/>
      <c r="D7" s="777"/>
      <c r="E7" s="777"/>
      <c r="F7" s="777"/>
      <c r="G7" s="778"/>
    </row>
    <row r="8" spans="2:12" ht="66" customHeight="1">
      <c r="B8" s="803" t="s">
        <v>586</v>
      </c>
      <c r="C8" s="804"/>
      <c r="D8" s="804"/>
      <c r="E8" s="804"/>
      <c r="F8" s="804"/>
      <c r="G8" s="805"/>
    </row>
    <row r="9" spans="2:12" s="146" customFormat="1" ht="27" customHeight="1">
      <c r="B9" s="718" t="str">
        <f>IF('Cover Page'!$D$8&lt;&gt;"Please Select",'Cover Page'!$D$8, "")</f>
        <v/>
      </c>
      <c r="C9" s="718"/>
      <c r="D9" s="718"/>
      <c r="E9" s="718"/>
      <c r="F9" s="718"/>
      <c r="G9" s="719"/>
      <c r="H9"/>
      <c r="I9"/>
      <c r="J9"/>
      <c r="K9"/>
      <c r="L9"/>
    </row>
    <row r="10" spans="2:12" ht="24.75" customHeight="1">
      <c r="B10" s="729" t="s">
        <v>579</v>
      </c>
      <c r="C10" s="730"/>
      <c r="D10" s="731"/>
      <c r="E10" s="731"/>
      <c r="F10" s="731"/>
      <c r="G10" s="732"/>
    </row>
    <row r="11" spans="2:12" ht="56.25" customHeight="1">
      <c r="B11" s="443" t="s">
        <v>587</v>
      </c>
      <c r="C11" s="444"/>
      <c r="D11" s="444"/>
      <c r="E11" s="444"/>
      <c r="F11" s="444"/>
      <c r="G11" s="445"/>
    </row>
    <row r="12" spans="2:12" ht="53.25" customHeight="1">
      <c r="B12" s="748" t="s">
        <v>588</v>
      </c>
      <c r="C12" s="749"/>
      <c r="D12" s="749"/>
      <c r="E12" s="749"/>
      <c r="F12" s="749"/>
      <c r="G12" s="750"/>
    </row>
    <row r="13" spans="2:12" s="2" customFormat="1" ht="15.75">
      <c r="B13" s="240" t="s">
        <v>226</v>
      </c>
      <c r="C13" s="782"/>
      <c r="D13" s="783"/>
      <c r="E13" s="783"/>
      <c r="F13" s="783"/>
      <c r="G13" s="784"/>
    </row>
    <row r="14" spans="2:12" s="2" customFormat="1" ht="15.75">
      <c r="B14" s="240" t="s">
        <v>289</v>
      </c>
      <c r="C14" s="782"/>
      <c r="D14" s="783"/>
      <c r="E14" s="783"/>
      <c r="F14" s="783"/>
      <c r="G14" s="784"/>
    </row>
    <row r="15" spans="2:12" s="2" customFormat="1" ht="15.75">
      <c r="B15" s="240" t="s">
        <v>227</v>
      </c>
      <c r="C15" s="782"/>
      <c r="D15" s="783"/>
      <c r="E15" s="783"/>
      <c r="F15" s="783"/>
      <c r="G15" s="784"/>
    </row>
    <row r="16" spans="2:12" s="2" customFormat="1" ht="15.75">
      <c r="B16" s="240" t="s">
        <v>228</v>
      </c>
      <c r="C16" s="782"/>
      <c r="D16" s="783"/>
      <c r="E16" s="783"/>
      <c r="F16" s="783"/>
      <c r="G16" s="784"/>
    </row>
    <row r="17" spans="2:23" s="2" customFormat="1" ht="15.75">
      <c r="B17" s="240" t="s">
        <v>229</v>
      </c>
      <c r="C17" s="782"/>
      <c r="D17" s="783"/>
      <c r="E17" s="783"/>
      <c r="F17" s="783"/>
      <c r="G17" s="784"/>
    </row>
    <row r="18" spans="2:23" s="2" customFormat="1" ht="15.75">
      <c r="B18" s="240" t="s">
        <v>230</v>
      </c>
      <c r="C18" s="782"/>
      <c r="D18" s="783"/>
      <c r="E18" s="783"/>
      <c r="F18" s="783"/>
      <c r="G18" s="784"/>
      <c r="Q18" s="49"/>
    </row>
    <row r="19" spans="2:23" s="2" customFormat="1" ht="15.75">
      <c r="B19" s="240" t="s">
        <v>231</v>
      </c>
      <c r="C19" s="782"/>
      <c r="D19" s="783"/>
      <c r="E19" s="783"/>
      <c r="F19" s="783"/>
      <c r="G19" s="784"/>
      <c r="Q19" s="49"/>
    </row>
    <row r="20" spans="2:23" s="2" customFormat="1" ht="15.75">
      <c r="B20" s="240" t="s">
        <v>232</v>
      </c>
      <c r="C20" s="782"/>
      <c r="D20" s="783"/>
      <c r="E20" s="783"/>
      <c r="F20" s="783"/>
      <c r="G20" s="784"/>
      <c r="Q20" s="49"/>
    </row>
    <row r="21" spans="2:23" s="2" customFormat="1" ht="15.75">
      <c r="B21" s="240" t="s">
        <v>233</v>
      </c>
      <c r="C21" s="782"/>
      <c r="D21" s="783"/>
      <c r="E21" s="783"/>
      <c r="F21" s="783"/>
      <c r="G21" s="784"/>
      <c r="Q21" s="49"/>
    </row>
    <row r="22" spans="2:23" s="2" customFormat="1" ht="15.75">
      <c r="B22" s="240" t="s">
        <v>234</v>
      </c>
      <c r="C22" s="782"/>
      <c r="D22" s="783"/>
      <c r="E22" s="783"/>
      <c r="F22" s="783"/>
      <c r="G22" s="784"/>
      <c r="Q22" s="49"/>
    </row>
    <row r="23" spans="2:23" s="2" customFormat="1" ht="15.75">
      <c r="B23" s="240" t="s">
        <v>235</v>
      </c>
      <c r="C23" s="782"/>
      <c r="D23" s="783"/>
      <c r="E23" s="783"/>
      <c r="F23" s="783"/>
      <c r="G23" s="784"/>
      <c r="Q23" s="49"/>
    </row>
    <row r="24" spans="2:23" s="2" customFormat="1" ht="15.75">
      <c r="B24" s="240" t="s">
        <v>236</v>
      </c>
      <c r="C24" s="782"/>
      <c r="D24" s="783"/>
      <c r="E24" s="783"/>
      <c r="F24" s="783"/>
      <c r="G24" s="784"/>
      <c r="Q24" s="49"/>
    </row>
    <row r="25" spans="2:23" s="2" customFormat="1" ht="15.75">
      <c r="B25" s="240" t="s">
        <v>237</v>
      </c>
      <c r="C25" s="782"/>
      <c r="D25" s="783"/>
      <c r="E25" s="783"/>
      <c r="F25" s="783"/>
      <c r="G25" s="784"/>
      <c r="Q25" s="49"/>
    </row>
    <row r="26" spans="2:23" s="2" customFormat="1" ht="15.75">
      <c r="B26" s="240" t="s">
        <v>238</v>
      </c>
      <c r="C26" s="782"/>
      <c r="D26" s="783"/>
      <c r="E26" s="783"/>
      <c r="F26" s="783"/>
      <c r="G26" s="784"/>
      <c r="Q26" s="49"/>
      <c r="R26" s="49"/>
      <c r="S26" s="49"/>
      <c r="T26" s="49"/>
      <c r="U26" s="49"/>
      <c r="V26" s="49"/>
      <c r="W26" s="49"/>
    </row>
    <row r="27" spans="2:23" s="2" customFormat="1" ht="15.75">
      <c r="B27" s="240" t="s">
        <v>239</v>
      </c>
      <c r="C27" s="782"/>
      <c r="D27" s="783"/>
      <c r="E27" s="783"/>
      <c r="F27" s="783"/>
      <c r="G27" s="784"/>
      <c r="Q27" s="49"/>
      <c r="R27" s="49"/>
      <c r="S27" s="49"/>
      <c r="T27" s="49"/>
      <c r="U27" s="49"/>
      <c r="V27" s="49"/>
      <c r="W27" s="49"/>
    </row>
    <row r="28" spans="2:23" ht="7.5" hidden="1" customHeight="1">
      <c r="B28" s="773"/>
      <c r="C28" s="774"/>
      <c r="D28" s="774"/>
      <c r="E28" s="774"/>
      <c r="F28" s="774"/>
      <c r="G28" s="775"/>
      <c r="Q28" s="11"/>
      <c r="R28" s="11"/>
      <c r="S28" s="11"/>
      <c r="T28" s="11"/>
      <c r="U28" s="11"/>
      <c r="V28" s="11"/>
      <c r="W28" s="11"/>
    </row>
    <row r="29" spans="2:23" ht="31.5" customHeight="1">
      <c r="B29" s="787" t="s">
        <v>772</v>
      </c>
      <c r="C29" s="788"/>
      <c r="D29" s="788"/>
      <c r="E29" s="788"/>
      <c r="F29" s="788"/>
      <c r="G29" s="789"/>
      <c r="H29" s="717"/>
      <c r="I29" s="717"/>
      <c r="J29" s="717"/>
      <c r="K29" s="717"/>
      <c r="L29" s="717"/>
      <c r="M29" s="717"/>
      <c r="N29" s="717"/>
      <c r="O29" s="717"/>
      <c r="Q29" s="11"/>
      <c r="R29" s="11"/>
      <c r="S29" s="11"/>
      <c r="T29" s="11"/>
      <c r="U29" s="11"/>
      <c r="V29" s="11"/>
      <c r="W29" s="11"/>
    </row>
    <row r="30" spans="2:23" ht="71.25" customHeight="1">
      <c r="B30" s="790" t="str">
        <f>IF('Satellite(s)'!M4&lt;&gt;0,"The main location and any satellite locations noted in the Site Visit Findings tab of this report are listed below along with the"&amp;" Standard heading and a rationale why it is NOT met.  The Site Visit Team should include any further comments in the 'Additional Comments' column. "&amp;"The row height can be manually adjusted by placing the cursor over the row line and 'pulling' the row down.  Do not delete any rows.","The Site Visit Findings tab of this report are listed below along with the"&amp;" Standard heading and a rationale why it is NOT met.  "&amp;" The Site Visit Team should include any further comments in the 'Additional Comments' column. "&amp;"The row height can be manually adjusted by placing the cursor over the row line and 'pulling' the row down.  Do not delete any rows.")</f>
        <v>The Site Visit Findings tab of this report are listed below along with the Standard heading and a rationale why it is NOT met.   The Site Visit Team should include any further comments in the 'Additional Comments' column. The row height can be manually adjusted by placing the cursor over the row line and 'pulling' the row down.  Do not delete any rows.</v>
      </c>
      <c r="C30" s="791"/>
      <c r="D30" s="791"/>
      <c r="E30" s="791"/>
      <c r="F30" s="791"/>
      <c r="G30" s="792"/>
      <c r="H30" s="717"/>
      <c r="I30" s="717"/>
      <c r="J30" s="717"/>
      <c r="K30" s="717"/>
      <c r="L30" s="717"/>
      <c r="M30" s="717"/>
      <c r="N30" s="717"/>
      <c r="O30" s="717"/>
      <c r="Q30" s="11"/>
      <c r="R30" s="11"/>
      <c r="S30" s="11"/>
      <c r="T30" s="11"/>
      <c r="U30" s="11"/>
      <c r="V30" s="11"/>
      <c r="W30" s="11"/>
    </row>
    <row r="31" spans="2:23" ht="24" customHeight="1">
      <c r="B31" s="779" t="s">
        <v>589</v>
      </c>
      <c r="C31" s="780"/>
      <c r="D31" s="779" t="s">
        <v>240</v>
      </c>
      <c r="E31" s="780"/>
      <c r="F31" s="781"/>
      <c r="G31" s="290" t="s">
        <v>259</v>
      </c>
      <c r="H31" s="806"/>
      <c r="I31" s="806"/>
      <c r="J31" s="806"/>
      <c r="K31" s="806"/>
      <c r="L31" s="806"/>
      <c r="M31" s="806"/>
      <c r="N31" s="806"/>
      <c r="O31" s="806"/>
      <c r="Q31" s="11"/>
      <c r="R31" s="11"/>
      <c r="S31" s="11"/>
      <c r="T31" s="11"/>
      <c r="U31" s="11"/>
      <c r="V31" s="11"/>
      <c r="W31" s="11"/>
    </row>
    <row r="32" spans="2:23" s="2" customFormat="1" ht="15">
      <c r="B32" s="712" t="str">
        <f>IF('SV Findings'!G11="Not Met",'SV Findings'!C11,"")</f>
        <v/>
      </c>
      <c r="C32" s="795"/>
      <c r="D32" s="714" t="str">
        <f>IF('SV Findings'!G11="Not Met", 'SV Findings'!J11,"")</f>
        <v/>
      </c>
      <c r="E32" s="715"/>
      <c r="F32" s="716"/>
      <c r="G32" s="241"/>
      <c r="H32" s="793"/>
      <c r="I32" s="794"/>
      <c r="J32" s="794"/>
      <c r="K32" s="794"/>
      <c r="R32" s="49"/>
      <c r="S32" s="49"/>
      <c r="T32" s="49"/>
      <c r="U32" s="49"/>
      <c r="V32" s="49"/>
      <c r="W32" s="49"/>
    </row>
    <row r="33" spans="2:23" s="2" customFormat="1" ht="15">
      <c r="B33" s="712" t="str">
        <f>IF('SV Findings'!G13="Not Met",'SV Findings'!Q13,"")</f>
        <v/>
      </c>
      <c r="C33" s="795"/>
      <c r="D33" s="714" t="str">
        <f>IF('SV Findings'!G13="Not Met", 'SV Findings'!J13,"")</f>
        <v/>
      </c>
      <c r="E33" s="715"/>
      <c r="F33" s="716"/>
      <c r="G33" s="241"/>
      <c r="R33" s="49"/>
      <c r="S33" s="49"/>
      <c r="T33" s="49"/>
      <c r="U33" s="49"/>
      <c r="V33" s="49"/>
      <c r="W33" s="49"/>
    </row>
    <row r="34" spans="2:23" s="2" customFormat="1" ht="15">
      <c r="B34" s="712" t="str">
        <f>IF('SV Findings'!G15="Not Met",'SV Findings'!Q15,"")</f>
        <v/>
      </c>
      <c r="C34" s="713"/>
      <c r="D34" s="714" t="str">
        <f>IF('SV Findings'!G15="Not Met", 'SV Findings'!J15,"")</f>
        <v/>
      </c>
      <c r="E34" s="715"/>
      <c r="F34" s="716"/>
      <c r="G34" s="241"/>
      <c r="R34" s="49"/>
      <c r="S34" s="49"/>
      <c r="T34" s="49"/>
      <c r="U34" s="49"/>
      <c r="V34" s="49"/>
      <c r="W34" s="49"/>
    </row>
    <row r="35" spans="2:23" s="2" customFormat="1" ht="15">
      <c r="B35" s="712" t="str">
        <f>IF('SV Findings'!G12="Not Met",'SV Findings'!Q12,"")</f>
        <v/>
      </c>
      <c r="C35" s="713"/>
      <c r="D35" s="714" t="str">
        <f>IF('SV Findings'!G12="Not Met", 'SV Findings'!J12,"")</f>
        <v/>
      </c>
      <c r="E35" s="715"/>
      <c r="F35" s="716"/>
      <c r="G35" s="241"/>
      <c r="R35" s="49"/>
      <c r="S35" s="49"/>
      <c r="T35" s="49"/>
      <c r="U35" s="49"/>
      <c r="V35" s="49"/>
      <c r="W35" s="49"/>
    </row>
    <row r="36" spans="2:23" s="2" customFormat="1" ht="15">
      <c r="B36" s="712" t="str">
        <f>IF('SV Findings'!G17="Not Met", 'SV Findings'!Q17,"")</f>
        <v/>
      </c>
      <c r="C36" s="713"/>
      <c r="D36" s="714" t="str">
        <f>IF('SV Findings'!G17="Not Met", 'SV Findings'!J17,"")</f>
        <v/>
      </c>
      <c r="E36" s="715"/>
      <c r="F36" s="716"/>
      <c r="G36" s="241"/>
      <c r="R36" s="49"/>
      <c r="S36" s="49"/>
      <c r="T36" s="49"/>
      <c r="U36" s="49"/>
      <c r="V36" s="49"/>
      <c r="W36" s="49"/>
    </row>
    <row r="37" spans="2:23" s="2" customFormat="1" ht="15">
      <c r="B37" s="712" t="str">
        <f>IF('SV Findings'!G18="Not Met", 'SV Findings'!Q18,"")</f>
        <v/>
      </c>
      <c r="C37" s="713"/>
      <c r="D37" s="714" t="str">
        <f>IF('SV Findings'!G18="Not Met", 'SV Findings'!J18,"")</f>
        <v/>
      </c>
      <c r="E37" s="715"/>
      <c r="F37" s="716"/>
      <c r="G37" s="241"/>
      <c r="R37" s="49"/>
      <c r="S37" s="49"/>
      <c r="T37" s="49"/>
      <c r="U37" s="49"/>
      <c r="V37" s="49"/>
      <c r="W37" s="49"/>
    </row>
    <row r="38" spans="2:23" s="2" customFormat="1" ht="15">
      <c r="B38" s="712" t="str">
        <f>IF('SV Findings'!G19="Not Met", 'SV Findings'!Q19,"")</f>
        <v/>
      </c>
      <c r="C38" s="713"/>
      <c r="D38" s="714" t="str">
        <f>IF('SV Findings'!G19="Not Met", 'SV Findings'!J19,"")</f>
        <v/>
      </c>
      <c r="E38" s="715"/>
      <c r="F38" s="716"/>
      <c r="G38" s="241"/>
      <c r="R38" s="49"/>
      <c r="S38" s="49"/>
      <c r="T38" s="49"/>
      <c r="U38" s="49"/>
      <c r="V38" s="49"/>
      <c r="W38" s="49"/>
    </row>
    <row r="39" spans="2:23" s="2" customFormat="1" ht="15">
      <c r="B39" s="712" t="str">
        <f>IF('SV Findings'!G23="Not Met", 'SV Findings'!Q23,"")</f>
        <v/>
      </c>
      <c r="C39" s="713"/>
      <c r="D39" s="714" t="str">
        <f>IF('SV Findings'!G23="Not Met", 'SV Findings'!J23,"")</f>
        <v/>
      </c>
      <c r="E39" s="715"/>
      <c r="F39" s="716"/>
      <c r="G39" s="241"/>
      <c r="Q39" s="49"/>
      <c r="R39" s="49"/>
      <c r="S39" s="49"/>
      <c r="T39" s="49"/>
      <c r="U39" s="49"/>
      <c r="V39" s="49"/>
      <c r="W39" s="49"/>
    </row>
    <row r="40" spans="2:23" s="2" customFormat="1" ht="15">
      <c r="B40" s="712" t="str">
        <f>IF('SV Findings'!G24="Not Met", 'SV Findings'!Q24,"")</f>
        <v/>
      </c>
      <c r="C40" s="795"/>
      <c r="D40" s="714" t="str">
        <f>IF('SV Findings'!G24="Not Met", 'SV Findings'!J24,"")</f>
        <v/>
      </c>
      <c r="E40" s="715"/>
      <c r="F40" s="716"/>
      <c r="G40" s="241"/>
      <c r="R40" s="49"/>
      <c r="S40" s="49"/>
      <c r="T40" s="49"/>
      <c r="U40" s="49"/>
      <c r="V40" s="49"/>
      <c r="W40" s="49"/>
    </row>
    <row r="41" spans="2:23" s="2" customFormat="1" ht="15">
      <c r="B41" s="712" t="str">
        <f>IF('SV Findings'!G31="Not Met", 'SV Findings'!Q31,"")</f>
        <v/>
      </c>
      <c r="C41" s="713"/>
      <c r="D41" s="714" t="str">
        <f>IF('SV Findings'!G31="Not Met", 'SV Findings'!J31,"")</f>
        <v/>
      </c>
      <c r="E41" s="715"/>
      <c r="F41" s="716"/>
      <c r="G41" s="241"/>
      <c r="R41" s="49"/>
      <c r="S41" s="49"/>
      <c r="T41" s="49"/>
      <c r="U41" s="49"/>
      <c r="V41" s="49"/>
      <c r="W41" s="49"/>
    </row>
    <row r="42" spans="2:23" s="2" customFormat="1" ht="15">
      <c r="B42" s="712" t="str">
        <f>IF('SV Findings'!G32="Not Met", 'SV Findings'!Q32,"")</f>
        <v/>
      </c>
      <c r="C42" s="713"/>
      <c r="D42" s="714" t="str">
        <f>IF('SV Findings'!G32="Not Met", 'SV Findings'!J32,"")</f>
        <v/>
      </c>
      <c r="E42" s="715"/>
      <c r="F42" s="716"/>
      <c r="G42" s="241"/>
      <c r="Q42" s="49"/>
      <c r="R42" s="49"/>
      <c r="S42" s="49"/>
      <c r="T42" s="49"/>
      <c r="U42" s="49"/>
      <c r="V42" s="49"/>
      <c r="W42" s="49"/>
    </row>
    <row r="43" spans="2:23" s="2" customFormat="1" ht="15">
      <c r="B43" s="712" t="str">
        <f>IF('SV Findings'!G34="Not Met", 'SV Findings'!Q34,"")</f>
        <v/>
      </c>
      <c r="C43" s="713"/>
      <c r="D43" s="714" t="str">
        <f>IF('SV Findings'!G34="Not Met", 'SV Findings'!J34,"")</f>
        <v/>
      </c>
      <c r="E43" s="715"/>
      <c r="F43" s="716"/>
      <c r="G43" s="241"/>
      <c r="Q43" s="49"/>
      <c r="R43" s="49"/>
      <c r="S43" s="49"/>
      <c r="T43" s="49"/>
      <c r="U43" s="49"/>
      <c r="V43" s="49"/>
      <c r="W43" s="49"/>
    </row>
    <row r="44" spans="2:23" s="2" customFormat="1" ht="15">
      <c r="B44" s="712" t="str">
        <f>IF('SV Findings'!G39="Not Met", 'SV Findings'!Q39,"")</f>
        <v/>
      </c>
      <c r="C44" s="713"/>
      <c r="D44" s="714" t="str">
        <f>IF('SV Findings'!G39="Not Met", 'SV Findings'!J39,"")</f>
        <v/>
      </c>
      <c r="E44" s="715"/>
      <c r="F44" s="716"/>
      <c r="G44" s="241"/>
      <c r="H44" s="796"/>
      <c r="I44" s="797"/>
      <c r="J44" s="797"/>
      <c r="K44" s="797"/>
      <c r="Q44" s="49"/>
      <c r="R44" s="49"/>
      <c r="S44" s="49"/>
      <c r="T44" s="49"/>
      <c r="U44" s="49"/>
      <c r="V44" s="49"/>
      <c r="W44" s="49"/>
    </row>
    <row r="45" spans="2:23" s="2" customFormat="1" ht="15">
      <c r="B45" s="712" t="str">
        <f>IF('SV Findings'!G40="Not Met", 'SV Findings'!Q40,"")</f>
        <v/>
      </c>
      <c r="C45" s="713"/>
      <c r="D45" s="714" t="str">
        <f>IF('SV Findings'!G40="Not Met", 'SV Findings'!J40,"")</f>
        <v/>
      </c>
      <c r="E45" s="715"/>
      <c r="F45" s="716"/>
      <c r="G45" s="241"/>
      <c r="H45" s="796"/>
      <c r="I45" s="797"/>
      <c r="J45" s="797"/>
      <c r="K45" s="797"/>
      <c r="Q45" s="49"/>
      <c r="R45" s="49"/>
      <c r="S45" s="49"/>
      <c r="T45" s="49"/>
      <c r="U45" s="49"/>
      <c r="V45" s="49"/>
      <c r="W45" s="49"/>
    </row>
    <row r="46" spans="2:23" s="2" customFormat="1" ht="15">
      <c r="B46" s="712" t="str">
        <f>IF('SV Findings'!G41="Not Met", 'SV Findings'!Q41,"")</f>
        <v/>
      </c>
      <c r="C46" s="713"/>
      <c r="D46" s="714" t="str">
        <f>IF('SV Findings'!G41="Not Met", 'SV Findings'!J41,"")</f>
        <v/>
      </c>
      <c r="E46" s="715"/>
      <c r="F46" s="716"/>
      <c r="G46" s="241"/>
      <c r="H46" s="796"/>
      <c r="I46" s="797"/>
      <c r="J46" s="797"/>
      <c r="K46" s="797"/>
      <c r="Q46" s="49"/>
      <c r="R46" s="49"/>
      <c r="S46" s="49"/>
      <c r="T46" s="49"/>
      <c r="U46" s="49"/>
      <c r="V46" s="49"/>
      <c r="W46" s="49"/>
    </row>
    <row r="47" spans="2:23" s="2" customFormat="1" ht="15">
      <c r="B47" s="712" t="str">
        <f>IF('SV Findings'!G43="Not Met", 'SV Findings'!Q43,"")</f>
        <v/>
      </c>
      <c r="C47" s="713"/>
      <c r="D47" s="714" t="str">
        <f>IF('SV Findings'!G43="Not Met", 'SV Findings'!J43,"")</f>
        <v/>
      </c>
      <c r="E47" s="715"/>
      <c r="F47" s="716"/>
      <c r="G47" s="241"/>
      <c r="H47" s="796"/>
      <c r="I47" s="797"/>
      <c r="J47" s="797"/>
      <c r="K47" s="797"/>
      <c r="Q47" s="49"/>
      <c r="R47" s="49"/>
      <c r="S47" s="49"/>
      <c r="T47" s="49"/>
      <c r="U47" s="49"/>
      <c r="V47" s="49"/>
      <c r="W47" s="49"/>
    </row>
    <row r="48" spans="2:23" s="2" customFormat="1" ht="15">
      <c r="B48" s="712" t="str">
        <f>IF('SV Findings'!G44="Not Met", 'SV Findings'!Q44,"")</f>
        <v/>
      </c>
      <c r="C48" s="713"/>
      <c r="D48" s="714" t="str">
        <f>IF('SV Findings'!G44="Not Met", 'SV Findings'!J44,"")</f>
        <v/>
      </c>
      <c r="E48" s="715"/>
      <c r="F48" s="716"/>
      <c r="G48" s="241"/>
      <c r="H48" s="796"/>
      <c r="I48" s="797"/>
      <c r="J48" s="797"/>
      <c r="K48" s="797"/>
      <c r="Q48" s="49"/>
      <c r="R48" s="49"/>
      <c r="S48" s="49"/>
      <c r="T48" s="49"/>
      <c r="U48" s="49"/>
      <c r="V48" s="49"/>
      <c r="W48" s="49"/>
    </row>
    <row r="49" spans="2:23" s="2" customFormat="1" ht="15">
      <c r="B49" s="712" t="str">
        <f>IF('SV Findings'!G46="Not Met", 'SV Findings'!Q46,"")</f>
        <v/>
      </c>
      <c r="C49" s="713"/>
      <c r="D49" s="714" t="str">
        <f>IF('SV Findings'!G46="Not Met", 'SV Findings'!J46,"")</f>
        <v/>
      </c>
      <c r="E49" s="715"/>
      <c r="F49" s="716"/>
      <c r="G49" s="241"/>
      <c r="H49" s="796"/>
      <c r="I49" s="797"/>
      <c r="J49" s="797"/>
      <c r="K49" s="797"/>
      <c r="Q49" s="49"/>
      <c r="R49" s="49"/>
      <c r="S49" s="49"/>
      <c r="T49" s="49"/>
      <c r="U49" s="49"/>
      <c r="V49" s="49"/>
      <c r="W49" s="49"/>
    </row>
    <row r="50" spans="2:23" s="2" customFormat="1" ht="42" customHeight="1">
      <c r="B50" s="712" t="str">
        <f>IF('SV Findings'!G47="Not Met", 'SV Findings'!Q47,"")</f>
        <v/>
      </c>
      <c r="C50" s="713"/>
      <c r="D50" s="714" t="str">
        <f>IF('SV Findings'!G47="Not Met", 'SV Findings'!J47,"")</f>
        <v/>
      </c>
      <c r="E50" s="715"/>
      <c r="F50" s="716"/>
      <c r="G50" s="241"/>
      <c r="H50" s="796"/>
      <c r="I50" s="797"/>
      <c r="J50" s="797"/>
      <c r="K50" s="797"/>
      <c r="Q50" s="49"/>
      <c r="R50" s="49"/>
      <c r="S50" s="49"/>
      <c r="T50" s="49"/>
      <c r="U50" s="49"/>
      <c r="V50" s="49"/>
      <c r="W50" s="49"/>
    </row>
    <row r="51" spans="2:23" s="2" customFormat="1" ht="42" customHeight="1">
      <c r="B51" s="712" t="str">
        <f>IF('SV Findings'!G48="Not Met", 'SV Findings'!Q48,"")</f>
        <v/>
      </c>
      <c r="C51" s="713"/>
      <c r="D51" s="714" t="str">
        <f>IF('SV Findings'!G48="Not Met", 'SV Findings'!J48,"")</f>
        <v/>
      </c>
      <c r="E51" s="715"/>
      <c r="F51" s="716"/>
      <c r="G51" s="241"/>
      <c r="H51" s="796"/>
      <c r="I51" s="797"/>
      <c r="J51" s="797"/>
      <c r="K51" s="797"/>
      <c r="Q51" s="49"/>
      <c r="R51" s="49"/>
      <c r="S51" s="49"/>
      <c r="T51" s="49"/>
      <c r="U51" s="49"/>
      <c r="V51" s="49"/>
      <c r="W51" s="49"/>
    </row>
    <row r="52" spans="2:23" s="2" customFormat="1" ht="42" customHeight="1">
      <c r="B52" s="712" t="str">
        <f>IF('SV Findings'!G49="Not Met", 'SV Findings'!Q49,"")</f>
        <v/>
      </c>
      <c r="C52" s="713"/>
      <c r="D52" s="714" t="str">
        <f>IF('SV Findings'!G49="Not Met", 'SV Findings'!J49,"")</f>
        <v/>
      </c>
      <c r="E52" s="715"/>
      <c r="F52" s="716"/>
      <c r="G52" s="241"/>
      <c r="H52" s="796"/>
      <c r="I52" s="797"/>
      <c r="J52" s="797"/>
      <c r="K52" s="797"/>
      <c r="Q52" s="49"/>
      <c r="R52" s="49"/>
      <c r="S52" s="49"/>
      <c r="T52" s="49"/>
      <c r="U52" s="49"/>
      <c r="V52" s="49"/>
      <c r="W52" s="49"/>
    </row>
    <row r="53" spans="2:23" s="2" customFormat="1" ht="15">
      <c r="B53" s="712" t="str">
        <f>IF('SV Findings'!G50="Not Met", 'SV Findings'!Q50,"")</f>
        <v/>
      </c>
      <c r="C53" s="713"/>
      <c r="D53" s="714" t="str">
        <f>IF('SV Findings'!G50="Not Met", 'SV Findings'!J50,"")</f>
        <v/>
      </c>
      <c r="E53" s="715"/>
      <c r="F53" s="716"/>
      <c r="G53" s="241"/>
      <c r="H53" s="796"/>
      <c r="I53" s="797"/>
      <c r="J53" s="797"/>
      <c r="K53" s="797"/>
      <c r="Q53" s="49"/>
      <c r="R53" s="49"/>
      <c r="S53" s="49"/>
      <c r="T53" s="49"/>
      <c r="U53" s="49"/>
      <c r="V53" s="49"/>
      <c r="W53" s="49"/>
    </row>
    <row r="54" spans="2:23" s="2" customFormat="1" ht="15">
      <c r="B54" s="712" t="str">
        <f>IF('SV Findings'!G51="Not Met", 'SV Findings'!Q51,"")</f>
        <v/>
      </c>
      <c r="C54" s="713"/>
      <c r="D54" s="714" t="str">
        <f>IF('SV Findings'!G51="Not Met", 'SV Findings'!J51,"")</f>
        <v/>
      </c>
      <c r="E54" s="715"/>
      <c r="F54" s="716"/>
      <c r="G54" s="241"/>
      <c r="H54" s="796"/>
      <c r="I54" s="797"/>
      <c r="J54" s="797"/>
      <c r="K54" s="797"/>
      <c r="Q54" s="49"/>
      <c r="R54" s="49"/>
      <c r="S54" s="49"/>
      <c r="T54" s="49"/>
      <c r="U54" s="49"/>
      <c r="V54" s="49"/>
      <c r="W54" s="49"/>
    </row>
    <row r="55" spans="2:23" s="2" customFormat="1" ht="15">
      <c r="B55" s="712" t="str">
        <f>IF('SV Findings'!G52="Not Met", 'SV Findings'!Q52,"")</f>
        <v/>
      </c>
      <c r="C55" s="713"/>
      <c r="D55" s="714" t="str">
        <f>IF('SV Findings'!G52="Not Met", 'SV Findings'!J52,"")</f>
        <v/>
      </c>
      <c r="E55" s="715"/>
      <c r="F55" s="716"/>
      <c r="G55" s="241"/>
      <c r="H55" s="796"/>
      <c r="I55" s="797"/>
      <c r="J55" s="797"/>
      <c r="K55" s="797"/>
      <c r="Q55" s="49"/>
      <c r="R55" s="49"/>
      <c r="S55" s="49"/>
      <c r="T55" s="49"/>
      <c r="U55" s="49"/>
      <c r="V55" s="49"/>
      <c r="W55" s="49"/>
    </row>
    <row r="56" spans="2:23" s="2" customFormat="1" ht="15">
      <c r="B56" s="712" t="str">
        <f>IF('SV Findings'!G53="Not Met", 'SV Findings'!Q53,"")</f>
        <v/>
      </c>
      <c r="C56" s="713"/>
      <c r="D56" s="714" t="str">
        <f>IF('SV Findings'!G53="Not Met", 'SV Findings'!J53,"")</f>
        <v/>
      </c>
      <c r="E56" s="715"/>
      <c r="F56" s="716"/>
      <c r="G56" s="241"/>
      <c r="H56" s="796"/>
      <c r="I56" s="797"/>
      <c r="J56" s="797"/>
      <c r="K56" s="797"/>
      <c r="Q56" s="49"/>
      <c r="R56" s="49"/>
      <c r="S56" s="49"/>
      <c r="T56" s="49"/>
      <c r="U56" s="49"/>
      <c r="V56" s="49"/>
      <c r="W56" s="49"/>
    </row>
    <row r="57" spans="2:23" s="2" customFormat="1" ht="33" customHeight="1">
      <c r="B57" s="712" t="str">
        <f>IF('SV Findings'!G55="Not Met", 'SV Findings'!Q55,"")</f>
        <v/>
      </c>
      <c r="C57" s="713"/>
      <c r="D57" s="714" t="str">
        <f>IF('SV Findings'!G55="Not Met", 'SV Findings'!J55,"")</f>
        <v/>
      </c>
      <c r="E57" s="715"/>
      <c r="F57" s="716"/>
      <c r="G57" s="241"/>
      <c r="H57" s="796"/>
      <c r="I57" s="797"/>
      <c r="J57" s="797"/>
      <c r="K57" s="797"/>
      <c r="Q57" s="49"/>
      <c r="R57" s="49"/>
      <c r="S57" s="49"/>
      <c r="T57" s="49"/>
      <c r="U57" s="49"/>
      <c r="V57" s="49"/>
      <c r="W57" s="49"/>
    </row>
    <row r="58" spans="2:23" s="2" customFormat="1" ht="33" customHeight="1">
      <c r="B58" s="712" t="str">
        <f>IF('SV Findings'!G56="Not Met", 'SV Findings'!Q56,"")</f>
        <v/>
      </c>
      <c r="C58" s="713"/>
      <c r="D58" s="714" t="str">
        <f>IF('SV Findings'!G56="Not Met", 'SV Findings'!J56,"")</f>
        <v/>
      </c>
      <c r="E58" s="715"/>
      <c r="F58" s="716"/>
      <c r="G58" s="241"/>
      <c r="H58" s="796"/>
      <c r="I58" s="797"/>
      <c r="J58" s="797"/>
      <c r="K58" s="797"/>
      <c r="Q58" s="49"/>
      <c r="R58" s="49"/>
      <c r="S58" s="49"/>
      <c r="T58" s="49"/>
      <c r="U58" s="49"/>
      <c r="V58" s="49"/>
      <c r="W58" s="49"/>
    </row>
    <row r="59" spans="2:23" s="2" customFormat="1" ht="35.450000000000003" customHeight="1">
      <c r="B59" s="712" t="str">
        <f>IF('SV Findings'!G57="Not Met", 'SV Findings'!Q57,"")</f>
        <v/>
      </c>
      <c r="C59" s="713"/>
      <c r="D59" s="714" t="str">
        <f>IF('SV Findings'!G57="Not Met", 'SV Findings'!J57,"")</f>
        <v/>
      </c>
      <c r="E59" s="715"/>
      <c r="F59" s="716"/>
      <c r="G59" s="241"/>
      <c r="H59" s="796"/>
      <c r="I59" s="797"/>
      <c r="J59" s="797"/>
      <c r="K59" s="797"/>
      <c r="Q59" s="49"/>
      <c r="R59" s="49"/>
      <c r="S59" s="49"/>
      <c r="T59" s="49"/>
      <c r="U59" s="49"/>
      <c r="V59" s="49"/>
      <c r="W59" s="49"/>
    </row>
    <row r="60" spans="2:23" s="2" customFormat="1" ht="15">
      <c r="B60" s="712" t="str">
        <f>IF('SV Findings'!G58="Not Met", 'SV Findings'!Q58,"")</f>
        <v/>
      </c>
      <c r="C60" s="713"/>
      <c r="D60" s="714" t="str">
        <f>IF('SV Findings'!G58="Not Met", 'SV Findings'!J58,"")</f>
        <v/>
      </c>
      <c r="E60" s="715"/>
      <c r="F60" s="716"/>
      <c r="G60" s="241"/>
      <c r="H60" s="796"/>
      <c r="I60" s="797"/>
      <c r="J60" s="797"/>
      <c r="K60" s="797"/>
      <c r="Q60" s="49"/>
      <c r="R60" s="49"/>
      <c r="S60" s="49"/>
      <c r="T60" s="49"/>
      <c r="U60" s="49"/>
      <c r="V60" s="49"/>
      <c r="W60" s="49"/>
    </row>
    <row r="61" spans="2:23" s="2" customFormat="1" ht="15">
      <c r="B61" s="712" t="str">
        <f>IF('SV Findings'!G59="Not Met", 'SV Findings'!Q59,"")</f>
        <v/>
      </c>
      <c r="C61" s="713"/>
      <c r="D61" s="714" t="str">
        <f>IF('SV Findings'!G59="Not Met", 'SV Findings'!J59,"")</f>
        <v/>
      </c>
      <c r="E61" s="715"/>
      <c r="F61" s="716"/>
      <c r="G61" s="241"/>
      <c r="H61" s="796"/>
      <c r="I61" s="797"/>
      <c r="J61" s="797"/>
      <c r="K61" s="797"/>
      <c r="Q61" s="49"/>
      <c r="R61" s="49"/>
      <c r="S61" s="49"/>
      <c r="T61" s="49"/>
      <c r="U61" s="49"/>
      <c r="V61" s="49"/>
      <c r="W61" s="49"/>
    </row>
    <row r="62" spans="2:23" s="2" customFormat="1" ht="29.25" customHeight="1">
      <c r="B62" s="712" t="str">
        <f>IF('SV Findings'!G61="Not Met", 'SV Findings'!Q61,"")</f>
        <v/>
      </c>
      <c r="C62" s="713"/>
      <c r="D62" s="714" t="str">
        <f>IF('SV Findings'!G61="Not Met", 'SV Findings'!J61,"")</f>
        <v/>
      </c>
      <c r="E62" s="715"/>
      <c r="F62" s="716"/>
      <c r="G62" s="241"/>
      <c r="H62" s="796"/>
      <c r="I62" s="797"/>
      <c r="J62" s="797"/>
      <c r="K62" s="797"/>
      <c r="Q62" s="49"/>
      <c r="R62" s="49"/>
      <c r="S62" s="49"/>
      <c r="T62" s="49"/>
      <c r="U62" s="49"/>
      <c r="V62" s="49"/>
      <c r="W62" s="49"/>
    </row>
    <row r="63" spans="2:23" s="2" customFormat="1" ht="29.25" customHeight="1">
      <c r="B63" s="712" t="str">
        <f>IF('SV Findings'!G62="Not Met", 'SV Findings'!Q62,"")</f>
        <v/>
      </c>
      <c r="C63" s="713"/>
      <c r="D63" s="714" t="str">
        <f>IF('SV Findings'!G62="Not Met", 'SV Findings'!J62,"")</f>
        <v/>
      </c>
      <c r="E63" s="715"/>
      <c r="F63" s="716"/>
      <c r="G63" s="241"/>
      <c r="H63" s="796"/>
      <c r="I63" s="797"/>
      <c r="J63" s="797"/>
      <c r="K63" s="797"/>
      <c r="Q63" s="49"/>
      <c r="R63" s="49"/>
      <c r="S63" s="49"/>
      <c r="T63" s="49"/>
      <c r="U63" s="49"/>
      <c r="V63" s="49"/>
      <c r="W63" s="49"/>
    </row>
    <row r="64" spans="2:23" s="2" customFormat="1" ht="29.25" customHeight="1">
      <c r="B64" s="712" t="str">
        <f>IF('SV Findings'!G63="Not Met", 'SV Findings'!Q63,"")</f>
        <v/>
      </c>
      <c r="C64" s="713"/>
      <c r="D64" s="714" t="str">
        <f>IF('SV Findings'!G63="Not Met", 'SV Findings'!J63,"")</f>
        <v/>
      </c>
      <c r="E64" s="715"/>
      <c r="F64" s="716"/>
      <c r="G64" s="241"/>
      <c r="H64" s="796"/>
      <c r="I64" s="797"/>
      <c r="J64" s="797"/>
      <c r="K64" s="797"/>
      <c r="Q64" s="49"/>
      <c r="R64" s="49"/>
      <c r="S64" s="49"/>
      <c r="T64" s="49"/>
      <c r="U64" s="49"/>
      <c r="V64" s="49"/>
      <c r="W64" s="49"/>
    </row>
    <row r="65" spans="2:23" s="2" customFormat="1" ht="15">
      <c r="B65" s="712" t="str">
        <f>IF('SV Findings'!G64="Not Met", 'SV Findings'!Q64,"")</f>
        <v/>
      </c>
      <c r="C65" s="713"/>
      <c r="D65" s="714" t="str">
        <f>IF('SV Findings'!G64="Not Met", 'SV Findings'!J64,"")</f>
        <v/>
      </c>
      <c r="E65" s="715"/>
      <c r="F65" s="716"/>
      <c r="G65" s="241"/>
      <c r="R65" s="49"/>
      <c r="S65" s="49"/>
      <c r="T65" s="49"/>
      <c r="U65" s="49"/>
      <c r="V65" s="49"/>
      <c r="W65" s="49"/>
    </row>
    <row r="66" spans="2:23" s="2" customFormat="1" ht="15">
      <c r="B66" s="712" t="str">
        <f>IF('SV Findings'!G65="Not Met", 'SV Findings'!Q65,"")</f>
        <v/>
      </c>
      <c r="C66" s="713"/>
      <c r="D66" s="714" t="str">
        <f>IF('SV Findings'!G65="Not Met", 'SV Findings'!J65,"")</f>
        <v/>
      </c>
      <c r="E66" s="715"/>
      <c r="F66" s="716"/>
      <c r="G66" s="241"/>
      <c r="R66" s="49"/>
      <c r="S66" s="49"/>
      <c r="T66" s="49"/>
      <c r="U66" s="49"/>
      <c r="V66" s="49"/>
      <c r="W66" s="49"/>
    </row>
    <row r="67" spans="2:23" s="2" customFormat="1" ht="15">
      <c r="B67" s="712" t="str">
        <f>IF('SV Findings'!G68="Not Met", 'SV Findings'!Q68,"")</f>
        <v/>
      </c>
      <c r="C67" s="713"/>
      <c r="D67" s="714" t="str">
        <f>IF('SV Findings'!G68="Not Met", 'SV Findings'!J68,"")</f>
        <v/>
      </c>
      <c r="E67" s="715"/>
      <c r="F67" s="716"/>
      <c r="G67" s="241"/>
      <c r="R67" s="49"/>
      <c r="S67" s="49"/>
      <c r="T67" s="49"/>
      <c r="U67" s="49"/>
      <c r="V67" s="49"/>
      <c r="W67" s="49"/>
    </row>
    <row r="68" spans="2:23" s="2" customFormat="1" ht="15">
      <c r="B68" s="712" t="str">
        <f>IF('SV Findings'!G72="Not Met", 'SV Findings'!Q72,"")</f>
        <v/>
      </c>
      <c r="C68" s="713"/>
      <c r="D68" s="714" t="str">
        <f>IF('SV Findings'!G72="Not Met", 'SV Findings'!J72,"")</f>
        <v/>
      </c>
      <c r="E68" s="715"/>
      <c r="F68" s="716"/>
      <c r="G68" s="241"/>
      <c r="R68" s="49"/>
      <c r="S68" s="49"/>
      <c r="T68" s="49"/>
      <c r="U68" s="49"/>
      <c r="V68" s="49"/>
      <c r="W68" s="49"/>
    </row>
    <row r="69" spans="2:23" s="2" customFormat="1" ht="42.95" customHeight="1">
      <c r="B69" s="712" t="str">
        <f>IF('SV Findings'!G73="Not Met", 'SV Findings'!Q73,"")</f>
        <v/>
      </c>
      <c r="C69" s="713"/>
      <c r="D69" s="714" t="str">
        <f>IF('SV Findings'!G73="Not Met", 'SV Findings'!J73,"")</f>
        <v/>
      </c>
      <c r="E69" s="715"/>
      <c r="F69" s="716"/>
      <c r="G69" s="241"/>
      <c r="R69" s="49"/>
      <c r="S69" s="49"/>
      <c r="T69" s="49"/>
      <c r="U69" s="49"/>
      <c r="V69" s="49"/>
      <c r="W69" s="49"/>
    </row>
    <row r="70" spans="2:23" s="2" customFormat="1" ht="42.95" customHeight="1">
      <c r="B70" s="712" t="str">
        <f>IF('SV Findings'!G74="Not Met", 'SV Findings'!Q74,"")</f>
        <v/>
      </c>
      <c r="C70" s="713"/>
      <c r="D70" s="714" t="str">
        <f>IF('SV Findings'!G74="Not Met", 'SV Findings'!J74,"")</f>
        <v/>
      </c>
      <c r="E70" s="715"/>
      <c r="F70" s="716"/>
      <c r="G70" s="241"/>
      <c r="R70" s="49"/>
      <c r="S70" s="49"/>
      <c r="T70" s="49"/>
      <c r="U70" s="49"/>
      <c r="V70" s="49"/>
      <c r="W70" s="49"/>
    </row>
    <row r="71" spans="2:23" s="2" customFormat="1" ht="42.95" customHeight="1">
      <c r="B71" s="712" t="str">
        <f>IF('SV Findings'!G75="Not Met", 'SV Findings'!Q75,"")</f>
        <v/>
      </c>
      <c r="C71" s="713"/>
      <c r="D71" s="714" t="str">
        <f>IF('SV Findings'!G75="Not Met", 'SV Findings'!J75,"")</f>
        <v/>
      </c>
      <c r="E71" s="715"/>
      <c r="F71" s="716"/>
      <c r="G71" s="241"/>
      <c r="R71" s="49"/>
      <c r="S71" s="49"/>
      <c r="T71" s="49"/>
      <c r="U71" s="49"/>
      <c r="V71" s="49"/>
      <c r="W71" s="49"/>
    </row>
    <row r="72" spans="2:23" s="2" customFormat="1" ht="15">
      <c r="B72" s="712" t="str">
        <f>IF('SV Findings'!G77="Not Met", 'SV Findings'!Q77,"")</f>
        <v/>
      </c>
      <c r="C72" s="713"/>
      <c r="D72" s="714" t="str">
        <f>IF('SV Findings'!G77="Not Met", 'SV Findings'!J77,"")</f>
        <v/>
      </c>
      <c r="E72" s="715"/>
      <c r="F72" s="716"/>
      <c r="G72" s="241"/>
      <c r="Q72" s="49"/>
      <c r="R72" s="49"/>
      <c r="S72" s="49"/>
      <c r="T72" s="49"/>
      <c r="U72" s="49"/>
      <c r="V72" s="49"/>
      <c r="W72" s="49"/>
    </row>
    <row r="73" spans="2:23" s="2" customFormat="1" ht="15">
      <c r="B73" s="712" t="str">
        <f>IF('SV Findings'!G86="Not Met", 'SV Findings'!Q86,"")</f>
        <v/>
      </c>
      <c r="C73" s="713"/>
      <c r="D73" s="714" t="str">
        <f>IF('SV Findings'!G86="Not Met", 'SV Findings'!J86,"")</f>
        <v/>
      </c>
      <c r="E73" s="715"/>
      <c r="F73" s="716"/>
      <c r="G73" s="241"/>
      <c r="R73" s="49"/>
      <c r="S73" s="49"/>
      <c r="T73" s="49"/>
      <c r="U73" s="49"/>
      <c r="V73" s="49"/>
      <c r="W73" s="49"/>
    </row>
    <row r="74" spans="2:23" s="2" customFormat="1" ht="15">
      <c r="B74" s="712" t="str">
        <f>IF('SV Findings'!G89="Not Met", 'SV Findings'!Q89,"")</f>
        <v/>
      </c>
      <c r="C74" s="713"/>
      <c r="D74" s="714" t="str">
        <f>IF('SV Findings'!G89="Not Met", 'SV Findings'!J89,"")</f>
        <v/>
      </c>
      <c r="E74" s="715"/>
      <c r="F74" s="716"/>
      <c r="G74" s="241"/>
      <c r="R74" s="49"/>
      <c r="S74" s="49"/>
      <c r="T74" s="49"/>
      <c r="U74" s="49"/>
      <c r="V74" s="49"/>
      <c r="W74" s="49"/>
    </row>
    <row r="75" spans="2:23" s="2" customFormat="1" ht="15">
      <c r="B75" s="712" t="str">
        <f>IF('SV Findings'!G92="Not Met", 'SV Findings'!Q92,"")</f>
        <v/>
      </c>
      <c r="C75" s="713"/>
      <c r="D75" s="714" t="str">
        <f>IF('SV Findings'!G92="Not Met", 'SV Findings'!J92,"")</f>
        <v/>
      </c>
      <c r="E75" s="715"/>
      <c r="F75" s="716"/>
      <c r="G75" s="241"/>
      <c r="R75" s="49"/>
      <c r="S75" s="49"/>
      <c r="T75" s="49"/>
      <c r="U75" s="49"/>
      <c r="V75" s="49"/>
      <c r="W75" s="49"/>
    </row>
    <row r="76" spans="2:23" s="2" customFormat="1" ht="15">
      <c r="B76" s="712" t="str">
        <f>IF('SV Findings'!G93="Not Met", 'SV Findings'!Q93,"")</f>
        <v/>
      </c>
      <c r="C76" s="713"/>
      <c r="D76" s="714" t="str">
        <f>IF('SV Findings'!G93="Not Met", 'SV Findings'!J93,"")</f>
        <v/>
      </c>
      <c r="E76" s="715"/>
      <c r="F76" s="716"/>
      <c r="G76" s="241"/>
      <c r="R76" s="49"/>
      <c r="S76" s="49"/>
      <c r="T76" s="49"/>
      <c r="U76" s="49"/>
      <c r="V76" s="49"/>
      <c r="W76" s="49"/>
    </row>
    <row r="77" spans="2:23" s="2" customFormat="1" ht="31.5" customHeight="1">
      <c r="B77" s="712" t="str">
        <f>IF('SV Findings'!G96="Not Met", 'SV Findings'!Q96,"")</f>
        <v/>
      </c>
      <c r="C77" s="713"/>
      <c r="D77" s="714" t="str">
        <f>IF('SV Findings'!G96="Not Met", 'SV Findings'!J96,"")</f>
        <v/>
      </c>
      <c r="E77" s="715"/>
      <c r="F77" s="716"/>
      <c r="G77" s="241"/>
      <c r="Q77" s="49"/>
      <c r="R77" s="49"/>
      <c r="S77" s="49"/>
      <c r="T77" s="49"/>
      <c r="U77" s="49"/>
      <c r="V77" s="49"/>
      <c r="W77" s="49"/>
    </row>
    <row r="78" spans="2:23" s="2" customFormat="1" ht="31.5" customHeight="1">
      <c r="B78" s="712" t="str">
        <f>IF('SV Findings'!G97="Not Met", 'SV Findings'!Q97,"")</f>
        <v/>
      </c>
      <c r="C78" s="713"/>
      <c r="D78" s="714" t="str">
        <f>IF('SV Findings'!G97="Not Met", 'SV Findings'!J97,"")</f>
        <v/>
      </c>
      <c r="E78" s="715"/>
      <c r="F78" s="716"/>
      <c r="G78" s="241"/>
      <c r="Q78" s="49"/>
      <c r="R78" s="49"/>
      <c r="S78" s="49"/>
      <c r="T78" s="49"/>
      <c r="U78" s="49"/>
      <c r="V78" s="49"/>
      <c r="W78" s="49"/>
    </row>
    <row r="79" spans="2:23" s="2" customFormat="1" ht="31.5" customHeight="1">
      <c r="B79" s="712" t="str">
        <f>IF('SV Findings'!G98="Not Met", 'SV Findings'!Q98,"")</f>
        <v/>
      </c>
      <c r="C79" s="713"/>
      <c r="D79" s="714" t="str">
        <f>IF('SV Findings'!G98="Not Met", 'SV Findings'!J98,"")</f>
        <v/>
      </c>
      <c r="E79" s="715"/>
      <c r="F79" s="716"/>
      <c r="G79" s="241"/>
      <c r="Q79" s="49"/>
      <c r="R79" s="49"/>
      <c r="S79" s="49"/>
      <c r="T79" s="49"/>
      <c r="U79" s="49"/>
      <c r="V79" s="49"/>
      <c r="W79" s="49"/>
    </row>
    <row r="80" spans="2:23" s="2" customFormat="1" ht="32.450000000000003" customHeight="1">
      <c r="B80" s="712" t="str">
        <f>IF('SV Findings'!G99="Not Met", 'SV Findings'!Q99,"")</f>
        <v/>
      </c>
      <c r="C80" s="713"/>
      <c r="D80" s="714" t="str">
        <f>IF('SV Findings'!G99="Not Met", 'SV Findings'!J99,"")</f>
        <v/>
      </c>
      <c r="E80" s="715"/>
      <c r="F80" s="716"/>
      <c r="G80" s="241"/>
      <c r="Q80" s="49"/>
      <c r="R80" s="49"/>
      <c r="S80" s="49"/>
      <c r="T80" s="49"/>
      <c r="U80" s="49"/>
      <c r="V80" s="49"/>
      <c r="W80" s="49"/>
    </row>
    <row r="81" spans="2:23" s="2" customFormat="1" ht="32.450000000000003" customHeight="1">
      <c r="B81" s="712" t="str">
        <f>IF('SV Findings'!G100="Not Met", 'SV Findings'!Q100,"")</f>
        <v/>
      </c>
      <c r="C81" s="713"/>
      <c r="D81" s="714" t="str">
        <f>IF('SV Findings'!G100="Not Met", 'SV Findings'!J100,"")</f>
        <v/>
      </c>
      <c r="E81" s="715"/>
      <c r="F81" s="716"/>
      <c r="G81" s="241"/>
      <c r="Q81" s="49"/>
      <c r="R81" s="49"/>
      <c r="S81" s="49"/>
      <c r="T81" s="49"/>
      <c r="U81" s="49"/>
      <c r="V81" s="49"/>
      <c r="W81" s="49"/>
    </row>
    <row r="82" spans="2:23" s="2" customFormat="1" ht="32.450000000000003" customHeight="1">
      <c r="B82" s="712" t="str">
        <f>IF('SV Findings'!G101="Not Met", 'SV Findings'!Q101,"")</f>
        <v/>
      </c>
      <c r="C82" s="713"/>
      <c r="D82" s="714" t="str">
        <f>IF('SV Findings'!G101="Not Met", 'SV Findings'!J101,"")</f>
        <v/>
      </c>
      <c r="E82" s="715"/>
      <c r="F82" s="716"/>
      <c r="G82" s="241"/>
      <c r="Q82" s="49"/>
      <c r="R82" s="49"/>
      <c r="S82" s="49"/>
      <c r="T82" s="49"/>
      <c r="U82" s="49"/>
      <c r="V82" s="49"/>
      <c r="W82" s="49"/>
    </row>
    <row r="83" spans="2:23" s="2" customFormat="1" ht="15">
      <c r="B83" s="712" t="str">
        <f>IF('SV Findings'!G103="Not Met", 'SV Findings'!Q103,"")</f>
        <v/>
      </c>
      <c r="C83" s="713"/>
      <c r="D83" s="714" t="str">
        <f>IF('SV Findings'!G103="Not Met", 'SV Findings'!J103,"")</f>
        <v/>
      </c>
      <c r="E83" s="715"/>
      <c r="F83" s="716"/>
      <c r="G83" s="241"/>
      <c r="Q83" s="49"/>
      <c r="R83" s="49"/>
      <c r="S83" s="49"/>
      <c r="T83" s="49"/>
      <c r="U83" s="49"/>
      <c r="V83" s="49"/>
      <c r="W83" s="49"/>
    </row>
    <row r="84" spans="2:23" s="2" customFormat="1" ht="15">
      <c r="B84" s="712" t="str">
        <f>IF('SV Findings'!G104="Not Met", 'SV Findings'!Q104,"")</f>
        <v/>
      </c>
      <c r="C84" s="713"/>
      <c r="D84" s="714" t="str">
        <f>IF('SV Findings'!G104="Not Met", 'SV Findings'!J104,"")</f>
        <v/>
      </c>
      <c r="E84" s="715"/>
      <c r="F84" s="716"/>
      <c r="G84" s="241"/>
      <c r="Q84" s="49"/>
      <c r="R84" s="49"/>
      <c r="S84" s="49"/>
      <c r="T84" s="49"/>
      <c r="U84" s="49"/>
      <c r="V84" s="49"/>
      <c r="W84" s="49"/>
    </row>
    <row r="85" spans="2:23" s="2" customFormat="1" ht="15">
      <c r="B85" s="712" t="str">
        <f>IF('SV Findings'!G105="Not Met", 'SV Findings'!Q105,"")</f>
        <v/>
      </c>
      <c r="C85" s="713"/>
      <c r="D85" s="714" t="str">
        <f>IF('SV Findings'!G105="Not Met", 'SV Findings'!J105,"")</f>
        <v/>
      </c>
      <c r="E85" s="715"/>
      <c r="F85" s="716"/>
      <c r="G85" s="241"/>
      <c r="Q85" s="49"/>
      <c r="R85" s="49"/>
      <c r="S85" s="49"/>
      <c r="T85" s="49"/>
      <c r="U85" s="49"/>
      <c r="V85" s="49"/>
      <c r="W85" s="49"/>
    </row>
    <row r="86" spans="2:23" s="2" customFormat="1" ht="15">
      <c r="B86" s="712" t="str">
        <f>IF('SV Findings'!G106="Not Met", 'SV Findings'!Q106,"")</f>
        <v/>
      </c>
      <c r="C86" s="713"/>
      <c r="D86" s="714" t="str">
        <f>IF('SV Findings'!G106="Not Met", 'SV Findings'!J106,"")</f>
        <v/>
      </c>
      <c r="E86" s="715"/>
      <c r="F86" s="716"/>
      <c r="G86" s="241"/>
      <c r="Q86" s="49"/>
      <c r="R86" s="49"/>
      <c r="S86" s="49"/>
      <c r="T86" s="49"/>
      <c r="U86" s="49"/>
      <c r="V86" s="49"/>
      <c r="W86" s="49"/>
    </row>
    <row r="87" spans="2:23" s="2" customFormat="1" ht="15">
      <c r="B87" s="712" t="str">
        <f>IF('SV Findings'!G107="Not Met", 'SV Findings'!Q107,"")</f>
        <v/>
      </c>
      <c r="C87" s="713"/>
      <c r="D87" s="714" t="str">
        <f>IF('SV Findings'!G107="Not Met", 'SV Findings'!J107,"")</f>
        <v/>
      </c>
      <c r="E87" s="715"/>
      <c r="F87" s="716"/>
      <c r="G87" s="241"/>
      <c r="Q87" s="49"/>
      <c r="R87" s="49"/>
      <c r="S87" s="49"/>
      <c r="T87" s="49"/>
      <c r="U87" s="49"/>
      <c r="V87" s="49"/>
      <c r="W87" s="49"/>
    </row>
    <row r="88" spans="2:23" s="2" customFormat="1" ht="15">
      <c r="B88" s="712" t="str">
        <f>IF('SV Findings'!G110="Not Met", 'SV Findings'!Q110,"")</f>
        <v/>
      </c>
      <c r="C88" s="713"/>
      <c r="D88" s="714" t="str">
        <f>IF('SV Findings'!G110="Not Met", 'SV Findings'!J110,"")</f>
        <v/>
      </c>
      <c r="E88" s="715"/>
      <c r="F88" s="716"/>
      <c r="G88" s="241"/>
      <c r="Q88" s="49"/>
      <c r="R88" s="49"/>
      <c r="S88" s="49"/>
      <c r="T88" s="49"/>
      <c r="U88" s="49"/>
      <c r="V88" s="49"/>
      <c r="W88" s="49"/>
    </row>
    <row r="89" spans="2:23" s="2" customFormat="1" ht="15">
      <c r="B89" s="712" t="str">
        <f>IF('SV Findings'!G111="Not Met", 'SV Findings'!Q111,"")</f>
        <v/>
      </c>
      <c r="C89" s="713"/>
      <c r="D89" s="714" t="str">
        <f>IF('SV Findings'!G111="Not Met", 'SV Findings'!J111,"")</f>
        <v/>
      </c>
      <c r="E89" s="715"/>
      <c r="F89" s="716"/>
      <c r="G89" s="241"/>
      <c r="Q89" s="49"/>
      <c r="R89" s="49"/>
      <c r="S89" s="49"/>
      <c r="T89" s="49"/>
      <c r="U89" s="49"/>
      <c r="V89" s="49"/>
      <c r="W89" s="49"/>
    </row>
    <row r="90" spans="2:23" s="2" customFormat="1" ht="15">
      <c r="B90" s="712" t="str">
        <f>IF('SV Findings'!G112="Not Met", 'SV Findings'!Q112,"")</f>
        <v/>
      </c>
      <c r="C90" s="713"/>
      <c r="D90" s="714" t="str">
        <f>IF('SV Findings'!G112="Not Met", 'SV Findings'!J112,"")</f>
        <v/>
      </c>
      <c r="E90" s="715"/>
      <c r="F90" s="716"/>
      <c r="G90" s="241"/>
      <c r="Q90" s="49"/>
      <c r="R90" s="49"/>
      <c r="S90" s="49"/>
      <c r="T90" s="49"/>
      <c r="U90" s="49"/>
      <c r="V90" s="49"/>
      <c r="W90" s="49"/>
    </row>
    <row r="91" spans="2:23" s="2" customFormat="1" ht="15">
      <c r="B91" s="712" t="str">
        <f>IF('SV Findings'!G113="Not Met", 'SV Findings'!Q113,"")</f>
        <v/>
      </c>
      <c r="C91" s="713"/>
      <c r="D91" s="714" t="str">
        <f>IF('SV Findings'!G113="Not Met", 'SV Findings'!J113,"")</f>
        <v/>
      </c>
      <c r="E91" s="715"/>
      <c r="F91" s="716"/>
      <c r="G91" s="241"/>
      <c r="Q91" s="49"/>
      <c r="R91" s="49"/>
      <c r="S91" s="49"/>
      <c r="T91" s="49"/>
      <c r="U91" s="49"/>
      <c r="V91" s="49"/>
      <c r="W91" s="49"/>
    </row>
    <row r="92" spans="2:23" s="2" customFormat="1" ht="15">
      <c r="B92" s="712" t="str">
        <f>IF('SV Findings'!G114="Not Met", 'SV Findings'!Q114,"")</f>
        <v/>
      </c>
      <c r="C92" s="713"/>
      <c r="D92" s="714" t="str">
        <f>IF('SV Findings'!G114="Not Met", 'SV Findings'!J114,"")</f>
        <v/>
      </c>
      <c r="E92" s="715"/>
      <c r="F92" s="716"/>
      <c r="G92" s="241"/>
      <c r="Q92" s="49"/>
      <c r="R92" s="49"/>
      <c r="S92" s="49"/>
      <c r="T92" s="49"/>
      <c r="U92" s="49"/>
      <c r="V92" s="49"/>
      <c r="W92" s="49"/>
    </row>
    <row r="93" spans="2:23" s="2" customFormat="1" ht="15">
      <c r="B93" s="712" t="str">
        <f>IF('SV Findings'!G115="Not Met", 'SV Findings'!Q115,"")</f>
        <v/>
      </c>
      <c r="C93" s="713"/>
      <c r="D93" s="714" t="str">
        <f>IF('SV Findings'!G115="Not Met", 'SV Findings'!J115,"")</f>
        <v/>
      </c>
      <c r="E93" s="715"/>
      <c r="F93" s="716"/>
      <c r="G93" s="241"/>
      <c r="Q93" s="49"/>
      <c r="R93" s="49"/>
      <c r="S93" s="49"/>
      <c r="T93" s="49"/>
      <c r="U93" s="49"/>
      <c r="V93" s="49"/>
      <c r="W93" s="49"/>
    </row>
    <row r="94" spans="2:23" s="2" customFormat="1" ht="15">
      <c r="B94" s="712" t="str">
        <f>IF('SV Findings'!G116="Not Met", 'SV Findings'!Q116,"")</f>
        <v/>
      </c>
      <c r="C94" s="713"/>
      <c r="D94" s="714" t="str">
        <f>IF('SV Findings'!G116="Not Met", 'SV Findings'!J116,"")</f>
        <v/>
      </c>
      <c r="E94" s="715"/>
      <c r="F94" s="716"/>
      <c r="G94" s="241"/>
      <c r="Q94" s="49"/>
      <c r="R94" s="49"/>
      <c r="S94" s="49"/>
      <c r="T94" s="49"/>
      <c r="U94" s="49"/>
      <c r="V94" s="49"/>
      <c r="W94" s="49"/>
    </row>
    <row r="95" spans="2:23" s="2" customFormat="1" ht="15">
      <c r="B95" s="712" t="str">
        <f>IF('SV Findings'!G118="Not Met", 'SV Findings'!Q118,"")</f>
        <v/>
      </c>
      <c r="C95" s="713"/>
      <c r="D95" s="714" t="str">
        <f>IF('SV Findings'!G118="Not Met", 'SV Findings'!J118,"")</f>
        <v/>
      </c>
      <c r="E95" s="715"/>
      <c r="F95" s="716"/>
      <c r="G95" s="241"/>
      <c r="Q95" s="49"/>
      <c r="R95" s="49"/>
      <c r="S95" s="49"/>
      <c r="T95" s="49"/>
      <c r="U95" s="49"/>
      <c r="V95" s="49"/>
      <c r="W95" s="49"/>
    </row>
    <row r="96" spans="2:23" s="2" customFormat="1" ht="15">
      <c r="B96" s="712" t="str">
        <f>IF('SV Findings'!G119="Not Met", 'SV Findings'!Q119,"")</f>
        <v/>
      </c>
      <c r="C96" s="713"/>
      <c r="D96" s="714" t="str">
        <f>IF('SV Findings'!G119="Not Met", 'SV Findings'!J119,"")</f>
        <v/>
      </c>
      <c r="E96" s="715"/>
      <c r="F96" s="716"/>
      <c r="G96" s="241"/>
      <c r="Q96" s="49"/>
      <c r="R96" s="49"/>
      <c r="S96" s="49"/>
      <c r="T96" s="49"/>
      <c r="U96" s="49"/>
      <c r="V96" s="49"/>
      <c r="W96" s="49"/>
    </row>
    <row r="97" spans="2:23" s="2" customFormat="1" ht="15">
      <c r="B97" s="712" t="str">
        <f>IF('SV Findings'!G120="Not Met", 'SV Findings'!Q120,"")</f>
        <v/>
      </c>
      <c r="C97" s="713"/>
      <c r="D97" s="714" t="str">
        <f>IF('SV Findings'!G120="Not Met", 'SV Findings'!J120,"")</f>
        <v/>
      </c>
      <c r="E97" s="715"/>
      <c r="F97" s="716"/>
      <c r="G97" s="241"/>
      <c r="Q97" s="49"/>
      <c r="R97" s="49"/>
      <c r="S97" s="49"/>
      <c r="T97" s="49"/>
      <c r="U97" s="49"/>
      <c r="V97" s="49"/>
      <c r="W97" s="49"/>
    </row>
    <row r="98" spans="2:23" s="2" customFormat="1" ht="15">
      <c r="B98" s="712" t="str">
        <f>IF('SV Findings'!G121="Not Met", 'SV Findings'!Q121,"")</f>
        <v/>
      </c>
      <c r="C98" s="713"/>
      <c r="D98" s="714" t="str">
        <f>IF('SV Findings'!G121="Not Met", 'SV Findings'!J121,"")</f>
        <v/>
      </c>
      <c r="E98" s="715"/>
      <c r="F98" s="716"/>
      <c r="G98" s="241"/>
      <c r="Q98" s="49"/>
      <c r="R98" s="49"/>
      <c r="S98" s="49"/>
      <c r="T98" s="49"/>
      <c r="U98" s="49"/>
      <c r="V98" s="49"/>
      <c r="W98" s="49"/>
    </row>
    <row r="99" spans="2:23" s="2" customFormat="1" ht="15">
      <c r="B99" s="712" t="str">
        <f>IF('SV Findings'!G122="Not Met", 'SV Findings'!Q122,"")</f>
        <v/>
      </c>
      <c r="C99" s="713"/>
      <c r="D99" s="714" t="str">
        <f>IF('SV Findings'!G122="Not Met", 'SV Findings'!J122,"")</f>
        <v/>
      </c>
      <c r="E99" s="715"/>
      <c r="F99" s="716"/>
      <c r="G99" s="241"/>
      <c r="Q99" s="49"/>
      <c r="R99" s="49"/>
      <c r="S99" s="49"/>
      <c r="T99" s="49"/>
      <c r="U99" s="49"/>
      <c r="V99" s="49"/>
      <c r="W99" s="49"/>
    </row>
    <row r="100" spans="2:23" s="2" customFormat="1" ht="15">
      <c r="B100" s="712" t="str">
        <f>IF('SV Findings'!G126="Not Met", 'SV Findings'!Q126,"")</f>
        <v/>
      </c>
      <c r="C100" s="713"/>
      <c r="D100" s="714" t="str">
        <f>IF('SV Findings'!G126="Not Met", 'SV Findings'!J126,"")</f>
        <v/>
      </c>
      <c r="E100" s="715"/>
      <c r="F100" s="716"/>
      <c r="G100" s="241"/>
      <c r="Q100" s="49"/>
      <c r="R100" s="49"/>
      <c r="S100" s="49"/>
      <c r="T100" s="49"/>
      <c r="U100" s="49"/>
      <c r="V100" s="49"/>
      <c r="W100" s="49"/>
    </row>
    <row r="101" spans="2:23" s="2" customFormat="1" ht="15">
      <c r="B101" s="712" t="str">
        <f>IF('SV Findings'!G129="Not Met", 'SV Findings'!Q129,"")</f>
        <v/>
      </c>
      <c r="C101" s="713"/>
      <c r="D101" s="714" t="str">
        <f>IF('SV Findings'!G129="Not Met", 'SV Findings'!J129,"")</f>
        <v/>
      </c>
      <c r="E101" s="715"/>
      <c r="F101" s="716"/>
      <c r="G101" s="241"/>
      <c r="Q101" s="49"/>
      <c r="R101" s="49"/>
      <c r="S101" s="49"/>
      <c r="T101" s="49"/>
      <c r="U101" s="49"/>
      <c r="V101" s="49"/>
      <c r="W101" s="49"/>
    </row>
    <row r="102" spans="2:23" s="2" customFormat="1" ht="15">
      <c r="B102" s="712" t="str">
        <f>IF('SV Findings'!G130="Not Met", 'SV Findings'!Q130,"")</f>
        <v/>
      </c>
      <c r="C102" s="713"/>
      <c r="D102" s="714" t="str">
        <f>IF('SV Findings'!G130="Not Met", 'SV Findings'!J130,"")</f>
        <v/>
      </c>
      <c r="E102" s="715"/>
      <c r="F102" s="716"/>
      <c r="G102" s="241"/>
      <c r="Q102" s="49"/>
      <c r="R102" s="49"/>
      <c r="S102" s="49"/>
      <c r="T102" s="49"/>
      <c r="U102" s="49"/>
      <c r="V102" s="49"/>
      <c r="W102" s="49"/>
    </row>
    <row r="103" spans="2:23" s="2" customFormat="1" ht="15">
      <c r="B103" s="712" t="str">
        <f>IF('SV Findings'!G131="Not Met", 'SV Findings'!Q131,"")</f>
        <v/>
      </c>
      <c r="C103" s="713"/>
      <c r="D103" s="714" t="str">
        <f>IF('SV Findings'!G131="Not Met", 'SV Findings'!J131,"")</f>
        <v/>
      </c>
      <c r="E103" s="715"/>
      <c r="F103" s="716"/>
      <c r="G103" s="241"/>
      <c r="Q103" s="49"/>
      <c r="R103" s="49"/>
      <c r="S103" s="49"/>
      <c r="T103" s="49"/>
      <c r="U103" s="49"/>
      <c r="V103" s="49"/>
      <c r="W103" s="49"/>
    </row>
    <row r="104" spans="2:23" s="2" customFormat="1" ht="15">
      <c r="B104" s="712" t="str">
        <f>IF('SV Findings'!G136="Not Met", 'SV Findings'!Q136,"")</f>
        <v/>
      </c>
      <c r="C104" s="713"/>
      <c r="D104" s="714" t="str">
        <f>IF('SV Findings'!G136="Not Met", 'SV Findings'!J136,"")</f>
        <v/>
      </c>
      <c r="E104" s="715"/>
      <c r="F104" s="716"/>
      <c r="G104" s="241"/>
      <c r="Q104" s="49"/>
      <c r="R104" s="49"/>
      <c r="S104" s="49"/>
      <c r="T104" s="49"/>
      <c r="U104" s="49"/>
      <c r="V104" s="49"/>
      <c r="W104" s="49"/>
    </row>
    <row r="105" spans="2:23" s="2" customFormat="1" ht="15">
      <c r="B105" s="712" t="str">
        <f>IF('SV Findings'!G139="Not Met", 'SV Findings'!Q139,"")</f>
        <v/>
      </c>
      <c r="C105" s="713"/>
      <c r="D105" s="714" t="str">
        <f>IF('SV Findings'!G139="Not Met", 'SV Findings'!J139,"")</f>
        <v/>
      </c>
      <c r="E105" s="715"/>
      <c r="F105" s="716"/>
      <c r="G105" s="241"/>
      <c r="Q105" s="49"/>
      <c r="R105" s="49"/>
      <c r="S105" s="49"/>
      <c r="T105" s="49"/>
      <c r="U105" s="49"/>
      <c r="V105" s="49"/>
      <c r="W105" s="49"/>
    </row>
    <row r="106" spans="2:23" s="2" customFormat="1" ht="15">
      <c r="B106" s="712" t="str">
        <f>IF('SV Findings'!G140="Not Met", 'SV Findings'!Q140,"")</f>
        <v/>
      </c>
      <c r="C106" s="713"/>
      <c r="D106" s="714" t="str">
        <f>IF('SV Findings'!G140="Not Met", 'SV Findings'!J140,"")</f>
        <v/>
      </c>
      <c r="E106" s="715"/>
      <c r="F106" s="716"/>
      <c r="G106" s="241"/>
      <c r="Q106" s="49"/>
      <c r="R106" s="49"/>
      <c r="S106" s="49"/>
      <c r="T106" s="49"/>
      <c r="U106" s="49"/>
      <c r="V106" s="49"/>
      <c r="W106" s="49"/>
    </row>
    <row r="107" spans="2:23" s="2" customFormat="1" ht="15">
      <c r="B107" s="712" t="str">
        <f>IF('SV Findings'!G142="Not Met", 'SV Findings'!Q142,"")</f>
        <v/>
      </c>
      <c r="C107" s="713"/>
      <c r="D107" s="714" t="str">
        <f>IF('SV Findings'!G142="Not Met", 'SV Findings'!J142,"")</f>
        <v/>
      </c>
      <c r="E107" s="715"/>
      <c r="F107" s="716"/>
      <c r="G107" s="241"/>
      <c r="Q107" s="49"/>
      <c r="R107" s="49"/>
      <c r="S107" s="49"/>
      <c r="T107" s="49"/>
      <c r="U107" s="49"/>
      <c r="V107" s="49"/>
      <c r="W107" s="49"/>
    </row>
    <row r="108" spans="2:23" s="2" customFormat="1" ht="15">
      <c r="B108" s="712" t="str">
        <f>IF('SV Findings'!G146="Not Met", 'SV Findings'!Q146,"")</f>
        <v/>
      </c>
      <c r="C108" s="713"/>
      <c r="D108" s="714" t="str">
        <f>IF('SV Findings'!G146="Not Met", 'SV Findings'!J146,"")</f>
        <v/>
      </c>
      <c r="E108" s="715"/>
      <c r="F108" s="716"/>
      <c r="G108" s="241"/>
      <c r="Q108" s="49"/>
      <c r="R108" s="49"/>
      <c r="S108" s="49"/>
      <c r="T108" s="49"/>
      <c r="U108" s="49"/>
      <c r="V108" s="49"/>
      <c r="W108" s="49"/>
    </row>
    <row r="109" spans="2:23" s="2" customFormat="1" ht="29.25" customHeight="1">
      <c r="B109" s="712" t="str">
        <f>IF('SV Findings'!G149="Not Met", 'SV Findings'!Q149,"")</f>
        <v/>
      </c>
      <c r="C109" s="713"/>
      <c r="D109" s="714" t="str">
        <f>IF('SV Findings'!G149="Not Met", 'SV Findings'!J149,"")</f>
        <v/>
      </c>
      <c r="E109" s="715"/>
      <c r="F109" s="716"/>
      <c r="G109" s="241"/>
      <c r="Q109" s="49"/>
      <c r="R109" s="49"/>
      <c r="S109" s="49"/>
      <c r="T109" s="49"/>
      <c r="U109" s="49"/>
      <c r="V109" s="49"/>
      <c r="W109" s="49"/>
    </row>
    <row r="110" spans="2:23" s="2" customFormat="1" ht="29.25" customHeight="1">
      <c r="B110" s="712" t="str">
        <f>IF('SV Findings'!G150="Not Met", 'SV Findings'!Q150,"")</f>
        <v/>
      </c>
      <c r="C110" s="713"/>
      <c r="D110" s="714" t="str">
        <f>IF('SV Findings'!G150="Not Met", 'SV Findings'!J150,"")</f>
        <v/>
      </c>
      <c r="E110" s="715"/>
      <c r="F110" s="716"/>
      <c r="G110" s="241"/>
      <c r="Q110" s="49"/>
      <c r="R110" s="49"/>
      <c r="S110" s="49"/>
      <c r="T110" s="49"/>
      <c r="U110" s="49"/>
      <c r="V110" s="49"/>
      <c r="W110" s="49"/>
    </row>
    <row r="111" spans="2:23" s="2" customFormat="1" ht="29.25" customHeight="1">
      <c r="B111" s="712" t="str">
        <f>IF('SV Findings'!G151="Not Met", 'SV Findings'!Q151,"")</f>
        <v/>
      </c>
      <c r="C111" s="713"/>
      <c r="D111" s="714" t="str">
        <f>IF('SV Findings'!G151="Not Met", 'SV Findings'!J151,"")</f>
        <v/>
      </c>
      <c r="E111" s="715"/>
      <c r="F111" s="716"/>
      <c r="G111" s="241"/>
      <c r="Q111" s="49"/>
      <c r="R111" s="49"/>
      <c r="S111" s="49"/>
      <c r="T111" s="49"/>
      <c r="U111" s="49"/>
      <c r="V111" s="49"/>
      <c r="W111" s="49"/>
    </row>
    <row r="112" spans="2:23" s="2" customFormat="1" ht="15">
      <c r="B112" s="712" t="str">
        <f>IF('SV Findings'!G153="Not Met", 'SV Findings'!Q153,"")</f>
        <v/>
      </c>
      <c r="C112" s="713"/>
      <c r="D112" s="714" t="str">
        <f>IF('SV Findings'!G153="Not Met", 'SV Findings'!J153,"")</f>
        <v/>
      </c>
      <c r="E112" s="715"/>
      <c r="F112" s="716"/>
      <c r="G112" s="241"/>
      <c r="Q112" s="49"/>
      <c r="R112" s="49"/>
      <c r="S112" s="49"/>
      <c r="T112" s="49"/>
      <c r="U112" s="49"/>
      <c r="V112" s="49"/>
      <c r="W112" s="49"/>
    </row>
    <row r="113" spans="2:23" s="2" customFormat="1" ht="15">
      <c r="B113" s="712" t="str">
        <f>IF('SV Findings'!G157="Not Met", 'SV Findings'!Q157,"")</f>
        <v/>
      </c>
      <c r="C113" s="713"/>
      <c r="D113" s="714" t="str">
        <f>IF('SV Findings'!G157="Not Met", 'SV Findings'!J157,"")</f>
        <v/>
      </c>
      <c r="E113" s="715"/>
      <c r="F113" s="716"/>
      <c r="G113" s="241"/>
      <c r="Q113" s="49"/>
      <c r="R113" s="49"/>
      <c r="S113" s="49"/>
      <c r="T113" s="49"/>
      <c r="U113" s="49"/>
      <c r="V113" s="49"/>
      <c r="W113" s="49"/>
    </row>
    <row r="114" spans="2:23" s="2" customFormat="1" ht="15">
      <c r="B114" s="712" t="str">
        <f>IF('SV Findings'!G159="Not Met", 'SV Findings'!Q159,"")</f>
        <v/>
      </c>
      <c r="C114" s="713"/>
      <c r="D114" s="714" t="str">
        <f>IF('SV Findings'!G159="Not Met", 'SV Findings'!J159,"")</f>
        <v/>
      </c>
      <c r="E114" s="715"/>
      <c r="F114" s="716"/>
      <c r="G114" s="241"/>
      <c r="Q114" s="49"/>
      <c r="R114" s="49"/>
      <c r="S114" s="49"/>
      <c r="T114" s="49"/>
      <c r="U114" s="49"/>
      <c r="V114" s="49"/>
      <c r="W114" s="49"/>
    </row>
    <row r="115" spans="2:23" s="2" customFormat="1" ht="15">
      <c r="B115" s="712" t="str">
        <f>IF('SV Findings'!G160="Not Met", 'SV Findings'!Q160,"")</f>
        <v/>
      </c>
      <c r="C115" s="713"/>
      <c r="D115" s="714" t="str">
        <f>IF('SV Findings'!G160="Not Met", 'SV Findings'!J160,"")</f>
        <v/>
      </c>
      <c r="E115" s="715"/>
      <c r="F115" s="716"/>
      <c r="G115" s="241"/>
      <c r="Q115" s="49"/>
      <c r="R115" s="49"/>
      <c r="S115" s="49"/>
      <c r="T115" s="49"/>
      <c r="U115" s="49"/>
      <c r="V115" s="49"/>
      <c r="W115" s="49"/>
    </row>
    <row r="116" spans="2:23" s="2" customFormat="1" ht="15">
      <c r="B116" s="712" t="str">
        <f>IF('SV Findings'!G161="Not Met", 'SV Findings'!Q161,"")</f>
        <v/>
      </c>
      <c r="C116" s="713"/>
      <c r="D116" s="714" t="str">
        <f>IF('SV Findings'!G161="Not Met", 'SV Findings'!J161,"")</f>
        <v/>
      </c>
      <c r="E116" s="715"/>
      <c r="F116" s="716"/>
      <c r="G116" s="241"/>
      <c r="Q116" s="49"/>
      <c r="R116" s="49"/>
      <c r="S116" s="49"/>
      <c r="T116" s="49"/>
      <c r="U116" s="49"/>
      <c r="V116" s="49"/>
      <c r="W116" s="49"/>
    </row>
    <row r="117" spans="2:23" s="2" customFormat="1" ht="15">
      <c r="B117" s="712" t="str">
        <f>IF('SV Findings'!G162="Not Met", 'SV Findings'!Q162,"")</f>
        <v/>
      </c>
      <c r="C117" s="713"/>
      <c r="D117" s="714" t="str">
        <f>IF('SV Findings'!G162="Not Met", 'SV Findings'!J162,"")</f>
        <v/>
      </c>
      <c r="E117" s="715"/>
      <c r="F117" s="716"/>
      <c r="G117" s="241"/>
      <c r="Q117" s="49"/>
      <c r="R117" s="49"/>
      <c r="S117" s="49"/>
      <c r="T117" s="49"/>
      <c r="U117" s="49"/>
      <c r="V117" s="49"/>
      <c r="W117" s="49"/>
    </row>
    <row r="118" spans="2:23" s="2" customFormat="1" ht="15">
      <c r="B118" s="712" t="str">
        <f>IF('SV Findings'!G163="Not Met", 'SV Findings'!Q163,"")</f>
        <v/>
      </c>
      <c r="C118" s="713"/>
      <c r="D118" s="714" t="str">
        <f>IF('SV Findings'!G163="Not Met", 'SV Findings'!J163,"")</f>
        <v/>
      </c>
      <c r="E118" s="715"/>
      <c r="F118" s="716"/>
      <c r="G118" s="241"/>
      <c r="Q118" s="49"/>
      <c r="R118" s="49"/>
      <c r="S118" s="49"/>
      <c r="T118" s="49"/>
      <c r="U118" s="49"/>
      <c r="V118" s="49"/>
      <c r="W118" s="49"/>
    </row>
    <row r="119" spans="2:23" s="2" customFormat="1" ht="15">
      <c r="B119" s="712" t="str">
        <f>IF('SV Findings'!G167="Not Met", 'SV Findings'!Q167,"")</f>
        <v/>
      </c>
      <c r="C119" s="713"/>
      <c r="D119" s="714" t="str">
        <f>IF('SV Findings'!G167="Not Met", 'SV Findings'!J167,"")</f>
        <v/>
      </c>
      <c r="E119" s="715"/>
      <c r="F119" s="716"/>
      <c r="G119" s="241"/>
      <c r="Q119" s="49"/>
      <c r="R119" s="49"/>
      <c r="S119" s="49"/>
      <c r="T119" s="49"/>
      <c r="U119" s="49"/>
      <c r="V119" s="49"/>
      <c r="W119" s="49"/>
    </row>
    <row r="120" spans="2:23" s="2" customFormat="1" ht="15">
      <c r="B120" s="712" t="str">
        <f>IF('SV Findings'!G168="Not Met", 'SV Findings'!Q168,"")</f>
        <v/>
      </c>
      <c r="C120" s="713"/>
      <c r="D120" s="714" t="str">
        <f>IF('SV Findings'!G168="Not Met", 'SV Findings'!J168,"")</f>
        <v/>
      </c>
      <c r="E120" s="715"/>
      <c r="F120" s="716"/>
      <c r="G120" s="241"/>
      <c r="Q120" s="49"/>
      <c r="R120" s="49"/>
      <c r="S120" s="49"/>
      <c r="T120" s="49"/>
      <c r="U120" s="49"/>
      <c r="V120" s="49"/>
      <c r="W120" s="49"/>
    </row>
    <row r="121" spans="2:23" s="2" customFormat="1" ht="15">
      <c r="B121" s="712" t="str">
        <f>IF('SV Findings'!G169="Not Met", 'SV Findings'!Q169,"")</f>
        <v/>
      </c>
      <c r="C121" s="713"/>
      <c r="D121" s="714" t="str">
        <f>IF('SV Findings'!G169="Not Met", 'SV Findings'!J169,"")</f>
        <v/>
      </c>
      <c r="E121" s="715"/>
      <c r="F121" s="716"/>
      <c r="G121" s="241"/>
      <c r="Q121" s="49"/>
      <c r="R121" s="49"/>
      <c r="S121" s="49"/>
      <c r="T121" s="49"/>
      <c r="U121" s="49"/>
      <c r="V121" s="49"/>
      <c r="W121" s="49"/>
    </row>
    <row r="122" spans="2:23" s="2" customFormat="1" ht="15">
      <c r="B122" s="712" t="str">
        <f>IF('SV Findings'!G170="Not Met", 'SV Findings'!Q170,"")</f>
        <v/>
      </c>
      <c r="C122" s="713"/>
      <c r="D122" s="714" t="str">
        <f>IF('SV Findings'!G170="Not Met", 'SV Findings'!J170,"")</f>
        <v/>
      </c>
      <c r="E122" s="715"/>
      <c r="F122" s="716"/>
      <c r="G122" s="241"/>
      <c r="Q122" s="49"/>
      <c r="R122" s="49"/>
      <c r="S122" s="49"/>
      <c r="T122" s="49"/>
      <c r="U122" s="49"/>
      <c r="V122" s="49"/>
      <c r="W122" s="49"/>
    </row>
    <row r="123" spans="2:23" s="2" customFormat="1" ht="15">
      <c r="B123" s="712" t="str">
        <f>IF('SV Findings'!G172="Not Met", 'SV Findings'!Q172,"")</f>
        <v/>
      </c>
      <c r="C123" s="713"/>
      <c r="D123" s="714" t="str">
        <f>IF('SV Findings'!G172="Not Met", 'SV Findings'!J172,"")</f>
        <v/>
      </c>
      <c r="E123" s="715"/>
      <c r="F123" s="716"/>
      <c r="G123" s="241"/>
      <c r="Q123" s="49"/>
      <c r="R123" s="49"/>
      <c r="S123" s="49"/>
      <c r="T123" s="49"/>
      <c r="U123" s="49"/>
      <c r="V123" s="49"/>
      <c r="W123" s="49"/>
    </row>
    <row r="124" spans="2:23" s="2" customFormat="1" ht="15">
      <c r="B124" s="712" t="str">
        <f>IF('SV Findings'!G173="Not Met", 'SV Findings'!Q173,"")</f>
        <v/>
      </c>
      <c r="C124" s="713"/>
      <c r="D124" s="714" t="str">
        <f>IF('SV Findings'!G173="Not Met", 'SV Findings'!J173,"")</f>
        <v/>
      </c>
      <c r="E124" s="715"/>
      <c r="F124" s="716"/>
      <c r="G124" s="241"/>
      <c r="Q124" s="49"/>
      <c r="R124" s="49"/>
      <c r="S124" s="49"/>
      <c r="T124" s="49"/>
      <c r="U124" s="49"/>
      <c r="V124" s="49"/>
      <c r="W124" s="49"/>
    </row>
    <row r="125" spans="2:23" s="2" customFormat="1" ht="15">
      <c r="B125" s="712" t="str">
        <f>IF('SV Findings'!G174="Not Met", 'SV Findings'!Q174,"")</f>
        <v/>
      </c>
      <c r="C125" s="713"/>
      <c r="D125" s="714" t="str">
        <f>IF('SV Findings'!G174="Not Met", 'SV Findings'!J174,"")</f>
        <v/>
      </c>
      <c r="E125" s="715"/>
      <c r="F125" s="716"/>
      <c r="G125" s="241"/>
      <c r="Q125" s="49"/>
      <c r="R125" s="49"/>
      <c r="S125" s="49"/>
      <c r="T125" s="49"/>
      <c r="U125" s="49"/>
      <c r="V125" s="49"/>
      <c r="W125" s="49"/>
    </row>
    <row r="126" spans="2:23" s="2" customFormat="1" ht="29.25" customHeight="1">
      <c r="B126" s="712" t="str">
        <f>IF('SV Findings'!G183="Not Met", 'SV Findings'!Q183,"")</f>
        <v/>
      </c>
      <c r="C126" s="713"/>
      <c r="D126" s="714" t="str">
        <f>IF('SV Findings'!G183="Not Met", 'SV Findings'!J183,"")</f>
        <v/>
      </c>
      <c r="E126" s="715"/>
      <c r="F126" s="716"/>
      <c r="G126" s="241"/>
      <c r="Q126" s="49"/>
      <c r="R126" s="49"/>
      <c r="S126" s="49"/>
      <c r="T126" s="49"/>
      <c r="U126" s="49"/>
      <c r="V126" s="49"/>
      <c r="W126" s="49"/>
    </row>
    <row r="127" spans="2:23" s="2" customFormat="1" ht="29.25" customHeight="1">
      <c r="B127" s="712" t="str">
        <f>IF('SV Findings'!G184="Not Met", 'SV Findings'!Q184,"")</f>
        <v/>
      </c>
      <c r="C127" s="713"/>
      <c r="D127" s="714" t="str">
        <f>IF('SV Findings'!G184="Not Met", 'SV Findings'!J184,"")</f>
        <v/>
      </c>
      <c r="E127" s="715"/>
      <c r="F127" s="716"/>
      <c r="G127" s="241"/>
      <c r="Q127" s="49"/>
      <c r="R127" s="49"/>
      <c r="S127" s="49"/>
      <c r="T127" s="49"/>
      <c r="U127" s="49"/>
      <c r="V127" s="49"/>
      <c r="W127" s="49"/>
    </row>
    <row r="128" spans="2:23" s="2" customFormat="1" ht="29.25" customHeight="1">
      <c r="B128" s="712" t="str">
        <f>IF('SV Findings'!G185="Not Met", 'SV Findings'!Q185,"")</f>
        <v/>
      </c>
      <c r="C128" s="713"/>
      <c r="D128" s="714" t="str">
        <f>IF('SV Findings'!G185="Not Met", 'SV Findings'!J185,"")</f>
        <v/>
      </c>
      <c r="E128" s="715"/>
      <c r="F128" s="716"/>
      <c r="G128" s="241"/>
      <c r="Q128" s="49"/>
      <c r="R128" s="49"/>
      <c r="S128" s="49"/>
      <c r="T128" s="49"/>
      <c r="U128" s="49"/>
      <c r="V128" s="49"/>
      <c r="W128" s="49"/>
    </row>
    <row r="129" spans="2:23" s="2" customFormat="1" ht="15">
      <c r="B129" s="712" t="str">
        <f>IF('SV Findings'!G176="Not Met", 'SV Findings'!Q176,"")</f>
        <v/>
      </c>
      <c r="C129" s="713"/>
      <c r="D129" s="714" t="str">
        <f>IF('SV Findings'!G176="Not Met", 'SV Findings'!J176,"")</f>
        <v/>
      </c>
      <c r="E129" s="715"/>
      <c r="F129" s="716"/>
      <c r="G129" s="241"/>
      <c r="Q129" s="49"/>
      <c r="R129" s="49"/>
      <c r="S129" s="49"/>
      <c r="T129" s="49"/>
      <c r="U129" s="49"/>
      <c r="V129" s="49"/>
      <c r="W129" s="49"/>
    </row>
    <row r="130" spans="2:23" s="2" customFormat="1" ht="29.25" customHeight="1">
      <c r="B130" s="712" t="str">
        <f>IF('SV Findings'!G178="Not Met", 'SV Findings'!Q178,"")</f>
        <v/>
      </c>
      <c r="C130" s="713"/>
      <c r="D130" s="714" t="str">
        <f>IF('SV Findings'!G178="Not Met", 'SV Findings'!J178,"")</f>
        <v/>
      </c>
      <c r="E130" s="715"/>
      <c r="F130" s="716"/>
      <c r="G130" s="241"/>
      <c r="Q130" s="49"/>
      <c r="R130" s="49"/>
      <c r="S130" s="49"/>
      <c r="T130" s="49"/>
      <c r="U130" s="49"/>
      <c r="V130" s="49"/>
      <c r="W130" s="49"/>
    </row>
    <row r="131" spans="2:23" s="2" customFormat="1" ht="29.25" customHeight="1">
      <c r="B131" s="712" t="str">
        <f>IF('SV Findings'!G179="Not Met", 'SV Findings'!Q179,"")</f>
        <v/>
      </c>
      <c r="C131" s="713"/>
      <c r="D131" s="714" t="str">
        <f>IF('SV Findings'!G179="Not Met", 'SV Findings'!J179,"")</f>
        <v/>
      </c>
      <c r="E131" s="715"/>
      <c r="F131" s="716"/>
      <c r="G131" s="241"/>
      <c r="Q131" s="49"/>
      <c r="R131" s="49"/>
      <c r="S131" s="49"/>
      <c r="T131" s="49"/>
      <c r="U131" s="49"/>
      <c r="V131" s="49"/>
      <c r="W131" s="49"/>
    </row>
    <row r="132" spans="2:23" s="2" customFormat="1" ht="29.25" customHeight="1">
      <c r="B132" s="712" t="str">
        <f>IF('SV Findings'!G180="Not Met", 'SV Findings'!Q180,"")</f>
        <v/>
      </c>
      <c r="C132" s="713"/>
      <c r="D132" s="714" t="str">
        <f>IF('SV Findings'!G180="Not Met", 'SV Findings'!J180,"")</f>
        <v/>
      </c>
      <c r="E132" s="715"/>
      <c r="F132" s="716"/>
      <c r="G132" s="241"/>
      <c r="Q132" s="49"/>
      <c r="R132" s="49"/>
      <c r="S132" s="49"/>
      <c r="T132" s="49"/>
      <c r="U132" s="49"/>
      <c r="V132" s="49"/>
      <c r="W132" s="49"/>
    </row>
    <row r="133" spans="2:23" s="2" customFormat="1" ht="29.25" customHeight="1">
      <c r="B133" s="712" t="str">
        <f>IF('SV Findings'!G181="Not Met", 'SV Findings'!Q181,"")</f>
        <v/>
      </c>
      <c r="C133" s="713"/>
      <c r="D133" s="714" t="str">
        <f>IF('SV Findings'!G181="Not Met", 'SV Findings'!J181,"")</f>
        <v/>
      </c>
      <c r="E133" s="715"/>
      <c r="F133" s="716"/>
      <c r="G133" s="241"/>
      <c r="Q133" s="49"/>
      <c r="R133" s="49"/>
      <c r="S133" s="49"/>
      <c r="T133" s="49"/>
      <c r="U133" s="49"/>
      <c r="V133" s="49"/>
      <c r="W133" s="49"/>
    </row>
    <row r="134" spans="2:23" s="2" customFormat="1" ht="29.25" customHeight="1">
      <c r="B134" s="712" t="str">
        <f>IF('SV Findings'!G182="Not Met", 'SV Findings'!Q182,"")</f>
        <v/>
      </c>
      <c r="C134" s="713"/>
      <c r="D134" s="714" t="str">
        <f>IF('SV Findings'!G182="Not Met", 'SV Findings'!J182,"")</f>
        <v/>
      </c>
      <c r="E134" s="715"/>
      <c r="F134" s="716"/>
      <c r="G134" s="241"/>
      <c r="Q134" s="49"/>
      <c r="R134" s="49"/>
      <c r="S134" s="49"/>
      <c r="T134" s="49"/>
      <c r="U134" s="49"/>
      <c r="V134" s="49"/>
      <c r="W134" s="49"/>
    </row>
    <row r="135" spans="2:23" s="2" customFormat="1" ht="29.25" customHeight="1">
      <c r="B135" s="712" t="str">
        <f>IF('SV Findings'!G183="Not Met", 'SV Findings'!Q183,"")</f>
        <v/>
      </c>
      <c r="C135" s="713"/>
      <c r="D135" s="714" t="str">
        <f>IF('SV Findings'!G183="Not Met", 'SV Findings'!J183,"")</f>
        <v/>
      </c>
      <c r="E135" s="715"/>
      <c r="F135" s="716"/>
      <c r="G135" s="241"/>
      <c r="Q135" s="49"/>
      <c r="R135" s="49"/>
      <c r="S135" s="49"/>
      <c r="T135" s="49"/>
      <c r="U135" s="49"/>
      <c r="V135" s="49"/>
      <c r="W135" s="49"/>
    </row>
    <row r="136" spans="2:23" s="2" customFormat="1" ht="29.25" customHeight="1">
      <c r="B136" s="712" t="str">
        <f>IF('SV Findings'!G184="Not Met", 'SV Findings'!Q184,"")</f>
        <v/>
      </c>
      <c r="C136" s="713"/>
      <c r="D136" s="714" t="str">
        <f>IF('SV Findings'!G184="Not Met", 'SV Findings'!J184,"")</f>
        <v/>
      </c>
      <c r="E136" s="715"/>
      <c r="F136" s="716"/>
      <c r="G136" s="241"/>
      <c r="Q136" s="49"/>
      <c r="R136" s="49"/>
      <c r="S136" s="49"/>
      <c r="T136" s="49"/>
      <c r="U136" s="49"/>
      <c r="V136" s="49"/>
      <c r="W136" s="49"/>
    </row>
    <row r="137" spans="2:23" s="2" customFormat="1" ht="15">
      <c r="B137" s="712" t="str">
        <f>IF('SV Findings'!G186="Not Met", 'SV Findings'!Q186,"")</f>
        <v/>
      </c>
      <c r="C137" s="713"/>
      <c r="D137" s="714" t="str">
        <f>IF('SV Findings'!G186="Not Met", 'SV Findings'!J186,"")</f>
        <v/>
      </c>
      <c r="E137" s="715"/>
      <c r="F137" s="716"/>
      <c r="G137" s="241"/>
      <c r="Q137" s="49"/>
      <c r="R137" s="49"/>
      <c r="S137" s="49"/>
      <c r="T137" s="49"/>
      <c r="U137" s="49"/>
      <c r="V137" s="49"/>
      <c r="W137" s="49"/>
    </row>
    <row r="138" spans="2:23" s="2" customFormat="1" ht="29.25" customHeight="1">
      <c r="B138" s="712" t="str">
        <f>IF('SV Findings'!G189="Not Met", 'SV Findings'!Q189,"")</f>
        <v/>
      </c>
      <c r="C138" s="713"/>
      <c r="D138" s="714" t="str">
        <f>IF('SV Findings'!G189="Not Met", 'SV Findings'!J189,"")</f>
        <v/>
      </c>
      <c r="E138" s="715"/>
      <c r="F138" s="716"/>
      <c r="G138" s="241"/>
      <c r="Q138" s="49"/>
      <c r="R138" s="49"/>
      <c r="S138" s="49"/>
      <c r="T138" s="49"/>
      <c r="U138" s="49"/>
      <c r="V138" s="49"/>
      <c r="W138" s="49"/>
    </row>
    <row r="139" spans="2:23" s="2" customFormat="1" ht="29.25" customHeight="1">
      <c r="B139" s="712" t="str">
        <f>IF('SV Findings'!G190="Not Met", 'SV Findings'!Q190,"")</f>
        <v/>
      </c>
      <c r="C139" s="713"/>
      <c r="D139" s="714" t="str">
        <f>IF('SV Findings'!G190="Not Met", 'SV Findings'!J190,"")</f>
        <v/>
      </c>
      <c r="E139" s="715"/>
      <c r="F139" s="716"/>
      <c r="G139" s="241"/>
      <c r="Q139" s="49"/>
      <c r="R139" s="49"/>
      <c r="S139" s="49"/>
      <c r="T139" s="49"/>
      <c r="U139" s="49"/>
      <c r="V139" s="49"/>
      <c r="W139" s="49"/>
    </row>
    <row r="140" spans="2:23" s="2" customFormat="1" ht="29.25" customHeight="1">
      <c r="B140" s="712" t="str">
        <f>IF('SV Findings'!G191="Not Met", 'SV Findings'!Q191,"")</f>
        <v/>
      </c>
      <c r="C140" s="713"/>
      <c r="D140" s="714" t="str">
        <f>IF('SV Findings'!G191="Not Met", 'SV Findings'!J191,"")</f>
        <v/>
      </c>
      <c r="E140" s="715"/>
      <c r="F140" s="716"/>
      <c r="G140" s="241"/>
      <c r="Q140" s="49"/>
      <c r="R140" s="49"/>
      <c r="S140" s="49"/>
      <c r="T140" s="49"/>
      <c r="U140" s="49"/>
      <c r="V140" s="49"/>
      <c r="W140" s="49"/>
    </row>
    <row r="141" spans="2:23" s="2" customFormat="1" ht="15">
      <c r="B141" s="712" t="str">
        <f>IF('SV Findings'!G192="Not Met", 'SV Findings'!Q192,"")</f>
        <v/>
      </c>
      <c r="C141" s="713"/>
      <c r="D141" s="714" t="str">
        <f>IF('SV Findings'!G192="Not Met", 'SV Findings'!J192,"")</f>
        <v/>
      </c>
      <c r="E141" s="715"/>
      <c r="F141" s="716"/>
      <c r="G141" s="241"/>
      <c r="Q141" s="49"/>
      <c r="R141" s="49"/>
      <c r="S141" s="49"/>
      <c r="T141" s="49"/>
      <c r="U141" s="49"/>
      <c r="V141" s="49"/>
      <c r="W141" s="49"/>
    </row>
    <row r="142" spans="2:23" s="2" customFormat="1" ht="29.25" customHeight="1">
      <c r="B142" s="712" t="str">
        <f>IF('SV Findings'!G194="Not Met", 'SV Findings'!Q194,"")</f>
        <v/>
      </c>
      <c r="C142" s="713"/>
      <c r="D142" s="714" t="str">
        <f>IF('SV Findings'!G194="Not Met", 'SV Findings'!J194,"")</f>
        <v/>
      </c>
      <c r="E142" s="715"/>
      <c r="F142" s="716"/>
      <c r="G142" s="241"/>
      <c r="Q142" s="49"/>
      <c r="R142" s="49"/>
      <c r="S142" s="49"/>
      <c r="T142" s="49"/>
      <c r="U142" s="49"/>
      <c r="V142" s="49"/>
      <c r="W142" s="49"/>
    </row>
    <row r="143" spans="2:23" s="2" customFormat="1" ht="29.25" customHeight="1">
      <c r="B143" s="712" t="str">
        <f>IF('SV Findings'!G195="Not Met", 'SV Findings'!Q195,"")</f>
        <v/>
      </c>
      <c r="C143" s="713"/>
      <c r="D143" s="714" t="str">
        <f>IF('SV Findings'!G195="Not Met", 'SV Findings'!J195,"")</f>
        <v/>
      </c>
      <c r="E143" s="715"/>
      <c r="F143" s="716"/>
      <c r="G143" s="241"/>
      <c r="Q143" s="49"/>
      <c r="R143" s="49"/>
      <c r="S143" s="49"/>
      <c r="T143" s="49"/>
      <c r="U143" s="49"/>
      <c r="V143" s="49"/>
      <c r="W143" s="49"/>
    </row>
    <row r="144" spans="2:23" s="2" customFormat="1" ht="29.25" customHeight="1">
      <c r="B144" s="712" t="str">
        <f>IF('SV Findings'!G196="Not Met", 'SV Findings'!Q196,"")</f>
        <v/>
      </c>
      <c r="C144" s="713"/>
      <c r="D144" s="714" t="str">
        <f>IF('SV Findings'!G196="Not Met", 'SV Findings'!J196,"")</f>
        <v/>
      </c>
      <c r="E144" s="715"/>
      <c r="F144" s="716"/>
      <c r="G144" s="241"/>
      <c r="Q144" s="49"/>
      <c r="R144" s="49"/>
      <c r="S144" s="49"/>
      <c r="T144" s="49"/>
      <c r="U144" s="49"/>
      <c r="V144" s="49"/>
      <c r="W144" s="49"/>
    </row>
    <row r="145" spans="2:23" s="2" customFormat="1" ht="15">
      <c r="B145" s="712" t="str">
        <f>IF('SV Findings'!G197="Not Met", 'SV Findings'!Q197,"")</f>
        <v/>
      </c>
      <c r="C145" s="713"/>
      <c r="D145" s="714" t="str">
        <f>IF('SV Findings'!G197="Not Met", 'SV Findings'!J197,"")</f>
        <v/>
      </c>
      <c r="E145" s="715"/>
      <c r="F145" s="716"/>
      <c r="G145" s="241"/>
      <c r="Q145" s="49"/>
      <c r="R145" s="49"/>
      <c r="S145" s="49"/>
      <c r="T145" s="49"/>
      <c r="U145" s="49"/>
      <c r="V145" s="49"/>
      <c r="W145" s="49"/>
    </row>
    <row r="146" spans="2:23" s="2" customFormat="1" ht="15">
      <c r="B146" s="712" t="str">
        <f>IF('SV Findings'!G200="Not Met", 'SV Findings'!Q200,"")</f>
        <v/>
      </c>
      <c r="C146" s="713"/>
      <c r="D146" s="714" t="str">
        <f>IF('SV Findings'!G200="Not Met", 'SV Findings'!J200,"")</f>
        <v/>
      </c>
      <c r="E146" s="715"/>
      <c r="F146" s="716"/>
      <c r="G146" s="241"/>
      <c r="Q146" s="49"/>
      <c r="R146" s="49"/>
      <c r="S146" s="49"/>
      <c r="T146" s="49"/>
      <c r="U146" s="49"/>
      <c r="V146" s="49"/>
      <c r="W146" s="49"/>
    </row>
    <row r="147" spans="2:23" s="2" customFormat="1" ht="29.25" customHeight="1">
      <c r="B147" s="712" t="str">
        <f>IF('SV Findings'!G203="Not Met", 'SV Findings'!Q203,"")</f>
        <v/>
      </c>
      <c r="C147" s="713"/>
      <c r="D147" s="714" t="str">
        <f>IF('SV Findings'!G203="Not Met", 'SV Findings'!J203,"")</f>
        <v/>
      </c>
      <c r="E147" s="715"/>
      <c r="F147" s="716"/>
      <c r="G147" s="241"/>
      <c r="Q147" s="49"/>
      <c r="R147" s="49"/>
      <c r="S147" s="49"/>
      <c r="T147" s="49"/>
      <c r="U147" s="49"/>
      <c r="V147" s="49"/>
      <c r="W147" s="49"/>
    </row>
    <row r="148" spans="2:23" s="2" customFormat="1" ht="29.25" customHeight="1">
      <c r="B148" s="712" t="str">
        <f>IF('SV Findings'!G204="Not Met", 'SV Findings'!Q204,"")</f>
        <v/>
      </c>
      <c r="C148" s="713"/>
      <c r="D148" s="714" t="str">
        <f>IF('SV Findings'!G204="Not Met", 'SV Findings'!J204,"")</f>
        <v/>
      </c>
      <c r="E148" s="715"/>
      <c r="F148" s="716"/>
      <c r="G148" s="241"/>
      <c r="Q148" s="49"/>
      <c r="R148" s="49"/>
      <c r="S148" s="49"/>
      <c r="T148" s="49"/>
      <c r="U148" s="49"/>
      <c r="V148" s="49"/>
      <c r="W148" s="49"/>
    </row>
    <row r="149" spans="2:23" s="2" customFormat="1" ht="29.25" customHeight="1">
      <c r="B149" s="712" t="str">
        <f>IF('SV Findings'!G205="Not Met", 'SV Findings'!Q205,"")</f>
        <v/>
      </c>
      <c r="C149" s="713"/>
      <c r="D149" s="714" t="str">
        <f>IF('SV Findings'!G205="Not Met", 'SV Findings'!J205,"")</f>
        <v/>
      </c>
      <c r="E149" s="715"/>
      <c r="F149" s="716"/>
      <c r="G149" s="241"/>
      <c r="Q149" s="49"/>
      <c r="R149" s="49"/>
      <c r="S149" s="49"/>
      <c r="T149" s="49"/>
      <c r="U149" s="49"/>
      <c r="V149" s="49"/>
      <c r="W149" s="49"/>
    </row>
    <row r="150" spans="2:23" s="2" customFormat="1" ht="15">
      <c r="B150" s="712" t="str">
        <f>IF('SV Findings'!G206="Not Met", 'SV Findings'!Q206,"")</f>
        <v/>
      </c>
      <c r="C150" s="713"/>
      <c r="D150" s="714" t="str">
        <f>IF('SV Findings'!G206="Not Met", 'SV Findings'!J206,"")</f>
        <v/>
      </c>
      <c r="E150" s="715"/>
      <c r="F150" s="716"/>
      <c r="G150" s="241"/>
      <c r="Q150" s="49"/>
      <c r="R150" s="49"/>
      <c r="S150" s="49"/>
      <c r="T150" s="49"/>
      <c r="U150" s="49"/>
      <c r="V150" s="49"/>
      <c r="W150" s="49"/>
    </row>
    <row r="151" spans="2:23" s="2" customFormat="1" ht="15">
      <c r="B151" s="712" t="str">
        <f>IF('SV Findings'!G207="Not Met", 'SV Findings'!Q207,"")</f>
        <v/>
      </c>
      <c r="C151" s="713"/>
      <c r="D151" s="714" t="str">
        <f>IF('SV Findings'!G207="Not Met", 'SV Findings'!J207,"")</f>
        <v/>
      </c>
      <c r="E151" s="715"/>
      <c r="F151" s="716"/>
      <c r="G151" s="241"/>
      <c r="Q151" s="49"/>
      <c r="R151" s="49"/>
      <c r="S151" s="49"/>
      <c r="T151" s="49"/>
      <c r="U151" s="49"/>
      <c r="V151" s="49"/>
      <c r="W151" s="49"/>
    </row>
    <row r="152" spans="2:23" s="2" customFormat="1" ht="15">
      <c r="B152" s="712" t="str">
        <f>IF('SV Findings'!G208="Not Met", 'SV Findings'!Q208,"")</f>
        <v/>
      </c>
      <c r="C152" s="713"/>
      <c r="D152" s="714" t="str">
        <f>IF('SV Findings'!G208="Not Met", 'SV Findings'!J208,"")</f>
        <v/>
      </c>
      <c r="E152" s="715"/>
      <c r="F152" s="716"/>
      <c r="G152" s="241"/>
      <c r="Q152" s="49"/>
      <c r="R152" s="49"/>
      <c r="S152" s="49"/>
      <c r="T152" s="49"/>
      <c r="U152" s="49"/>
      <c r="V152" s="49"/>
      <c r="W152" s="49"/>
    </row>
    <row r="153" spans="2:23" s="2" customFormat="1" ht="15">
      <c r="B153" s="712" t="str">
        <f>IF('SV Findings'!G213="Not Met", 'SV Findings'!Q213,"")</f>
        <v/>
      </c>
      <c r="C153" s="713"/>
      <c r="D153" s="714" t="str">
        <f>IF('SV Findings'!G213="Not Met", 'SV Findings'!J213,"")</f>
        <v/>
      </c>
      <c r="E153" s="715"/>
      <c r="F153" s="716"/>
      <c r="G153" s="241"/>
      <c r="Q153" s="49"/>
      <c r="R153" s="49"/>
      <c r="S153" s="49"/>
      <c r="T153" s="49"/>
      <c r="U153" s="49"/>
      <c r="V153" s="49"/>
      <c r="W153" s="49"/>
    </row>
    <row r="154" spans="2:23" s="2" customFormat="1" ht="29.25" customHeight="1">
      <c r="B154" s="712" t="str">
        <f>IF('SV Findings'!G216="Not Met", 'SV Findings'!Q216,"")</f>
        <v/>
      </c>
      <c r="C154" s="713"/>
      <c r="D154" s="714" t="str">
        <f>IF('SV Findings'!G216="Not Met", 'SV Findings'!J216,"")</f>
        <v/>
      </c>
      <c r="E154" s="715"/>
      <c r="F154" s="716"/>
      <c r="G154" s="241"/>
      <c r="Q154" s="49"/>
      <c r="R154" s="49"/>
      <c r="S154" s="49"/>
      <c r="T154" s="49"/>
      <c r="U154" s="49"/>
      <c r="V154" s="49"/>
      <c r="W154" s="49"/>
    </row>
    <row r="155" spans="2:23" s="2" customFormat="1" ht="29.25" customHeight="1">
      <c r="B155" s="712" t="str">
        <f>IF('SV Findings'!G217="Not Met", 'SV Findings'!Q217,"")</f>
        <v/>
      </c>
      <c r="C155" s="713"/>
      <c r="D155" s="714" t="str">
        <f>IF('SV Findings'!G217="Not Met", 'SV Findings'!J217,"")</f>
        <v/>
      </c>
      <c r="E155" s="715"/>
      <c r="F155" s="716"/>
      <c r="G155" s="241"/>
      <c r="Q155" s="49"/>
      <c r="R155" s="49"/>
      <c r="S155" s="49"/>
      <c r="T155" s="49"/>
      <c r="U155" s="49"/>
      <c r="V155" s="49"/>
      <c r="W155" s="49"/>
    </row>
    <row r="156" spans="2:23" s="2" customFormat="1" ht="29.25" customHeight="1">
      <c r="B156" s="712" t="str">
        <f>IF('SV Findings'!G218="Not Met", 'SV Findings'!Q218,"")</f>
        <v/>
      </c>
      <c r="C156" s="713"/>
      <c r="D156" s="714" t="str">
        <f>IF('SV Findings'!G218="Not Met", 'SV Findings'!J218,"")</f>
        <v/>
      </c>
      <c r="E156" s="715"/>
      <c r="F156" s="716"/>
      <c r="G156" s="241"/>
      <c r="Q156" s="49"/>
      <c r="R156" s="49"/>
      <c r="S156" s="49"/>
      <c r="T156" s="49"/>
      <c r="U156" s="49"/>
      <c r="V156" s="49"/>
      <c r="W156" s="49"/>
    </row>
    <row r="157" spans="2:23" s="2" customFormat="1" ht="15">
      <c r="B157" s="712" t="str">
        <f>IF('SV Findings'!G219="Not Met", 'SV Findings'!Q219,"")</f>
        <v/>
      </c>
      <c r="C157" s="713"/>
      <c r="D157" s="714" t="str">
        <f>IF('SV Findings'!G219="Not Met", 'SV Findings'!J219,"")</f>
        <v/>
      </c>
      <c r="E157" s="715"/>
      <c r="F157" s="716"/>
      <c r="G157" s="241"/>
      <c r="Q157" s="49"/>
      <c r="R157" s="49"/>
      <c r="S157" s="49"/>
      <c r="T157" s="49"/>
      <c r="U157" s="49"/>
      <c r="V157" s="49"/>
      <c r="W157" s="49"/>
    </row>
    <row r="158" spans="2:23" s="2" customFormat="1" ht="15">
      <c r="B158" s="712" t="str">
        <f>IF('SV Findings'!G223="Not Met", 'SV Findings'!Q223,"")</f>
        <v/>
      </c>
      <c r="C158" s="713"/>
      <c r="D158" s="714" t="str">
        <f>IF('SV Findings'!G223="Not Met", 'SV Findings'!J223,"")</f>
        <v/>
      </c>
      <c r="E158" s="715"/>
      <c r="F158" s="716"/>
      <c r="G158" s="241"/>
      <c r="Q158" s="49"/>
      <c r="R158" s="49"/>
      <c r="S158" s="49"/>
      <c r="T158" s="49"/>
      <c r="U158" s="49"/>
      <c r="V158" s="49"/>
      <c r="W158" s="49"/>
    </row>
    <row r="159" spans="2:23" s="2" customFormat="1" ht="15">
      <c r="B159" s="712" t="str">
        <f>IF('SV Findings'!G224="Not Met", 'SV Findings'!Q224,"")</f>
        <v/>
      </c>
      <c r="C159" s="713"/>
      <c r="D159" s="714" t="str">
        <f>IF('SV Findings'!G224="Not Met", 'SV Findings'!J224,"")</f>
        <v/>
      </c>
      <c r="E159" s="715"/>
      <c r="F159" s="716"/>
      <c r="G159" s="241"/>
      <c r="Q159" s="49"/>
      <c r="R159" s="49"/>
      <c r="S159" s="49"/>
      <c r="T159" s="49"/>
      <c r="U159" s="49"/>
      <c r="V159" s="49"/>
      <c r="W159" s="49"/>
    </row>
    <row r="160" spans="2:23" s="2" customFormat="1" ht="15">
      <c r="B160" s="712" t="str">
        <f>IF('SV Findings'!G227="Not Met", 'SV Findings'!Q227,"")</f>
        <v/>
      </c>
      <c r="C160" s="713"/>
      <c r="D160" s="714" t="str">
        <f>IF('SV Findings'!G227="Not Met", 'SV Findings'!J227,"")</f>
        <v/>
      </c>
      <c r="E160" s="715"/>
      <c r="F160" s="716"/>
      <c r="G160" s="241"/>
      <c r="Q160" s="49"/>
      <c r="R160" s="49"/>
      <c r="S160" s="49"/>
      <c r="T160" s="49"/>
      <c r="U160" s="49"/>
      <c r="V160" s="49"/>
      <c r="W160" s="49"/>
    </row>
    <row r="161" spans="2:23" s="2" customFormat="1" ht="15">
      <c r="B161" s="712" t="str">
        <f>IF('SV Findings'!G229="Not Met", 'SV Findings'!Q229,"")</f>
        <v/>
      </c>
      <c r="C161" s="713"/>
      <c r="D161" s="714" t="str">
        <f>IF('SV Findings'!G229="Not Met", 'SV Findings'!J229,"")</f>
        <v/>
      </c>
      <c r="E161" s="715"/>
      <c r="F161" s="716"/>
      <c r="G161" s="241"/>
      <c r="Q161" s="49"/>
      <c r="R161" s="49"/>
      <c r="S161" s="49"/>
      <c r="T161" s="49"/>
      <c r="U161" s="49"/>
      <c r="V161" s="49"/>
      <c r="W161" s="49"/>
    </row>
    <row r="162" spans="2:23" s="2" customFormat="1" ht="15">
      <c r="B162" s="712" t="str">
        <f>IF('SV Findings'!G230="Not Met", 'SV Findings'!Q230,"")</f>
        <v/>
      </c>
      <c r="C162" s="713"/>
      <c r="D162" s="714" t="str">
        <f>IF('SV Findings'!G230="Not Met", 'SV Findings'!J230,"")</f>
        <v/>
      </c>
      <c r="E162" s="715"/>
      <c r="F162" s="716"/>
      <c r="G162" s="241"/>
      <c r="R162" s="49"/>
      <c r="S162" s="49"/>
      <c r="T162" s="49"/>
      <c r="U162" s="49"/>
      <c r="V162" s="49"/>
      <c r="W162" s="49"/>
    </row>
    <row r="163" spans="2:23" s="2" customFormat="1" ht="15">
      <c r="B163" s="712" t="str">
        <f>IF('SV Findings'!G233="Not Met", 'SV Findings'!Q233,"")</f>
        <v/>
      </c>
      <c r="C163" s="713"/>
      <c r="D163" s="714" t="str">
        <f>IF('SV Findings'!G233="Not Met", 'SV Findings'!J233,"")</f>
        <v/>
      </c>
      <c r="E163" s="715"/>
      <c r="F163" s="716"/>
      <c r="G163" s="241"/>
      <c r="R163" s="49"/>
      <c r="S163" s="49"/>
      <c r="T163" s="49"/>
      <c r="U163" s="49"/>
      <c r="V163" s="49"/>
      <c r="W163" s="49"/>
    </row>
    <row r="164" spans="2:23" s="2" customFormat="1" ht="15">
      <c r="B164" s="712" t="str">
        <f>IF('SV Findings'!G238="Not Met", 'SV Findings'!Q238,"")</f>
        <v/>
      </c>
      <c r="C164" s="713"/>
      <c r="D164" s="714" t="str">
        <f>IF('SV Findings'!G238="Not Met", 'SV Findings'!J238,"")</f>
        <v/>
      </c>
      <c r="E164" s="715"/>
      <c r="F164" s="716"/>
      <c r="G164" s="241"/>
      <c r="R164" s="49"/>
      <c r="S164" s="49"/>
      <c r="T164" s="49"/>
      <c r="U164" s="49"/>
      <c r="V164" s="49"/>
      <c r="W164" s="49"/>
    </row>
    <row r="165" spans="2:23" s="2" customFormat="1" ht="15">
      <c r="B165" s="712" t="str">
        <f>IF('SV Findings'!G239="Not Met", 'SV Findings'!Q239,"")</f>
        <v/>
      </c>
      <c r="C165" s="713"/>
      <c r="D165" s="714" t="str">
        <f>IF('SV Findings'!G239="Not Met", 'SV Findings'!J239,"")</f>
        <v/>
      </c>
      <c r="E165" s="715"/>
      <c r="F165" s="716"/>
      <c r="G165" s="241"/>
      <c r="Q165" s="49"/>
      <c r="R165" s="49"/>
      <c r="S165" s="49"/>
      <c r="T165" s="49"/>
      <c r="U165" s="49"/>
      <c r="V165" s="49"/>
      <c r="W165" s="49"/>
    </row>
    <row r="166" spans="2:23" s="2" customFormat="1" ht="15">
      <c r="B166" s="712" t="str">
        <f>IF('SV Findings'!G240="Not Met", 'SV Findings'!Q240,"")</f>
        <v/>
      </c>
      <c r="C166" s="713"/>
      <c r="D166" s="714" t="str">
        <f>IF('SV Findings'!G240="Not Met", 'SV Findings'!J240,"")</f>
        <v/>
      </c>
      <c r="E166" s="715"/>
      <c r="F166" s="716"/>
      <c r="G166" s="241"/>
      <c r="Q166" s="49"/>
      <c r="R166" s="49"/>
      <c r="S166" s="49"/>
      <c r="T166" s="49"/>
      <c r="U166" s="49"/>
      <c r="V166" s="49"/>
      <c r="W166" s="49"/>
    </row>
    <row r="167" spans="2:23" s="2" customFormat="1" ht="15">
      <c r="B167" s="712" t="str">
        <f>IF('SV Findings'!G241="Not Met", 'SV Findings'!Q241,"")</f>
        <v/>
      </c>
      <c r="C167" s="713"/>
      <c r="D167" s="714" t="str">
        <f>IF('SV Findings'!G241="Not Met", 'SV Findings'!J241,"")</f>
        <v/>
      </c>
      <c r="E167" s="715"/>
      <c r="F167" s="716"/>
      <c r="G167" s="241"/>
      <c r="Q167" s="49"/>
      <c r="R167" s="49"/>
      <c r="S167" s="49"/>
      <c r="T167" s="49"/>
      <c r="U167" s="49"/>
      <c r="V167" s="49"/>
      <c r="W167" s="49"/>
    </row>
    <row r="168" spans="2:23" s="2" customFormat="1" ht="15">
      <c r="B168" s="712" t="str">
        <f>IF('SV Findings'!G242="Not Met", 'SV Findings'!Q242,"")</f>
        <v/>
      </c>
      <c r="C168" s="713"/>
      <c r="D168" s="714" t="str">
        <f>IF('SV Findings'!G242="Not Met", 'SV Findings'!J242,"")</f>
        <v/>
      </c>
      <c r="E168" s="715"/>
      <c r="F168" s="716"/>
      <c r="G168" s="241"/>
      <c r="Q168" s="49"/>
      <c r="R168" s="49"/>
      <c r="S168" s="49"/>
      <c r="T168" s="49"/>
      <c r="U168" s="49"/>
      <c r="V168" s="49"/>
      <c r="W168" s="49"/>
    </row>
    <row r="169" spans="2:23" s="2" customFormat="1" ht="15">
      <c r="B169" s="712" t="str">
        <f>IF('SV Findings'!G243="Not Met", 'SV Findings'!Q243,"")</f>
        <v/>
      </c>
      <c r="C169" s="713"/>
      <c r="D169" s="714" t="str">
        <f>IF('SV Findings'!G243="Not Met", 'SV Findings'!J243,"")</f>
        <v/>
      </c>
      <c r="E169" s="715"/>
      <c r="F169" s="716"/>
      <c r="G169" s="241"/>
      <c r="Q169" s="49"/>
      <c r="R169" s="49"/>
      <c r="S169" s="49"/>
      <c r="T169" s="49"/>
      <c r="U169" s="49"/>
      <c r="V169" s="49"/>
      <c r="W169" s="49"/>
    </row>
    <row r="170" spans="2:23" s="2" customFormat="1" ht="15">
      <c r="B170" s="712" t="str">
        <f>IF('SV Findings'!G244="Not Met", 'SV Findings'!Q244,"")</f>
        <v/>
      </c>
      <c r="C170" s="713"/>
      <c r="D170" s="714" t="str">
        <f>IF('SV Findings'!G244="Not Met", 'SV Findings'!J244,"")</f>
        <v/>
      </c>
      <c r="E170" s="715"/>
      <c r="F170" s="716"/>
      <c r="G170" s="241"/>
      <c r="Q170" s="49"/>
      <c r="R170" s="49"/>
      <c r="S170" s="49"/>
      <c r="T170" s="49"/>
      <c r="U170" s="49"/>
      <c r="V170" s="49"/>
      <c r="W170" s="49"/>
    </row>
    <row r="171" spans="2:23" s="2" customFormat="1" ht="15">
      <c r="B171" s="712" t="str">
        <f>IF('SV Findings'!G245="Not Met", 'SV Findings'!Q245,"")</f>
        <v/>
      </c>
      <c r="C171" s="713"/>
      <c r="D171" s="714" t="str">
        <f>IF('SV Findings'!G245="Not Met", 'SV Findings'!J245,"")</f>
        <v/>
      </c>
      <c r="E171" s="715"/>
      <c r="F171" s="716"/>
      <c r="G171" s="241"/>
      <c r="Q171" s="49"/>
      <c r="R171" s="49"/>
      <c r="S171" s="49"/>
      <c r="T171" s="49"/>
      <c r="U171" s="49"/>
      <c r="V171" s="49"/>
      <c r="W171" s="49"/>
    </row>
    <row r="172" spans="2:23" s="2" customFormat="1" ht="15">
      <c r="B172" s="712" t="str">
        <f>IF('SV Findings'!G246="Not Met", 'SV Findings'!Q246,"")</f>
        <v/>
      </c>
      <c r="C172" s="713"/>
      <c r="D172" s="714" t="str">
        <f>IF('SV Findings'!G246="Not Met", 'SV Findings'!J246,"")</f>
        <v/>
      </c>
      <c r="E172" s="715"/>
      <c r="F172" s="716"/>
      <c r="G172" s="241"/>
      <c r="Q172" s="49"/>
      <c r="R172" s="49"/>
      <c r="S172" s="49"/>
      <c r="T172" s="49"/>
      <c r="U172" s="49"/>
      <c r="V172" s="49"/>
      <c r="W172" s="49"/>
    </row>
    <row r="173" spans="2:23" s="2" customFormat="1" ht="15">
      <c r="B173" s="712" t="str">
        <f>IF('SV Findings'!G247="Not Met", 'SV Findings'!Q247,"")</f>
        <v/>
      </c>
      <c r="C173" s="713"/>
      <c r="D173" s="714" t="str">
        <f>IF('SV Findings'!G247="Not Met", 'SV Findings'!J247,"")</f>
        <v/>
      </c>
      <c r="E173" s="715"/>
      <c r="F173" s="716"/>
      <c r="G173" s="241"/>
      <c r="Q173" s="49"/>
      <c r="R173" s="49"/>
      <c r="S173" s="49"/>
      <c r="T173" s="49"/>
      <c r="U173" s="49"/>
      <c r="V173" s="49"/>
      <c r="W173" s="49"/>
    </row>
    <row r="174" spans="2:23" s="2" customFormat="1" ht="15">
      <c r="B174" s="712" t="str">
        <f>IF('SV Findings'!G248="Not Met", 'SV Findings'!Q248,"")</f>
        <v/>
      </c>
      <c r="C174" s="713"/>
      <c r="D174" s="714" t="str">
        <f>IF('SV Findings'!G248="Not Met", 'SV Findings'!J248,"")</f>
        <v/>
      </c>
      <c r="E174" s="715"/>
      <c r="F174" s="716"/>
      <c r="G174" s="241"/>
      <c r="Q174" s="49"/>
      <c r="R174" s="49"/>
      <c r="S174" s="49"/>
      <c r="T174" s="49"/>
      <c r="U174" s="49"/>
      <c r="V174" s="49"/>
      <c r="W174" s="49"/>
    </row>
    <row r="175" spans="2:23" s="2" customFormat="1" ht="15">
      <c r="B175" s="712" t="str">
        <f>IF('SV Findings'!G249="Not Met", 'SV Findings'!Q249,"")</f>
        <v/>
      </c>
      <c r="C175" s="713"/>
      <c r="D175" s="714" t="str">
        <f>IF('SV Findings'!G249="Not Met", 'SV Findings'!J249,"")</f>
        <v/>
      </c>
      <c r="E175" s="715"/>
      <c r="F175" s="716"/>
      <c r="G175" s="241"/>
      <c r="Q175" s="49"/>
      <c r="R175" s="49"/>
      <c r="S175" s="49"/>
      <c r="T175" s="49"/>
      <c r="U175" s="49"/>
      <c r="V175" s="49"/>
      <c r="W175" s="49"/>
    </row>
    <row r="176" spans="2:23" s="2" customFormat="1" ht="15">
      <c r="B176" s="712" t="str">
        <f>IF('SV Findings'!G250="Not Met", 'SV Findings'!Q250,"")</f>
        <v/>
      </c>
      <c r="C176" s="713"/>
      <c r="D176" s="714" t="str">
        <f>IF('SV Findings'!G250="Not Met", 'SV Findings'!J250,"")</f>
        <v/>
      </c>
      <c r="E176" s="715"/>
      <c r="F176" s="716"/>
      <c r="G176" s="241"/>
      <c r="Q176" s="49"/>
      <c r="R176" s="49"/>
      <c r="S176" s="49"/>
      <c r="T176" s="49"/>
      <c r="U176" s="49"/>
      <c r="V176" s="49"/>
      <c r="W176" s="49"/>
    </row>
    <row r="177" spans="2:23" s="2" customFormat="1" ht="15">
      <c r="B177" s="712" t="str">
        <f>IF('SV Findings'!G251="Not Met", 'SV Findings'!Q251,"")</f>
        <v/>
      </c>
      <c r="C177" s="713"/>
      <c r="D177" s="714" t="str">
        <f>IF('SV Findings'!G251="Not Met", 'SV Findings'!J251,"")</f>
        <v/>
      </c>
      <c r="E177" s="715"/>
      <c r="F177" s="716"/>
      <c r="G177" s="241"/>
      <c r="Q177" s="49"/>
      <c r="R177" s="49"/>
      <c r="S177" s="49"/>
      <c r="T177" s="49"/>
      <c r="U177" s="49"/>
      <c r="V177" s="49"/>
      <c r="W177" s="49"/>
    </row>
    <row r="178" spans="2:23" s="2" customFormat="1" ht="15">
      <c r="B178" s="712" t="str">
        <f>IF('SV Findings'!G252="Not Met", 'SV Findings'!Q252,"")</f>
        <v/>
      </c>
      <c r="C178" s="713"/>
      <c r="D178" s="714" t="str">
        <f>IF('SV Findings'!G252="Not Met", 'SV Findings'!J252,"")</f>
        <v/>
      </c>
      <c r="E178" s="715"/>
      <c r="F178" s="716"/>
      <c r="G178" s="241"/>
      <c r="Q178" s="49"/>
      <c r="R178" s="49"/>
      <c r="S178" s="49"/>
      <c r="T178" s="49"/>
      <c r="U178" s="49"/>
      <c r="V178" s="49"/>
      <c r="W178" s="49"/>
    </row>
    <row r="179" spans="2:23" s="2" customFormat="1" ht="15">
      <c r="B179" s="712" t="str">
        <f>IF('SV Findings'!G253="Not Met", 'SV Findings'!Q253,"")</f>
        <v/>
      </c>
      <c r="C179" s="713"/>
      <c r="D179" s="714" t="str">
        <f>IF('SV Findings'!G253="Not Met", 'SV Findings'!J253,"")</f>
        <v/>
      </c>
      <c r="E179" s="715"/>
      <c r="F179" s="716"/>
      <c r="G179" s="241"/>
      <c r="Q179" s="49"/>
      <c r="R179" s="49"/>
      <c r="S179" s="49"/>
      <c r="T179" s="49"/>
      <c r="U179" s="49"/>
      <c r="V179" s="49"/>
      <c r="W179" s="49"/>
    </row>
    <row r="180" spans="2:23" s="2" customFormat="1" ht="15">
      <c r="B180" s="712" t="str">
        <f>IF('SV Findings'!G254="Not Met", 'SV Findings'!Q254,"")</f>
        <v/>
      </c>
      <c r="C180" s="713"/>
      <c r="D180" s="714" t="str">
        <f>IF('SV Findings'!G254="Not Met", 'SV Findings'!J254,"")</f>
        <v/>
      </c>
      <c r="E180" s="715"/>
      <c r="F180" s="716"/>
      <c r="G180" s="241"/>
      <c r="Q180" s="49"/>
      <c r="R180" s="49"/>
      <c r="S180" s="49"/>
      <c r="T180" s="49"/>
      <c r="U180" s="49"/>
      <c r="V180" s="49"/>
      <c r="W180" s="49"/>
    </row>
    <row r="181" spans="2:23" s="2" customFormat="1" ht="15">
      <c r="B181" s="712" t="str">
        <f>IF('SV Findings'!G256="Not Met", 'SV Findings'!Q256,"")</f>
        <v/>
      </c>
      <c r="C181" s="713"/>
      <c r="D181" s="714" t="str">
        <f>IF('SV Findings'!G256="Not Met", 'SV Findings'!J256,"")</f>
        <v/>
      </c>
      <c r="E181" s="715"/>
      <c r="F181" s="716"/>
      <c r="G181" s="241"/>
      <c r="Q181" s="49"/>
      <c r="R181" s="49"/>
      <c r="S181" s="49"/>
      <c r="T181" s="49"/>
      <c r="U181" s="49"/>
      <c r="V181" s="49"/>
      <c r="W181" s="49"/>
    </row>
    <row r="182" spans="2:23" s="2" customFormat="1" ht="32.1" customHeight="1">
      <c r="B182" s="712" t="str">
        <f>IF('SV Findings'!G257="Not Met", 'SV Findings'!Q257,"")</f>
        <v/>
      </c>
      <c r="C182" s="713"/>
      <c r="D182" s="714" t="str">
        <f>IF('SV Findings'!G257="Not Met", 'SV Findings'!J257,"")</f>
        <v/>
      </c>
      <c r="E182" s="715"/>
      <c r="F182" s="716"/>
      <c r="G182" s="241"/>
      <c r="Q182" s="49"/>
      <c r="R182" s="49"/>
      <c r="S182" s="49"/>
      <c r="T182" s="49"/>
      <c r="U182" s="49"/>
      <c r="V182" s="49"/>
      <c r="W182" s="49"/>
    </row>
    <row r="183" spans="2:23" s="2" customFormat="1" ht="32.1" customHeight="1">
      <c r="B183" s="712" t="str">
        <f>IF('SV Findings'!G258="Not Met", 'SV Findings'!Q258,"")</f>
        <v/>
      </c>
      <c r="C183" s="713"/>
      <c r="D183" s="714" t="str">
        <f>IF('SV Findings'!G258="Not Met", 'SV Findings'!J258,"")</f>
        <v/>
      </c>
      <c r="E183" s="715"/>
      <c r="F183" s="716"/>
      <c r="G183" s="241"/>
      <c r="Q183" s="49"/>
      <c r="R183" s="49"/>
      <c r="S183" s="49"/>
      <c r="T183" s="49"/>
      <c r="U183" s="49"/>
      <c r="V183" s="49"/>
      <c r="W183" s="49"/>
    </row>
    <row r="184" spans="2:23" s="2" customFormat="1" ht="32.1" customHeight="1">
      <c r="B184" s="712" t="str">
        <f>IF('SV Findings'!G259="Not Met", 'SV Findings'!Q259,"")</f>
        <v/>
      </c>
      <c r="C184" s="713"/>
      <c r="D184" s="714" t="str">
        <f>IF('SV Findings'!G259="Not Met", 'SV Findings'!J259,"")</f>
        <v/>
      </c>
      <c r="E184" s="715"/>
      <c r="F184" s="716"/>
      <c r="G184" s="241"/>
      <c r="Q184" s="49"/>
      <c r="R184" s="49"/>
      <c r="S184" s="49"/>
      <c r="T184" s="49"/>
      <c r="U184" s="49"/>
      <c r="V184" s="49"/>
      <c r="W184" s="49"/>
    </row>
    <row r="185" spans="2:23" s="2" customFormat="1" ht="15">
      <c r="B185" s="712" t="str">
        <f>IF('SV Findings'!G260="Not Met", 'SV Findings'!Q260,"")</f>
        <v/>
      </c>
      <c r="C185" s="713"/>
      <c r="D185" s="714" t="str">
        <f>IF('SV Findings'!G260="Not Met", 'SV Findings'!J260,"")</f>
        <v/>
      </c>
      <c r="E185" s="715"/>
      <c r="F185" s="716"/>
      <c r="G185" s="241"/>
      <c r="Q185" s="49"/>
      <c r="R185" s="49"/>
      <c r="S185" s="49"/>
      <c r="T185" s="49"/>
      <c r="U185" s="49"/>
      <c r="V185" s="49"/>
      <c r="W185" s="49"/>
    </row>
    <row r="186" spans="2:23" s="2" customFormat="1" ht="15">
      <c r="B186" s="712" t="str">
        <f>IF('SV Findings'!G262="Not Met", 'SV Findings'!Q262,"")</f>
        <v/>
      </c>
      <c r="C186" s="713"/>
      <c r="D186" s="714" t="str">
        <f>IF('SV Findings'!G262="Not Met", 'SV Findings'!J262,"")</f>
        <v/>
      </c>
      <c r="E186" s="715"/>
      <c r="F186" s="716"/>
      <c r="G186" s="241"/>
      <c r="Q186" s="49"/>
      <c r="R186" s="49"/>
      <c r="S186" s="49"/>
      <c r="T186" s="49"/>
      <c r="U186" s="49"/>
      <c r="V186" s="49"/>
      <c r="W186" s="49"/>
    </row>
    <row r="187" spans="2:23" s="2" customFormat="1" ht="15">
      <c r="B187" s="712" t="str">
        <f>IF('SV Findings'!G265="Not Met", 'SV Findings'!Q265,"")</f>
        <v/>
      </c>
      <c r="C187" s="713"/>
      <c r="D187" s="714" t="str">
        <f>IF('SV Findings'!G265="Not Met", 'SV Findings'!J265,"")</f>
        <v/>
      </c>
      <c r="E187" s="715"/>
      <c r="F187" s="716"/>
      <c r="G187" s="241"/>
      <c r="R187" s="49"/>
      <c r="S187" s="49"/>
      <c r="T187" s="49"/>
      <c r="U187" s="49"/>
      <c r="V187" s="49"/>
      <c r="W187" s="49"/>
    </row>
    <row r="188" spans="2:23" s="2" customFormat="1" ht="15">
      <c r="B188" s="712" t="str">
        <f>IF('SV Findings'!G267="Not Met", 'SV Findings'!Q267,"")</f>
        <v/>
      </c>
      <c r="C188" s="713"/>
      <c r="D188" s="714" t="str">
        <f>IF('SV Findings'!G267="Not Met", 'SV Findings'!J267,"")</f>
        <v/>
      </c>
      <c r="E188" s="715"/>
      <c r="F188" s="716"/>
      <c r="G188" s="241"/>
      <c r="R188" s="49"/>
      <c r="S188" s="49"/>
      <c r="T188" s="49"/>
      <c r="U188" s="49"/>
      <c r="V188" s="49"/>
      <c r="W188" s="49"/>
    </row>
    <row r="189" spans="2:23" s="2" customFormat="1" ht="15">
      <c r="B189" s="712" t="str">
        <f>IF('SV Findings'!G270="Not Met", 'SV Findings'!Q270,"")</f>
        <v/>
      </c>
      <c r="C189" s="713"/>
      <c r="D189" s="714" t="str">
        <f>IF('SV Findings'!G270="Not Met", 'SV Findings'!J270,"")</f>
        <v/>
      </c>
      <c r="E189" s="715"/>
      <c r="F189" s="716"/>
      <c r="G189" s="241"/>
      <c r="R189" s="49"/>
      <c r="S189" s="49"/>
      <c r="T189" s="49"/>
      <c r="U189" s="49"/>
      <c r="V189" s="49"/>
      <c r="W189" s="49"/>
    </row>
    <row r="190" spans="2:23" s="2" customFormat="1" ht="15">
      <c r="B190" s="712" t="str">
        <f>IF('SV Findings'!G272="Not Met", 'SV Findings'!Q272,"")</f>
        <v/>
      </c>
      <c r="C190" s="713"/>
      <c r="D190" s="714" t="str">
        <f>IF('SV Findings'!G272="Not Met", 'SV Findings'!J272,"")</f>
        <v/>
      </c>
      <c r="E190" s="715"/>
      <c r="F190" s="716"/>
      <c r="G190" s="241"/>
      <c r="R190" s="49"/>
      <c r="S190" s="49"/>
      <c r="T190" s="49"/>
      <c r="U190" s="49"/>
      <c r="V190" s="49"/>
      <c r="W190" s="49"/>
    </row>
    <row r="191" spans="2:23" s="2" customFormat="1" ht="15">
      <c r="B191" s="712" t="str">
        <f>IF('SV Findings'!G274="Not Met", 'SV Findings'!Q274,"")</f>
        <v/>
      </c>
      <c r="C191" s="713"/>
      <c r="D191" s="714" t="str">
        <f>IF('SV Findings'!G274="Not Met", 'SV Findings'!J274,"")</f>
        <v/>
      </c>
      <c r="E191" s="715"/>
      <c r="F191" s="716"/>
      <c r="G191" s="241"/>
      <c r="Q191" s="49"/>
      <c r="R191" s="49"/>
      <c r="S191" s="49"/>
      <c r="T191" s="49"/>
      <c r="U191" s="49"/>
      <c r="V191" s="49"/>
      <c r="W191" s="49"/>
    </row>
    <row r="192" spans="2:23" s="2" customFormat="1" ht="15">
      <c r="B192" s="712" t="str">
        <f>IF('SV Findings'!G275="Not Met", 'SV Findings'!Q275,"")</f>
        <v/>
      </c>
      <c r="C192" s="713"/>
      <c r="D192" s="714" t="str">
        <f>IF('SV Findings'!G275="Not Met", 'SV Findings'!J275,"")</f>
        <v/>
      </c>
      <c r="E192" s="715"/>
      <c r="F192" s="716"/>
      <c r="G192" s="241"/>
      <c r="Q192" s="49"/>
      <c r="R192" s="49"/>
      <c r="S192" s="49"/>
      <c r="T192" s="49"/>
      <c r="U192" s="49"/>
      <c r="V192" s="49"/>
      <c r="W192" s="49"/>
    </row>
    <row r="193" spans="2:70" s="2" customFormat="1" ht="15">
      <c r="B193" s="712" t="str">
        <f>IF('SV Findings'!G276="Not Met", 'SV Findings'!Q276,"")</f>
        <v/>
      </c>
      <c r="C193" s="713"/>
      <c r="D193" s="714" t="str">
        <f>IF('SV Findings'!G276="Not Met", 'SV Findings'!J276,"")</f>
        <v/>
      </c>
      <c r="E193" s="715"/>
      <c r="F193" s="716"/>
      <c r="G193" s="241"/>
      <c r="Q193" s="49"/>
      <c r="R193" s="49"/>
      <c r="S193" s="49"/>
      <c r="T193" s="49"/>
      <c r="U193" s="49"/>
      <c r="V193" s="49"/>
      <c r="W193" s="49"/>
    </row>
    <row r="194" spans="2:70" s="2" customFormat="1" ht="15">
      <c r="B194" s="712" t="str">
        <f>IF('SV Findings'!G277="Not Met", 'SV Findings'!Q277,"")</f>
        <v/>
      </c>
      <c r="C194" s="713"/>
      <c r="D194" s="714" t="str">
        <f>IF('SV Findings'!G277="Not Met", 'SV Findings'!J277,"")</f>
        <v/>
      </c>
      <c r="E194" s="715"/>
      <c r="F194" s="716"/>
      <c r="G194" s="241"/>
      <c r="Q194" s="49"/>
      <c r="R194" s="49"/>
      <c r="S194" s="49"/>
      <c r="T194" s="49"/>
      <c r="U194" s="49"/>
      <c r="V194" s="49"/>
      <c r="W194" s="49"/>
    </row>
    <row r="195" spans="2:70" s="2" customFormat="1" ht="15">
      <c r="B195" s="712" t="str">
        <f>IF('SV Findings'!G278="Not Met", 'SV Findings'!Q278,"")</f>
        <v/>
      </c>
      <c r="C195" s="713"/>
      <c r="D195" s="714" t="str">
        <f>IF('SV Findings'!G278="Not Met", 'SV Findings'!J278,"")</f>
        <v/>
      </c>
      <c r="E195" s="715"/>
      <c r="F195" s="716"/>
      <c r="G195" s="241"/>
      <c r="Q195" s="49"/>
      <c r="R195" s="49"/>
      <c r="S195" s="49"/>
      <c r="T195" s="49"/>
      <c r="U195" s="49"/>
      <c r="V195" s="49"/>
      <c r="W195" s="49"/>
    </row>
    <row r="196" spans="2:70" s="2" customFormat="1" ht="33.6" customHeight="1">
      <c r="B196" s="712" t="str">
        <f>IF('SV Findings'!G280="Not Met", 'SV Findings'!Q280,"")</f>
        <v/>
      </c>
      <c r="C196" s="713"/>
      <c r="D196" s="714" t="str">
        <f>IF('SV Findings'!G280="Not Met", 'SV Findings'!J280,"")</f>
        <v/>
      </c>
      <c r="E196" s="715"/>
      <c r="F196" s="716"/>
      <c r="G196" s="241"/>
      <c r="Q196" s="49"/>
      <c r="R196" s="49"/>
      <c r="S196" s="49"/>
      <c r="T196" s="49"/>
      <c r="U196" s="49"/>
      <c r="V196" s="49"/>
      <c r="W196" s="49"/>
    </row>
    <row r="197" spans="2:70" s="2" customFormat="1" ht="33.6" customHeight="1">
      <c r="B197" s="712" t="str">
        <f>IF('SV Findings'!G281="Not Met", 'SV Findings'!Q281,"")</f>
        <v/>
      </c>
      <c r="C197" s="713"/>
      <c r="D197" s="714" t="str">
        <f>IF('SV Findings'!G281="Not Met", 'SV Findings'!J281,"")</f>
        <v/>
      </c>
      <c r="E197" s="715"/>
      <c r="F197" s="716"/>
      <c r="G197" s="241"/>
      <c r="Q197" s="49"/>
      <c r="R197" s="49"/>
      <c r="S197" s="49"/>
      <c r="T197" s="49"/>
      <c r="U197" s="49"/>
      <c r="V197" s="49"/>
      <c r="W197" s="49"/>
    </row>
    <row r="198" spans="2:70" s="2" customFormat="1" ht="33.6" customHeight="1">
      <c r="B198" s="712" t="str">
        <f>IF('SV Findings'!G282="Not Met", 'SV Findings'!Q282,"")</f>
        <v/>
      </c>
      <c r="C198" s="713"/>
      <c r="D198" s="714" t="str">
        <f>IF('SV Findings'!G282="Not Met", 'SV Findings'!J282,"")</f>
        <v/>
      </c>
      <c r="E198" s="715"/>
      <c r="F198" s="716"/>
      <c r="G198" s="241"/>
      <c r="Q198" s="49"/>
      <c r="R198" s="49"/>
      <c r="S198" s="49"/>
      <c r="T198" s="49"/>
      <c r="U198" s="49"/>
      <c r="V198" s="49"/>
      <c r="W198" s="49"/>
    </row>
    <row r="199" spans="2:70" s="2" customFormat="1" ht="15">
      <c r="B199" s="712" t="str">
        <f>IF('SV Findings'!G284="Not Met", 'SV Findings'!Q284,"")</f>
        <v/>
      </c>
      <c r="C199" s="713"/>
      <c r="D199" s="714" t="str">
        <f>IF('SV Findings'!G284="Not Met", 'SV Findings'!J284,"")</f>
        <v/>
      </c>
      <c r="E199" s="715"/>
      <c r="F199" s="716"/>
      <c r="G199" s="241"/>
      <c r="Q199" s="49"/>
      <c r="R199" s="49"/>
      <c r="S199" s="49"/>
      <c r="T199" s="49"/>
      <c r="U199" s="49"/>
      <c r="V199" s="49"/>
      <c r="W199" s="49"/>
    </row>
    <row r="200" spans="2:70" s="2" customFormat="1" ht="15">
      <c r="B200" s="712" t="str">
        <f>IF('SV Findings'!G289="Not Met", 'SV Findings'!Q289,"")</f>
        <v/>
      </c>
      <c r="C200" s="713"/>
      <c r="D200" s="714" t="str">
        <f>IF('SV Findings'!G289="Not Met", 'SV Findings'!J289,"")</f>
        <v/>
      </c>
      <c r="E200" s="715"/>
      <c r="F200" s="716"/>
      <c r="G200" s="241"/>
      <c r="R200" s="49"/>
      <c r="S200" s="49"/>
      <c r="T200" s="49"/>
      <c r="U200" s="49"/>
      <c r="V200" s="49"/>
      <c r="W200" s="49"/>
    </row>
    <row r="201" spans="2:70" s="2" customFormat="1" ht="15">
      <c r="B201" s="741"/>
      <c r="C201" s="742"/>
      <c r="D201" s="714"/>
      <c r="E201" s="715"/>
      <c r="F201" s="716"/>
      <c r="G201" s="241"/>
      <c r="R201" s="49"/>
      <c r="S201" s="49"/>
      <c r="T201" s="49"/>
      <c r="U201" s="49"/>
      <c r="V201" s="49"/>
      <c r="W201" s="49"/>
    </row>
    <row r="202" spans="2:70" s="2" customFormat="1" ht="15">
      <c r="B202" s="741"/>
      <c r="C202" s="742"/>
      <c r="D202" s="714"/>
      <c r="E202" s="715"/>
      <c r="F202" s="716"/>
      <c r="G202" s="241"/>
      <c r="R202" s="49"/>
      <c r="S202" s="49"/>
      <c r="T202" s="49"/>
      <c r="U202" s="49"/>
      <c r="V202" s="49"/>
      <c r="W202" s="49"/>
    </row>
    <row r="203" spans="2:70" s="2" customFormat="1" ht="15">
      <c r="B203" s="743"/>
      <c r="C203" s="744"/>
      <c r="D203" s="745"/>
      <c r="E203" s="746"/>
      <c r="F203" s="747"/>
      <c r="G203" s="242"/>
      <c r="R203" s="49"/>
      <c r="S203" s="49"/>
      <c r="T203" s="49"/>
      <c r="U203" s="49"/>
      <c r="V203" s="49"/>
      <c r="W203" s="49"/>
    </row>
    <row r="204" spans="2:70" ht="14.45" hidden="1" customHeight="1">
      <c r="B204" s="748"/>
      <c r="C204" s="749"/>
      <c r="D204" s="749"/>
      <c r="E204" s="749"/>
      <c r="F204" s="749"/>
      <c r="G204" s="750"/>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2:70" s="146" customFormat="1" ht="27" customHeight="1">
      <c r="B205" s="738" t="str">
        <f>IF('Cover Page'!$D$8&lt;&gt;"Please Select",'Cover Page'!$D$8, "")</f>
        <v/>
      </c>
      <c r="C205" s="739"/>
      <c r="D205" s="739"/>
      <c r="E205" s="739"/>
      <c r="F205" s="739"/>
      <c r="G205" s="740"/>
      <c r="H205"/>
      <c r="I205"/>
      <c r="J205"/>
      <c r="K205"/>
      <c r="L205"/>
    </row>
    <row r="206" spans="2:70" ht="27.75" customHeight="1">
      <c r="B206" s="807" t="s">
        <v>719</v>
      </c>
      <c r="C206" s="808"/>
      <c r="D206" s="808"/>
      <c r="E206" s="808"/>
      <c r="F206" s="808"/>
      <c r="G206" s="808"/>
      <c r="I206" s="53"/>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c r="BF206" s="58"/>
      <c r="BG206" s="58"/>
      <c r="BH206" s="58"/>
      <c r="BI206" s="58"/>
      <c r="BJ206" s="58"/>
      <c r="BK206" s="58"/>
      <c r="BL206" s="58"/>
      <c r="BM206" s="58"/>
      <c r="BN206" s="58"/>
      <c r="BO206" s="58"/>
      <c r="BP206" s="58"/>
      <c r="BQ206" s="58"/>
      <c r="BR206" s="58"/>
    </row>
    <row r="207" spans="2:70" ht="36.950000000000003" customHeight="1">
      <c r="B207" s="735" t="s">
        <v>718</v>
      </c>
      <c r="C207" s="736"/>
      <c r="D207" s="736"/>
      <c r="E207" s="736"/>
      <c r="F207" s="736"/>
      <c r="G207" s="737"/>
      <c r="I207" s="53"/>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c r="BA207" s="58"/>
      <c r="BB207" s="58"/>
      <c r="BC207" s="58"/>
      <c r="BD207" s="58"/>
      <c r="BE207" s="58"/>
      <c r="BF207" s="58"/>
      <c r="BG207" s="58"/>
      <c r="BH207" s="58"/>
      <c r="BI207" s="58"/>
      <c r="BJ207" s="58"/>
      <c r="BK207" s="58"/>
      <c r="BL207" s="58"/>
      <c r="BM207" s="58"/>
      <c r="BN207" s="58"/>
      <c r="BO207" s="58"/>
      <c r="BP207" s="58"/>
      <c r="BQ207" s="58"/>
      <c r="BR207" s="58"/>
    </row>
    <row r="208" spans="2:70" s="2" customFormat="1" ht="15.75">
      <c r="B208" s="240" t="s">
        <v>226</v>
      </c>
      <c r="C208" s="733"/>
      <c r="D208" s="733"/>
      <c r="E208" s="733"/>
      <c r="F208" s="733"/>
      <c r="G208" s="734"/>
      <c r="I208" s="53"/>
    </row>
    <row r="209" spans="2:70" s="2" customFormat="1" ht="15.75">
      <c r="B209" s="240" t="s">
        <v>289</v>
      </c>
      <c r="C209" s="733"/>
      <c r="D209" s="733"/>
      <c r="E209" s="733"/>
      <c r="F209" s="733"/>
      <c r="G209" s="734"/>
      <c r="I209" s="53"/>
    </row>
    <row r="210" spans="2:70" s="2" customFormat="1" ht="15.75">
      <c r="B210" s="240" t="s">
        <v>227</v>
      </c>
      <c r="C210" s="733"/>
      <c r="D210" s="733"/>
      <c r="E210" s="733"/>
      <c r="F210" s="733"/>
      <c r="G210" s="734"/>
    </row>
    <row r="211" spans="2:70" s="2" customFormat="1" ht="15.75">
      <c r="B211" s="240" t="s">
        <v>228</v>
      </c>
      <c r="C211" s="733"/>
      <c r="D211" s="733"/>
      <c r="E211" s="733"/>
      <c r="F211" s="733"/>
      <c r="G211" s="734"/>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row>
    <row r="212" spans="2:70" s="2" customFormat="1" ht="15.75">
      <c r="B212" s="240" t="s">
        <v>229</v>
      </c>
      <c r="C212" s="733"/>
      <c r="D212" s="733"/>
      <c r="E212" s="733"/>
      <c r="F212" s="733"/>
      <c r="G212" s="734"/>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row>
    <row r="213" spans="2:70" s="2" customFormat="1" ht="15.75">
      <c r="B213" s="240" t="s">
        <v>230</v>
      </c>
      <c r="C213" s="733"/>
      <c r="D213" s="733"/>
      <c r="E213" s="733"/>
      <c r="F213" s="733"/>
      <c r="G213" s="734"/>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row>
    <row r="214" spans="2:70" s="2" customFormat="1" ht="15.75">
      <c r="B214" s="240" t="s">
        <v>231</v>
      </c>
      <c r="C214" s="733"/>
      <c r="D214" s="733"/>
      <c r="E214" s="733"/>
      <c r="F214" s="733"/>
      <c r="G214" s="73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row>
    <row r="215" spans="2:70" s="2" customFormat="1" ht="15.75">
      <c r="B215" s="240" t="s">
        <v>232</v>
      </c>
      <c r="C215" s="733"/>
      <c r="D215" s="733"/>
      <c r="E215" s="733"/>
      <c r="F215" s="733"/>
      <c r="G215" s="734"/>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row>
    <row r="216" spans="2:70" s="2" customFormat="1" ht="15.75">
      <c r="B216" s="240" t="s">
        <v>233</v>
      </c>
      <c r="C216" s="733"/>
      <c r="D216" s="733"/>
      <c r="E216" s="733"/>
      <c r="F216" s="733"/>
      <c r="G216" s="734"/>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row>
    <row r="217" spans="2:70" s="2" customFormat="1" ht="15.75">
      <c r="B217" s="240" t="s">
        <v>234</v>
      </c>
      <c r="C217" s="733"/>
      <c r="D217" s="733"/>
      <c r="E217" s="733"/>
      <c r="F217" s="733"/>
      <c r="G217" s="734"/>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row>
    <row r="218" spans="2:70" s="2" customFormat="1" ht="15.75">
      <c r="B218" s="240" t="s">
        <v>235</v>
      </c>
      <c r="C218" s="733"/>
      <c r="D218" s="733"/>
      <c r="E218" s="733"/>
      <c r="F218" s="733"/>
      <c r="G218" s="734"/>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row>
    <row r="219" spans="2:70" s="2" customFormat="1" ht="15.75">
      <c r="B219" s="240" t="s">
        <v>236</v>
      </c>
      <c r="C219" s="733"/>
      <c r="D219" s="733"/>
      <c r="E219" s="733"/>
      <c r="F219" s="733"/>
      <c r="G219" s="734"/>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row>
    <row r="220" spans="2:70" s="2" customFormat="1" ht="15.75">
      <c r="B220" s="240" t="s">
        <v>237</v>
      </c>
      <c r="C220" s="733"/>
      <c r="D220" s="733"/>
      <c r="E220" s="733"/>
      <c r="F220" s="733"/>
      <c r="G220" s="734"/>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row>
    <row r="221" spans="2:70" s="2" customFormat="1" ht="15.75">
      <c r="B221" s="240" t="s">
        <v>238</v>
      </c>
      <c r="C221" s="733"/>
      <c r="D221" s="733"/>
      <c r="E221" s="733"/>
      <c r="F221" s="733"/>
      <c r="G221" s="734"/>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row>
    <row r="222" spans="2:70" s="2" customFormat="1" ht="15.75">
      <c r="B222" s="240" t="s">
        <v>239</v>
      </c>
      <c r="C222" s="733"/>
      <c r="D222" s="733"/>
      <c r="E222" s="733"/>
      <c r="F222" s="733"/>
      <c r="G222" s="734"/>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row>
    <row r="223" spans="2:70" s="146" customFormat="1" ht="27" customHeight="1">
      <c r="B223" s="718" t="str">
        <f>IF('Cover Page'!$D$8&lt;&gt;"Please Select",'Cover Page'!$D$8, "")</f>
        <v/>
      </c>
      <c r="C223" s="718"/>
      <c r="D223" s="718"/>
      <c r="E223" s="718"/>
      <c r="F223" s="718"/>
      <c r="G223" s="719"/>
      <c r="H223"/>
      <c r="I223"/>
      <c r="J223"/>
      <c r="K223"/>
      <c r="L223"/>
    </row>
    <row r="224" spans="2:70" ht="33" customHeight="1">
      <c r="B224" s="729" t="s">
        <v>241</v>
      </c>
      <c r="C224" s="730"/>
      <c r="D224" s="731"/>
      <c r="E224" s="731"/>
      <c r="F224" s="731"/>
      <c r="G224" s="732"/>
    </row>
    <row r="225" spans="1:16384" customFormat="1" ht="8.25" hidden="1" customHeight="1">
      <c r="A225" s="800"/>
      <c r="B225" s="801"/>
      <c r="C225" s="801"/>
      <c r="D225" s="801"/>
      <c r="E225" s="801"/>
      <c r="F225" s="802"/>
      <c r="G225" s="800"/>
      <c r="H225" s="801"/>
      <c r="I225" s="801"/>
      <c r="J225" s="801"/>
      <c r="K225" s="801"/>
      <c r="L225" s="802"/>
      <c r="M225" s="800"/>
      <c r="N225" s="801"/>
      <c r="O225" s="801"/>
      <c r="P225" s="801"/>
      <c r="Q225" s="801"/>
      <c r="R225" s="802"/>
      <c r="S225" s="800"/>
      <c r="T225" s="801"/>
      <c r="U225" s="801"/>
      <c r="V225" s="801"/>
      <c r="W225" s="801"/>
      <c r="X225" s="802"/>
      <c r="Y225" s="800"/>
      <c r="Z225" s="801"/>
      <c r="AA225" s="801"/>
      <c r="AB225" s="801"/>
      <c r="AC225" s="801"/>
      <c r="AD225" s="802"/>
      <c r="AE225" s="800"/>
      <c r="AF225" s="801"/>
      <c r="AG225" s="801"/>
      <c r="AH225" s="801"/>
      <c r="AI225" s="801"/>
      <c r="AJ225" s="802"/>
      <c r="AK225" s="800"/>
      <c r="AL225" s="801"/>
      <c r="AM225" s="801"/>
      <c r="AN225" s="801"/>
      <c r="AO225" s="801"/>
      <c r="AP225" s="802"/>
      <c r="AQ225" s="800"/>
      <c r="AR225" s="801"/>
      <c r="AS225" s="801"/>
      <c r="AT225" s="801"/>
      <c r="AU225" s="801"/>
      <c r="AV225" s="802"/>
      <c r="AW225" s="800"/>
      <c r="AX225" s="801"/>
      <c r="AY225" s="801"/>
      <c r="AZ225" s="801"/>
      <c r="BA225" s="801"/>
      <c r="BB225" s="802"/>
      <c r="BC225" s="800"/>
      <c r="BD225" s="801"/>
      <c r="BE225" s="801"/>
      <c r="BF225" s="801"/>
      <c r="BG225" s="801"/>
      <c r="BH225" s="802"/>
      <c r="BI225" s="800"/>
      <c r="BJ225" s="801"/>
      <c r="BK225" s="801"/>
      <c r="BL225" s="801"/>
      <c r="BM225" s="801"/>
      <c r="BN225" s="802"/>
      <c r="BO225" s="800"/>
      <c r="BP225" s="801"/>
      <c r="BQ225" s="801"/>
      <c r="BR225" s="801"/>
      <c r="BS225" s="801"/>
      <c r="BT225" s="802"/>
      <c r="BU225" s="800"/>
      <c r="BV225" s="801"/>
      <c r="BW225" s="801"/>
      <c r="BX225" s="801"/>
      <c r="BY225" s="801"/>
      <c r="BZ225" s="802"/>
      <c r="CA225" s="800"/>
      <c r="CB225" s="801"/>
      <c r="CC225" s="801"/>
      <c r="CD225" s="801"/>
      <c r="CE225" s="801"/>
      <c r="CF225" s="802"/>
      <c r="CG225" s="800"/>
      <c r="CH225" s="801"/>
      <c r="CI225" s="801"/>
      <c r="CJ225" s="801"/>
      <c r="CK225" s="801"/>
      <c r="CL225" s="802"/>
      <c r="CM225" s="800"/>
      <c r="CN225" s="801"/>
      <c r="CO225" s="801"/>
      <c r="CP225" s="801"/>
      <c r="CQ225" s="801"/>
      <c r="CR225" s="802"/>
      <c r="CS225" s="800"/>
      <c r="CT225" s="801"/>
      <c r="CU225" s="801"/>
      <c r="CV225" s="801"/>
      <c r="CW225" s="801"/>
      <c r="CX225" s="802"/>
      <c r="CY225" s="800"/>
      <c r="CZ225" s="801"/>
      <c r="DA225" s="801"/>
      <c r="DB225" s="801"/>
      <c r="DC225" s="801"/>
      <c r="DD225" s="802"/>
      <c r="DE225" s="800"/>
      <c r="DF225" s="801"/>
      <c r="DG225" s="801"/>
      <c r="DH225" s="801"/>
      <c r="DI225" s="801"/>
      <c r="DJ225" s="802"/>
      <c r="DK225" s="800"/>
      <c r="DL225" s="801"/>
      <c r="DM225" s="801"/>
      <c r="DN225" s="801"/>
      <c r="DO225" s="801"/>
      <c r="DP225" s="802"/>
      <c r="DQ225" s="800"/>
      <c r="DR225" s="801"/>
      <c r="DS225" s="801"/>
      <c r="DT225" s="801"/>
      <c r="DU225" s="801"/>
      <c r="DV225" s="802"/>
      <c r="DW225" s="800"/>
      <c r="DX225" s="801"/>
      <c r="DY225" s="801"/>
      <c r="DZ225" s="801"/>
      <c r="EA225" s="801"/>
      <c r="EB225" s="802"/>
      <c r="EC225" s="800"/>
      <c r="ED225" s="801"/>
      <c r="EE225" s="801"/>
      <c r="EF225" s="801"/>
      <c r="EG225" s="801"/>
      <c r="EH225" s="802"/>
      <c r="EI225" s="800"/>
      <c r="EJ225" s="801"/>
      <c r="EK225" s="801"/>
      <c r="EL225" s="801"/>
      <c r="EM225" s="801"/>
      <c r="EN225" s="802"/>
      <c r="EO225" s="800"/>
      <c r="EP225" s="801"/>
      <c r="EQ225" s="801"/>
      <c r="ER225" s="801"/>
      <c r="ES225" s="801"/>
      <c r="ET225" s="802"/>
      <c r="EU225" s="800"/>
      <c r="EV225" s="801"/>
      <c r="EW225" s="801"/>
      <c r="EX225" s="801"/>
      <c r="EY225" s="801"/>
      <c r="EZ225" s="802"/>
      <c r="FA225" s="800"/>
      <c r="FB225" s="801"/>
      <c r="FC225" s="801"/>
      <c r="FD225" s="801"/>
      <c r="FE225" s="801"/>
      <c r="FF225" s="802"/>
      <c r="FG225" s="800"/>
      <c r="FH225" s="801"/>
      <c r="FI225" s="801"/>
      <c r="FJ225" s="801"/>
      <c r="FK225" s="801"/>
      <c r="FL225" s="802"/>
      <c r="FM225" s="800"/>
      <c r="FN225" s="801"/>
      <c r="FO225" s="801"/>
      <c r="FP225" s="801"/>
      <c r="FQ225" s="801"/>
      <c r="FR225" s="802"/>
      <c r="FS225" s="800"/>
      <c r="FT225" s="801"/>
      <c r="FU225" s="801"/>
      <c r="FV225" s="801"/>
      <c r="FW225" s="801"/>
      <c r="FX225" s="802"/>
      <c r="FY225" s="800"/>
      <c r="FZ225" s="801"/>
      <c r="GA225" s="801"/>
      <c r="GB225" s="801"/>
      <c r="GC225" s="801"/>
      <c r="GD225" s="802"/>
      <c r="GE225" s="800"/>
      <c r="GF225" s="801"/>
      <c r="GG225" s="801"/>
      <c r="GH225" s="801"/>
      <c r="GI225" s="801"/>
      <c r="GJ225" s="802"/>
      <c r="GK225" s="800"/>
      <c r="GL225" s="801"/>
      <c r="GM225" s="801"/>
      <c r="GN225" s="801"/>
      <c r="GO225" s="801"/>
      <c r="GP225" s="802"/>
      <c r="GQ225" s="800"/>
      <c r="GR225" s="801"/>
      <c r="GS225" s="801"/>
      <c r="GT225" s="801"/>
      <c r="GU225" s="801"/>
      <c r="GV225" s="802"/>
      <c r="GW225" s="800"/>
      <c r="GX225" s="801"/>
      <c r="GY225" s="801"/>
      <c r="GZ225" s="801"/>
      <c r="HA225" s="801"/>
      <c r="HB225" s="802"/>
      <c r="HC225" s="800"/>
      <c r="HD225" s="801"/>
      <c r="HE225" s="801"/>
      <c r="HF225" s="801"/>
      <c r="HG225" s="801"/>
      <c r="HH225" s="802"/>
      <c r="HI225" s="800"/>
      <c r="HJ225" s="801"/>
      <c r="HK225" s="801"/>
      <c r="HL225" s="801"/>
      <c r="HM225" s="801"/>
      <c r="HN225" s="802"/>
      <c r="HO225" s="800"/>
      <c r="HP225" s="801"/>
      <c r="HQ225" s="801"/>
      <c r="HR225" s="801"/>
      <c r="HS225" s="801"/>
      <c r="HT225" s="802"/>
      <c r="HU225" s="800"/>
      <c r="HV225" s="801"/>
      <c r="HW225" s="801"/>
      <c r="HX225" s="801"/>
      <c r="HY225" s="801"/>
      <c r="HZ225" s="802"/>
      <c r="IA225" s="800"/>
      <c r="IB225" s="801"/>
      <c r="IC225" s="801"/>
      <c r="ID225" s="801"/>
      <c r="IE225" s="801"/>
      <c r="IF225" s="802"/>
      <c r="IG225" s="800"/>
      <c r="IH225" s="801"/>
      <c r="II225" s="801"/>
      <c r="IJ225" s="801"/>
      <c r="IK225" s="801"/>
      <c r="IL225" s="802"/>
      <c r="IM225" s="800"/>
      <c r="IN225" s="801"/>
      <c r="IO225" s="801"/>
      <c r="IP225" s="801"/>
      <c r="IQ225" s="801"/>
      <c r="IR225" s="802"/>
      <c r="IS225" s="800"/>
      <c r="IT225" s="801"/>
      <c r="IU225" s="801"/>
      <c r="IV225" s="801"/>
      <c r="IW225" s="801"/>
      <c r="IX225" s="802"/>
      <c r="IY225" s="800"/>
      <c r="IZ225" s="801"/>
      <c r="JA225" s="801"/>
      <c r="JB225" s="801"/>
      <c r="JC225" s="801"/>
      <c r="JD225" s="802"/>
      <c r="JE225" s="800"/>
      <c r="JF225" s="801"/>
      <c r="JG225" s="801"/>
      <c r="JH225" s="801"/>
      <c r="JI225" s="801"/>
      <c r="JJ225" s="802"/>
      <c r="JK225" s="800"/>
      <c r="JL225" s="801"/>
      <c r="JM225" s="801"/>
      <c r="JN225" s="801"/>
      <c r="JO225" s="801"/>
      <c r="JP225" s="802"/>
      <c r="JQ225" s="800"/>
      <c r="JR225" s="801"/>
      <c r="JS225" s="801"/>
      <c r="JT225" s="801"/>
      <c r="JU225" s="801"/>
      <c r="JV225" s="802"/>
      <c r="JW225" s="800"/>
      <c r="JX225" s="801"/>
      <c r="JY225" s="801"/>
      <c r="JZ225" s="801"/>
      <c r="KA225" s="801"/>
      <c r="KB225" s="802"/>
      <c r="KC225" s="800"/>
      <c r="KD225" s="801"/>
      <c r="KE225" s="801"/>
      <c r="KF225" s="801"/>
      <c r="KG225" s="801"/>
      <c r="KH225" s="802"/>
      <c r="KI225" s="800"/>
      <c r="KJ225" s="801"/>
      <c r="KK225" s="801"/>
      <c r="KL225" s="801"/>
      <c r="KM225" s="801"/>
      <c r="KN225" s="802"/>
      <c r="KO225" s="800"/>
      <c r="KP225" s="801"/>
      <c r="KQ225" s="801"/>
      <c r="KR225" s="801"/>
      <c r="KS225" s="801"/>
      <c r="KT225" s="802"/>
      <c r="KU225" s="800"/>
      <c r="KV225" s="801"/>
      <c r="KW225" s="801"/>
      <c r="KX225" s="801"/>
      <c r="KY225" s="801"/>
      <c r="KZ225" s="802"/>
      <c r="LA225" s="800"/>
      <c r="LB225" s="801"/>
      <c r="LC225" s="801"/>
      <c r="LD225" s="801"/>
      <c r="LE225" s="801"/>
      <c r="LF225" s="802"/>
      <c r="LG225" s="800"/>
      <c r="LH225" s="801"/>
      <c r="LI225" s="801"/>
      <c r="LJ225" s="801"/>
      <c r="LK225" s="801"/>
      <c r="LL225" s="802"/>
      <c r="LM225" s="800"/>
      <c r="LN225" s="801"/>
      <c r="LO225" s="801"/>
      <c r="LP225" s="801"/>
      <c r="LQ225" s="801"/>
      <c r="LR225" s="802"/>
      <c r="LS225" s="800"/>
      <c r="LT225" s="801"/>
      <c r="LU225" s="801"/>
      <c r="LV225" s="801"/>
      <c r="LW225" s="801"/>
      <c r="LX225" s="802"/>
      <c r="LY225" s="800"/>
      <c r="LZ225" s="801"/>
      <c r="MA225" s="801"/>
      <c r="MB225" s="801"/>
      <c r="MC225" s="801"/>
      <c r="MD225" s="802"/>
      <c r="ME225" s="800"/>
      <c r="MF225" s="801"/>
      <c r="MG225" s="801"/>
      <c r="MH225" s="801"/>
      <c r="MI225" s="801"/>
      <c r="MJ225" s="802"/>
      <c r="MK225" s="800"/>
      <c r="ML225" s="801"/>
      <c r="MM225" s="801"/>
      <c r="MN225" s="801"/>
      <c r="MO225" s="801"/>
      <c r="MP225" s="802"/>
      <c r="MQ225" s="800"/>
      <c r="MR225" s="801"/>
      <c r="MS225" s="801"/>
      <c r="MT225" s="801"/>
      <c r="MU225" s="801"/>
      <c r="MV225" s="802"/>
      <c r="MW225" s="800"/>
      <c r="MX225" s="801"/>
      <c r="MY225" s="801"/>
      <c r="MZ225" s="801"/>
      <c r="NA225" s="801"/>
      <c r="NB225" s="802"/>
      <c r="NC225" s="800"/>
      <c r="ND225" s="801"/>
      <c r="NE225" s="801"/>
      <c r="NF225" s="801"/>
      <c r="NG225" s="801"/>
      <c r="NH225" s="802"/>
      <c r="NI225" s="800"/>
      <c r="NJ225" s="801"/>
      <c r="NK225" s="801"/>
      <c r="NL225" s="801"/>
      <c r="NM225" s="801"/>
      <c r="NN225" s="802"/>
      <c r="NO225" s="800"/>
      <c r="NP225" s="801"/>
      <c r="NQ225" s="801"/>
      <c r="NR225" s="801"/>
      <c r="NS225" s="801"/>
      <c r="NT225" s="802"/>
      <c r="NU225" s="800"/>
      <c r="NV225" s="801"/>
      <c r="NW225" s="801"/>
      <c r="NX225" s="801"/>
      <c r="NY225" s="801"/>
      <c r="NZ225" s="802"/>
      <c r="OA225" s="800"/>
      <c r="OB225" s="801"/>
      <c r="OC225" s="801"/>
      <c r="OD225" s="801"/>
      <c r="OE225" s="801"/>
      <c r="OF225" s="802"/>
      <c r="OG225" s="800"/>
      <c r="OH225" s="801"/>
      <c r="OI225" s="801"/>
      <c r="OJ225" s="801"/>
      <c r="OK225" s="801"/>
      <c r="OL225" s="802"/>
      <c r="OM225" s="800"/>
      <c r="ON225" s="801"/>
      <c r="OO225" s="801"/>
      <c r="OP225" s="801"/>
      <c r="OQ225" s="801"/>
      <c r="OR225" s="802"/>
      <c r="OS225" s="800"/>
      <c r="OT225" s="801"/>
      <c r="OU225" s="801"/>
      <c r="OV225" s="801"/>
      <c r="OW225" s="801"/>
      <c r="OX225" s="802"/>
      <c r="OY225" s="800"/>
      <c r="OZ225" s="801"/>
      <c r="PA225" s="801"/>
      <c r="PB225" s="801"/>
      <c r="PC225" s="801"/>
      <c r="PD225" s="802"/>
      <c r="PE225" s="800"/>
      <c r="PF225" s="801"/>
      <c r="PG225" s="801"/>
      <c r="PH225" s="801"/>
      <c r="PI225" s="801"/>
      <c r="PJ225" s="802"/>
      <c r="PK225" s="800"/>
      <c r="PL225" s="801"/>
      <c r="PM225" s="801"/>
      <c r="PN225" s="801"/>
      <c r="PO225" s="801"/>
      <c r="PP225" s="802"/>
      <c r="PQ225" s="800"/>
      <c r="PR225" s="801"/>
      <c r="PS225" s="801"/>
      <c r="PT225" s="801"/>
      <c r="PU225" s="801"/>
      <c r="PV225" s="802"/>
      <c r="PW225" s="800"/>
      <c r="PX225" s="801"/>
      <c r="PY225" s="801"/>
      <c r="PZ225" s="801"/>
      <c r="QA225" s="801"/>
      <c r="QB225" s="802"/>
      <c r="QC225" s="800"/>
      <c r="QD225" s="801"/>
      <c r="QE225" s="801"/>
      <c r="QF225" s="801"/>
      <c r="QG225" s="801"/>
      <c r="QH225" s="802"/>
      <c r="QI225" s="800"/>
      <c r="QJ225" s="801"/>
      <c r="QK225" s="801"/>
      <c r="QL225" s="801"/>
      <c r="QM225" s="801"/>
      <c r="QN225" s="802"/>
      <c r="QO225" s="800"/>
      <c r="QP225" s="801"/>
      <c r="QQ225" s="801"/>
      <c r="QR225" s="801"/>
      <c r="QS225" s="801"/>
      <c r="QT225" s="802"/>
      <c r="QU225" s="800"/>
      <c r="QV225" s="801"/>
      <c r="QW225" s="801"/>
      <c r="QX225" s="801"/>
      <c r="QY225" s="801"/>
      <c r="QZ225" s="802"/>
      <c r="RA225" s="800"/>
      <c r="RB225" s="801"/>
      <c r="RC225" s="801"/>
      <c r="RD225" s="801"/>
      <c r="RE225" s="801"/>
      <c r="RF225" s="802"/>
      <c r="RG225" s="800"/>
      <c r="RH225" s="801"/>
      <c r="RI225" s="801"/>
      <c r="RJ225" s="801"/>
      <c r="RK225" s="801"/>
      <c r="RL225" s="802"/>
      <c r="RM225" s="800"/>
      <c r="RN225" s="801"/>
      <c r="RO225" s="801"/>
      <c r="RP225" s="801"/>
      <c r="RQ225" s="801"/>
      <c r="RR225" s="802"/>
      <c r="RS225" s="800"/>
      <c r="RT225" s="801"/>
      <c r="RU225" s="801"/>
      <c r="RV225" s="801"/>
      <c r="RW225" s="801"/>
      <c r="RX225" s="802"/>
      <c r="RY225" s="800"/>
      <c r="RZ225" s="801"/>
      <c r="SA225" s="801"/>
      <c r="SB225" s="801"/>
      <c r="SC225" s="801"/>
      <c r="SD225" s="802"/>
      <c r="SE225" s="800"/>
      <c r="SF225" s="801"/>
      <c r="SG225" s="801"/>
      <c r="SH225" s="801"/>
      <c r="SI225" s="801"/>
      <c r="SJ225" s="802"/>
      <c r="SK225" s="800"/>
      <c r="SL225" s="801"/>
      <c r="SM225" s="801"/>
      <c r="SN225" s="801"/>
      <c r="SO225" s="801"/>
      <c r="SP225" s="802"/>
      <c r="SQ225" s="800"/>
      <c r="SR225" s="801"/>
      <c r="SS225" s="801"/>
      <c r="ST225" s="801"/>
      <c r="SU225" s="801"/>
      <c r="SV225" s="802"/>
      <c r="SW225" s="800"/>
      <c r="SX225" s="801"/>
      <c r="SY225" s="801"/>
      <c r="SZ225" s="801"/>
      <c r="TA225" s="801"/>
      <c r="TB225" s="802"/>
      <c r="TC225" s="800"/>
      <c r="TD225" s="801"/>
      <c r="TE225" s="801"/>
      <c r="TF225" s="801"/>
      <c r="TG225" s="801"/>
      <c r="TH225" s="802"/>
      <c r="TI225" s="800"/>
      <c r="TJ225" s="801"/>
      <c r="TK225" s="801"/>
      <c r="TL225" s="801"/>
      <c r="TM225" s="801"/>
      <c r="TN225" s="802"/>
      <c r="TO225" s="800"/>
      <c r="TP225" s="801"/>
      <c r="TQ225" s="801"/>
      <c r="TR225" s="801"/>
      <c r="TS225" s="801"/>
      <c r="TT225" s="802"/>
      <c r="TU225" s="800"/>
      <c r="TV225" s="801"/>
      <c r="TW225" s="801"/>
      <c r="TX225" s="801"/>
      <c r="TY225" s="801"/>
      <c r="TZ225" s="802"/>
      <c r="UA225" s="800"/>
      <c r="UB225" s="801"/>
      <c r="UC225" s="801"/>
      <c r="UD225" s="801"/>
      <c r="UE225" s="801"/>
      <c r="UF225" s="802"/>
      <c r="UG225" s="800"/>
      <c r="UH225" s="801"/>
      <c r="UI225" s="801"/>
      <c r="UJ225" s="801"/>
      <c r="UK225" s="801"/>
      <c r="UL225" s="802"/>
      <c r="UM225" s="800"/>
      <c r="UN225" s="801"/>
      <c r="UO225" s="801"/>
      <c r="UP225" s="801"/>
      <c r="UQ225" s="801"/>
      <c r="UR225" s="802"/>
      <c r="US225" s="800"/>
      <c r="UT225" s="801"/>
      <c r="UU225" s="801"/>
      <c r="UV225" s="801"/>
      <c r="UW225" s="801"/>
      <c r="UX225" s="802"/>
      <c r="UY225" s="800"/>
      <c r="UZ225" s="801"/>
      <c r="VA225" s="801"/>
      <c r="VB225" s="801"/>
      <c r="VC225" s="801"/>
      <c r="VD225" s="802"/>
      <c r="VE225" s="800"/>
      <c r="VF225" s="801"/>
      <c r="VG225" s="801"/>
      <c r="VH225" s="801"/>
      <c r="VI225" s="801"/>
      <c r="VJ225" s="802"/>
      <c r="VK225" s="800"/>
      <c r="VL225" s="801"/>
      <c r="VM225" s="801"/>
      <c r="VN225" s="801"/>
      <c r="VO225" s="801"/>
      <c r="VP225" s="802"/>
      <c r="VQ225" s="800"/>
      <c r="VR225" s="801"/>
      <c r="VS225" s="801"/>
      <c r="VT225" s="801"/>
      <c r="VU225" s="801"/>
      <c r="VV225" s="802"/>
      <c r="VW225" s="800"/>
      <c r="VX225" s="801"/>
      <c r="VY225" s="801"/>
      <c r="VZ225" s="801"/>
      <c r="WA225" s="801"/>
      <c r="WB225" s="802"/>
      <c r="WC225" s="800"/>
      <c r="WD225" s="801"/>
      <c r="WE225" s="801"/>
      <c r="WF225" s="801"/>
      <c r="WG225" s="801"/>
      <c r="WH225" s="802"/>
      <c r="WI225" s="800"/>
      <c r="WJ225" s="801"/>
      <c r="WK225" s="801"/>
      <c r="WL225" s="801"/>
      <c r="WM225" s="801"/>
      <c r="WN225" s="802"/>
      <c r="WO225" s="800"/>
      <c r="WP225" s="801"/>
      <c r="WQ225" s="801"/>
      <c r="WR225" s="801"/>
      <c r="WS225" s="801"/>
      <c r="WT225" s="802"/>
      <c r="WU225" s="800"/>
      <c r="WV225" s="801"/>
      <c r="WW225" s="801"/>
      <c r="WX225" s="801"/>
      <c r="WY225" s="801"/>
      <c r="WZ225" s="802"/>
      <c r="XA225" s="800"/>
      <c r="XB225" s="801"/>
      <c r="XC225" s="801"/>
      <c r="XD225" s="801"/>
      <c r="XE225" s="801"/>
      <c r="XF225" s="802"/>
      <c r="XG225" s="800"/>
      <c r="XH225" s="801"/>
      <c r="XI225" s="801"/>
      <c r="XJ225" s="801"/>
      <c r="XK225" s="801"/>
      <c r="XL225" s="802"/>
      <c r="XM225" s="800"/>
      <c r="XN225" s="801"/>
      <c r="XO225" s="801"/>
      <c r="XP225" s="801"/>
      <c r="XQ225" s="801"/>
      <c r="XR225" s="802"/>
      <c r="XS225" s="800"/>
      <c r="XT225" s="801"/>
      <c r="XU225" s="801"/>
      <c r="XV225" s="801"/>
      <c r="XW225" s="801"/>
      <c r="XX225" s="802"/>
      <c r="XY225" s="800"/>
      <c r="XZ225" s="801"/>
      <c r="YA225" s="801"/>
      <c r="YB225" s="801"/>
      <c r="YC225" s="801"/>
      <c r="YD225" s="802"/>
      <c r="YE225" s="800"/>
      <c r="YF225" s="801"/>
      <c r="YG225" s="801"/>
      <c r="YH225" s="801"/>
      <c r="YI225" s="801"/>
      <c r="YJ225" s="802"/>
      <c r="YK225" s="800"/>
      <c r="YL225" s="801"/>
      <c r="YM225" s="801"/>
      <c r="YN225" s="801"/>
      <c r="YO225" s="801"/>
      <c r="YP225" s="802"/>
      <c r="YQ225" s="800"/>
      <c r="YR225" s="801"/>
      <c r="YS225" s="801"/>
      <c r="YT225" s="801"/>
      <c r="YU225" s="801"/>
      <c r="YV225" s="802"/>
      <c r="YW225" s="800"/>
      <c r="YX225" s="801"/>
      <c r="YY225" s="801"/>
      <c r="YZ225" s="801"/>
      <c r="ZA225" s="801"/>
      <c r="ZB225" s="802"/>
      <c r="ZC225" s="800"/>
      <c r="ZD225" s="801"/>
      <c r="ZE225" s="801"/>
      <c r="ZF225" s="801"/>
      <c r="ZG225" s="801"/>
      <c r="ZH225" s="802"/>
      <c r="ZI225" s="800"/>
      <c r="ZJ225" s="801"/>
      <c r="ZK225" s="801"/>
      <c r="ZL225" s="801"/>
      <c r="ZM225" s="801"/>
      <c r="ZN225" s="802"/>
      <c r="ZO225" s="800"/>
      <c r="ZP225" s="801"/>
      <c r="ZQ225" s="801"/>
      <c r="ZR225" s="801"/>
      <c r="ZS225" s="801"/>
      <c r="ZT225" s="802"/>
      <c r="ZU225" s="800"/>
      <c r="ZV225" s="801"/>
      <c r="ZW225" s="801"/>
      <c r="ZX225" s="801"/>
      <c r="ZY225" s="801"/>
      <c r="ZZ225" s="802"/>
      <c r="AAA225" s="800"/>
      <c r="AAB225" s="801"/>
      <c r="AAC225" s="801"/>
      <c r="AAD225" s="801"/>
      <c r="AAE225" s="801"/>
      <c r="AAF225" s="802"/>
      <c r="AAG225" s="800"/>
      <c r="AAH225" s="801"/>
      <c r="AAI225" s="801"/>
      <c r="AAJ225" s="801"/>
      <c r="AAK225" s="801"/>
      <c r="AAL225" s="802"/>
      <c r="AAM225" s="800"/>
      <c r="AAN225" s="801"/>
      <c r="AAO225" s="801"/>
      <c r="AAP225" s="801"/>
      <c r="AAQ225" s="801"/>
      <c r="AAR225" s="802"/>
      <c r="AAS225" s="800"/>
      <c r="AAT225" s="801"/>
      <c r="AAU225" s="801"/>
      <c r="AAV225" s="801"/>
      <c r="AAW225" s="801"/>
      <c r="AAX225" s="802"/>
      <c r="AAY225" s="800"/>
      <c r="AAZ225" s="801"/>
      <c r="ABA225" s="801"/>
      <c r="ABB225" s="801"/>
      <c r="ABC225" s="801"/>
      <c r="ABD225" s="802"/>
      <c r="ABE225" s="800"/>
      <c r="ABF225" s="801"/>
      <c r="ABG225" s="801"/>
      <c r="ABH225" s="801"/>
      <c r="ABI225" s="801"/>
      <c r="ABJ225" s="802"/>
      <c r="ABK225" s="800"/>
      <c r="ABL225" s="801"/>
      <c r="ABM225" s="801"/>
      <c r="ABN225" s="801"/>
      <c r="ABO225" s="801"/>
      <c r="ABP225" s="802"/>
      <c r="ABQ225" s="800"/>
      <c r="ABR225" s="801"/>
      <c r="ABS225" s="801"/>
      <c r="ABT225" s="801"/>
      <c r="ABU225" s="801"/>
      <c r="ABV225" s="802"/>
      <c r="ABW225" s="800"/>
      <c r="ABX225" s="801"/>
      <c r="ABY225" s="801"/>
      <c r="ABZ225" s="801"/>
      <c r="ACA225" s="801"/>
      <c r="ACB225" s="802"/>
      <c r="ACC225" s="800"/>
      <c r="ACD225" s="801"/>
      <c r="ACE225" s="801"/>
      <c r="ACF225" s="801"/>
      <c r="ACG225" s="801"/>
      <c r="ACH225" s="802"/>
      <c r="ACI225" s="800"/>
      <c r="ACJ225" s="801"/>
      <c r="ACK225" s="801"/>
      <c r="ACL225" s="801"/>
      <c r="ACM225" s="801"/>
      <c r="ACN225" s="802"/>
      <c r="ACO225" s="800"/>
      <c r="ACP225" s="801"/>
      <c r="ACQ225" s="801"/>
      <c r="ACR225" s="801"/>
      <c r="ACS225" s="801"/>
      <c r="ACT225" s="802"/>
      <c r="ACU225" s="800"/>
      <c r="ACV225" s="801"/>
      <c r="ACW225" s="801"/>
      <c r="ACX225" s="801"/>
      <c r="ACY225" s="801"/>
      <c r="ACZ225" s="802"/>
      <c r="ADA225" s="800"/>
      <c r="ADB225" s="801"/>
      <c r="ADC225" s="801"/>
      <c r="ADD225" s="801"/>
      <c r="ADE225" s="801"/>
      <c r="ADF225" s="802"/>
      <c r="ADG225" s="800"/>
      <c r="ADH225" s="801"/>
      <c r="ADI225" s="801"/>
      <c r="ADJ225" s="801"/>
      <c r="ADK225" s="801"/>
      <c r="ADL225" s="802"/>
      <c r="ADM225" s="800"/>
      <c r="ADN225" s="801"/>
      <c r="ADO225" s="801"/>
      <c r="ADP225" s="801"/>
      <c r="ADQ225" s="801"/>
      <c r="ADR225" s="802"/>
      <c r="ADS225" s="800"/>
      <c r="ADT225" s="801"/>
      <c r="ADU225" s="801"/>
      <c r="ADV225" s="801"/>
      <c r="ADW225" s="801"/>
      <c r="ADX225" s="802"/>
      <c r="ADY225" s="800"/>
      <c r="ADZ225" s="801"/>
      <c r="AEA225" s="801"/>
      <c r="AEB225" s="801"/>
      <c r="AEC225" s="801"/>
      <c r="AED225" s="802"/>
      <c r="AEE225" s="800"/>
      <c r="AEF225" s="801"/>
      <c r="AEG225" s="801"/>
      <c r="AEH225" s="801"/>
      <c r="AEI225" s="801"/>
      <c r="AEJ225" s="802"/>
      <c r="AEK225" s="800"/>
      <c r="AEL225" s="801"/>
      <c r="AEM225" s="801"/>
      <c r="AEN225" s="801"/>
      <c r="AEO225" s="801"/>
      <c r="AEP225" s="802"/>
      <c r="AEQ225" s="800"/>
      <c r="AER225" s="801"/>
      <c r="AES225" s="801"/>
      <c r="AET225" s="801"/>
      <c r="AEU225" s="801"/>
      <c r="AEV225" s="802"/>
      <c r="AEW225" s="800"/>
      <c r="AEX225" s="801"/>
      <c r="AEY225" s="801"/>
      <c r="AEZ225" s="801"/>
      <c r="AFA225" s="801"/>
      <c r="AFB225" s="802"/>
      <c r="AFC225" s="800"/>
      <c r="AFD225" s="801"/>
      <c r="AFE225" s="801"/>
      <c r="AFF225" s="801"/>
      <c r="AFG225" s="801"/>
      <c r="AFH225" s="802"/>
      <c r="AFI225" s="800"/>
      <c r="AFJ225" s="801"/>
      <c r="AFK225" s="801"/>
      <c r="AFL225" s="801"/>
      <c r="AFM225" s="801"/>
      <c r="AFN225" s="802"/>
      <c r="AFO225" s="800"/>
      <c r="AFP225" s="801"/>
      <c r="AFQ225" s="801"/>
      <c r="AFR225" s="801"/>
      <c r="AFS225" s="801"/>
      <c r="AFT225" s="802"/>
      <c r="AFU225" s="800"/>
      <c r="AFV225" s="801"/>
      <c r="AFW225" s="801"/>
      <c r="AFX225" s="801"/>
      <c r="AFY225" s="801"/>
      <c r="AFZ225" s="802"/>
      <c r="AGA225" s="800"/>
      <c r="AGB225" s="801"/>
      <c r="AGC225" s="801"/>
      <c r="AGD225" s="801"/>
      <c r="AGE225" s="801"/>
      <c r="AGF225" s="802"/>
      <c r="AGG225" s="800"/>
      <c r="AGH225" s="801"/>
      <c r="AGI225" s="801"/>
      <c r="AGJ225" s="801"/>
      <c r="AGK225" s="801"/>
      <c r="AGL225" s="802"/>
      <c r="AGM225" s="800"/>
      <c r="AGN225" s="801"/>
      <c r="AGO225" s="801"/>
      <c r="AGP225" s="801"/>
      <c r="AGQ225" s="801"/>
      <c r="AGR225" s="802"/>
      <c r="AGS225" s="800"/>
      <c r="AGT225" s="801"/>
      <c r="AGU225" s="801"/>
      <c r="AGV225" s="801"/>
      <c r="AGW225" s="801"/>
      <c r="AGX225" s="802"/>
      <c r="AGY225" s="800"/>
      <c r="AGZ225" s="801"/>
      <c r="AHA225" s="801"/>
      <c r="AHB225" s="801"/>
      <c r="AHC225" s="801"/>
      <c r="AHD225" s="802"/>
      <c r="AHE225" s="800"/>
      <c r="AHF225" s="801"/>
      <c r="AHG225" s="801"/>
      <c r="AHH225" s="801"/>
      <c r="AHI225" s="801"/>
      <c r="AHJ225" s="802"/>
      <c r="AHK225" s="800"/>
      <c r="AHL225" s="801"/>
      <c r="AHM225" s="801"/>
      <c r="AHN225" s="801"/>
      <c r="AHO225" s="801"/>
      <c r="AHP225" s="802"/>
      <c r="AHQ225" s="800"/>
      <c r="AHR225" s="801"/>
      <c r="AHS225" s="801"/>
      <c r="AHT225" s="801"/>
      <c r="AHU225" s="801"/>
      <c r="AHV225" s="802"/>
      <c r="AHW225" s="800"/>
      <c r="AHX225" s="801"/>
      <c r="AHY225" s="801"/>
      <c r="AHZ225" s="801"/>
      <c r="AIA225" s="801"/>
      <c r="AIB225" s="802"/>
      <c r="AIC225" s="800"/>
      <c r="AID225" s="801"/>
      <c r="AIE225" s="801"/>
      <c r="AIF225" s="801"/>
      <c r="AIG225" s="801"/>
      <c r="AIH225" s="802"/>
      <c r="AII225" s="800"/>
      <c r="AIJ225" s="801"/>
      <c r="AIK225" s="801"/>
      <c r="AIL225" s="801"/>
      <c r="AIM225" s="801"/>
      <c r="AIN225" s="802"/>
      <c r="AIO225" s="800"/>
      <c r="AIP225" s="801"/>
      <c r="AIQ225" s="801"/>
      <c r="AIR225" s="801"/>
      <c r="AIS225" s="801"/>
      <c r="AIT225" s="802"/>
      <c r="AIU225" s="800"/>
      <c r="AIV225" s="801"/>
      <c r="AIW225" s="801"/>
      <c r="AIX225" s="801"/>
      <c r="AIY225" s="801"/>
      <c r="AIZ225" s="802"/>
      <c r="AJA225" s="800"/>
      <c r="AJB225" s="801"/>
      <c r="AJC225" s="801"/>
      <c r="AJD225" s="801"/>
      <c r="AJE225" s="801"/>
      <c r="AJF225" s="802"/>
      <c r="AJG225" s="800"/>
      <c r="AJH225" s="801"/>
      <c r="AJI225" s="801"/>
      <c r="AJJ225" s="801"/>
      <c r="AJK225" s="801"/>
      <c r="AJL225" s="802"/>
      <c r="AJM225" s="800"/>
      <c r="AJN225" s="801"/>
      <c r="AJO225" s="801"/>
      <c r="AJP225" s="801"/>
      <c r="AJQ225" s="801"/>
      <c r="AJR225" s="802"/>
      <c r="AJS225" s="800"/>
      <c r="AJT225" s="801"/>
      <c r="AJU225" s="801"/>
      <c r="AJV225" s="801"/>
      <c r="AJW225" s="801"/>
      <c r="AJX225" s="802"/>
      <c r="AJY225" s="800"/>
      <c r="AJZ225" s="801"/>
      <c r="AKA225" s="801"/>
      <c r="AKB225" s="801"/>
      <c r="AKC225" s="801"/>
      <c r="AKD225" s="802"/>
      <c r="AKE225" s="800"/>
      <c r="AKF225" s="801"/>
      <c r="AKG225" s="801"/>
      <c r="AKH225" s="801"/>
      <c r="AKI225" s="801"/>
      <c r="AKJ225" s="802"/>
      <c r="AKK225" s="800"/>
      <c r="AKL225" s="801"/>
      <c r="AKM225" s="801"/>
      <c r="AKN225" s="801"/>
      <c r="AKO225" s="801"/>
      <c r="AKP225" s="802"/>
      <c r="AKQ225" s="800"/>
      <c r="AKR225" s="801"/>
      <c r="AKS225" s="801"/>
      <c r="AKT225" s="801"/>
      <c r="AKU225" s="801"/>
      <c r="AKV225" s="802"/>
      <c r="AKW225" s="800"/>
      <c r="AKX225" s="801"/>
      <c r="AKY225" s="801"/>
      <c r="AKZ225" s="801"/>
      <c r="ALA225" s="801"/>
      <c r="ALB225" s="802"/>
      <c r="ALC225" s="800"/>
      <c r="ALD225" s="801"/>
      <c r="ALE225" s="801"/>
      <c r="ALF225" s="801"/>
      <c r="ALG225" s="801"/>
      <c r="ALH225" s="802"/>
      <c r="ALI225" s="800"/>
      <c r="ALJ225" s="801"/>
      <c r="ALK225" s="801"/>
      <c r="ALL225" s="801"/>
      <c r="ALM225" s="801"/>
      <c r="ALN225" s="802"/>
      <c r="ALO225" s="800"/>
      <c r="ALP225" s="801"/>
      <c r="ALQ225" s="801"/>
      <c r="ALR225" s="801"/>
      <c r="ALS225" s="801"/>
      <c r="ALT225" s="802"/>
      <c r="ALU225" s="800"/>
      <c r="ALV225" s="801"/>
      <c r="ALW225" s="801"/>
      <c r="ALX225" s="801"/>
      <c r="ALY225" s="801"/>
      <c r="ALZ225" s="802"/>
      <c r="AMA225" s="800"/>
      <c r="AMB225" s="801"/>
      <c r="AMC225" s="801"/>
      <c r="AMD225" s="801"/>
      <c r="AME225" s="801"/>
      <c r="AMF225" s="802"/>
      <c r="AMG225" s="800"/>
      <c r="AMH225" s="801"/>
      <c r="AMI225" s="801"/>
      <c r="AMJ225" s="801"/>
      <c r="AMK225" s="801"/>
      <c r="AML225" s="802"/>
      <c r="AMM225" s="800"/>
      <c r="AMN225" s="801"/>
      <c r="AMO225" s="801"/>
      <c r="AMP225" s="801"/>
      <c r="AMQ225" s="801"/>
      <c r="AMR225" s="802"/>
      <c r="AMS225" s="800"/>
      <c r="AMT225" s="801"/>
      <c r="AMU225" s="801"/>
      <c r="AMV225" s="801"/>
      <c r="AMW225" s="801"/>
      <c r="AMX225" s="802"/>
      <c r="AMY225" s="800"/>
      <c r="AMZ225" s="801"/>
      <c r="ANA225" s="801"/>
      <c r="ANB225" s="801"/>
      <c r="ANC225" s="801"/>
      <c r="AND225" s="802"/>
      <c r="ANE225" s="800"/>
      <c r="ANF225" s="801"/>
      <c r="ANG225" s="801"/>
      <c r="ANH225" s="801"/>
      <c r="ANI225" s="801"/>
      <c r="ANJ225" s="802"/>
      <c r="ANK225" s="800"/>
      <c r="ANL225" s="801"/>
      <c r="ANM225" s="801"/>
      <c r="ANN225" s="801"/>
      <c r="ANO225" s="801"/>
      <c r="ANP225" s="802"/>
      <c r="ANQ225" s="800"/>
      <c r="ANR225" s="801"/>
      <c r="ANS225" s="801"/>
      <c r="ANT225" s="801"/>
      <c r="ANU225" s="801"/>
      <c r="ANV225" s="802"/>
      <c r="ANW225" s="800"/>
      <c r="ANX225" s="801"/>
      <c r="ANY225" s="801"/>
      <c r="ANZ225" s="801"/>
      <c r="AOA225" s="801"/>
      <c r="AOB225" s="802"/>
      <c r="AOC225" s="800"/>
      <c r="AOD225" s="801"/>
      <c r="AOE225" s="801"/>
      <c r="AOF225" s="801"/>
      <c r="AOG225" s="801"/>
      <c r="AOH225" s="802"/>
      <c r="AOI225" s="800"/>
      <c r="AOJ225" s="801"/>
      <c r="AOK225" s="801"/>
      <c r="AOL225" s="801"/>
      <c r="AOM225" s="801"/>
      <c r="AON225" s="802"/>
      <c r="AOO225" s="800"/>
      <c r="AOP225" s="801"/>
      <c r="AOQ225" s="801"/>
      <c r="AOR225" s="801"/>
      <c r="AOS225" s="801"/>
      <c r="AOT225" s="802"/>
      <c r="AOU225" s="800"/>
      <c r="AOV225" s="801"/>
      <c r="AOW225" s="801"/>
      <c r="AOX225" s="801"/>
      <c r="AOY225" s="801"/>
      <c r="AOZ225" s="802"/>
      <c r="APA225" s="800"/>
      <c r="APB225" s="801"/>
      <c r="APC225" s="801"/>
      <c r="APD225" s="801"/>
      <c r="APE225" s="801"/>
      <c r="APF225" s="802"/>
      <c r="APG225" s="800"/>
      <c r="APH225" s="801"/>
      <c r="API225" s="801"/>
      <c r="APJ225" s="801"/>
      <c r="APK225" s="801"/>
      <c r="APL225" s="802"/>
      <c r="APM225" s="800"/>
      <c r="APN225" s="801"/>
      <c r="APO225" s="801"/>
      <c r="APP225" s="801"/>
      <c r="APQ225" s="801"/>
      <c r="APR225" s="802"/>
      <c r="APS225" s="800"/>
      <c r="APT225" s="801"/>
      <c r="APU225" s="801"/>
      <c r="APV225" s="801"/>
      <c r="APW225" s="801"/>
      <c r="APX225" s="802"/>
      <c r="APY225" s="800"/>
      <c r="APZ225" s="801"/>
      <c r="AQA225" s="801"/>
      <c r="AQB225" s="801"/>
      <c r="AQC225" s="801"/>
      <c r="AQD225" s="802"/>
      <c r="AQE225" s="800"/>
      <c r="AQF225" s="801"/>
      <c r="AQG225" s="801"/>
      <c r="AQH225" s="801"/>
      <c r="AQI225" s="801"/>
      <c r="AQJ225" s="802"/>
      <c r="AQK225" s="800"/>
      <c r="AQL225" s="801"/>
      <c r="AQM225" s="801"/>
      <c r="AQN225" s="801"/>
      <c r="AQO225" s="801"/>
      <c r="AQP225" s="802"/>
      <c r="AQQ225" s="800"/>
      <c r="AQR225" s="801"/>
      <c r="AQS225" s="801"/>
      <c r="AQT225" s="801"/>
      <c r="AQU225" s="801"/>
      <c r="AQV225" s="802"/>
      <c r="AQW225" s="800"/>
      <c r="AQX225" s="801"/>
      <c r="AQY225" s="801"/>
      <c r="AQZ225" s="801"/>
      <c r="ARA225" s="801"/>
      <c r="ARB225" s="802"/>
      <c r="ARC225" s="800"/>
      <c r="ARD225" s="801"/>
      <c r="ARE225" s="801"/>
      <c r="ARF225" s="801"/>
      <c r="ARG225" s="801"/>
      <c r="ARH225" s="802"/>
      <c r="ARI225" s="800"/>
      <c r="ARJ225" s="801"/>
      <c r="ARK225" s="801"/>
      <c r="ARL225" s="801"/>
      <c r="ARM225" s="801"/>
      <c r="ARN225" s="802"/>
      <c r="ARO225" s="800"/>
      <c r="ARP225" s="801"/>
      <c r="ARQ225" s="801"/>
      <c r="ARR225" s="801"/>
      <c r="ARS225" s="801"/>
      <c r="ART225" s="802"/>
      <c r="ARU225" s="800"/>
      <c r="ARV225" s="801"/>
      <c r="ARW225" s="801"/>
      <c r="ARX225" s="801"/>
      <c r="ARY225" s="801"/>
      <c r="ARZ225" s="802"/>
      <c r="ASA225" s="800"/>
      <c r="ASB225" s="801"/>
      <c r="ASC225" s="801"/>
      <c r="ASD225" s="801"/>
      <c r="ASE225" s="801"/>
      <c r="ASF225" s="802"/>
      <c r="ASG225" s="800"/>
      <c r="ASH225" s="801"/>
      <c r="ASI225" s="801"/>
      <c r="ASJ225" s="801"/>
      <c r="ASK225" s="801"/>
      <c r="ASL225" s="802"/>
      <c r="ASM225" s="800"/>
      <c r="ASN225" s="801"/>
      <c r="ASO225" s="801"/>
      <c r="ASP225" s="801"/>
      <c r="ASQ225" s="801"/>
      <c r="ASR225" s="802"/>
      <c r="ASS225" s="800"/>
      <c r="AST225" s="801"/>
      <c r="ASU225" s="801"/>
      <c r="ASV225" s="801"/>
      <c r="ASW225" s="801"/>
      <c r="ASX225" s="802"/>
      <c r="ASY225" s="800"/>
      <c r="ASZ225" s="801"/>
      <c r="ATA225" s="801"/>
      <c r="ATB225" s="801"/>
      <c r="ATC225" s="801"/>
      <c r="ATD225" s="802"/>
      <c r="ATE225" s="800"/>
      <c r="ATF225" s="801"/>
      <c r="ATG225" s="801"/>
      <c r="ATH225" s="801"/>
      <c r="ATI225" s="801"/>
      <c r="ATJ225" s="802"/>
      <c r="ATK225" s="800"/>
      <c r="ATL225" s="801"/>
      <c r="ATM225" s="801"/>
      <c r="ATN225" s="801"/>
      <c r="ATO225" s="801"/>
      <c r="ATP225" s="802"/>
      <c r="ATQ225" s="800"/>
      <c r="ATR225" s="801"/>
      <c r="ATS225" s="801"/>
      <c r="ATT225" s="801"/>
      <c r="ATU225" s="801"/>
      <c r="ATV225" s="802"/>
      <c r="ATW225" s="800"/>
      <c r="ATX225" s="801"/>
      <c r="ATY225" s="801"/>
      <c r="ATZ225" s="801"/>
      <c r="AUA225" s="801"/>
      <c r="AUB225" s="802"/>
      <c r="AUC225" s="800"/>
      <c r="AUD225" s="801"/>
      <c r="AUE225" s="801"/>
      <c r="AUF225" s="801"/>
      <c r="AUG225" s="801"/>
      <c r="AUH225" s="802"/>
      <c r="AUI225" s="800"/>
      <c r="AUJ225" s="801"/>
      <c r="AUK225" s="801"/>
      <c r="AUL225" s="801"/>
      <c r="AUM225" s="801"/>
      <c r="AUN225" s="802"/>
      <c r="AUO225" s="800"/>
      <c r="AUP225" s="801"/>
      <c r="AUQ225" s="801"/>
      <c r="AUR225" s="801"/>
      <c r="AUS225" s="801"/>
      <c r="AUT225" s="802"/>
      <c r="AUU225" s="800"/>
      <c r="AUV225" s="801"/>
      <c r="AUW225" s="801"/>
      <c r="AUX225" s="801"/>
      <c r="AUY225" s="801"/>
      <c r="AUZ225" s="802"/>
      <c r="AVA225" s="800"/>
      <c r="AVB225" s="801"/>
      <c r="AVC225" s="801"/>
      <c r="AVD225" s="801"/>
      <c r="AVE225" s="801"/>
      <c r="AVF225" s="802"/>
      <c r="AVG225" s="800"/>
      <c r="AVH225" s="801"/>
      <c r="AVI225" s="801"/>
      <c r="AVJ225" s="801"/>
      <c r="AVK225" s="801"/>
      <c r="AVL225" s="802"/>
      <c r="AVM225" s="800"/>
      <c r="AVN225" s="801"/>
      <c r="AVO225" s="801"/>
      <c r="AVP225" s="801"/>
      <c r="AVQ225" s="801"/>
      <c r="AVR225" s="802"/>
      <c r="AVS225" s="800"/>
      <c r="AVT225" s="801"/>
      <c r="AVU225" s="801"/>
      <c r="AVV225" s="801"/>
      <c r="AVW225" s="801"/>
      <c r="AVX225" s="802"/>
      <c r="AVY225" s="800"/>
      <c r="AVZ225" s="801"/>
      <c r="AWA225" s="801"/>
      <c r="AWB225" s="801"/>
      <c r="AWC225" s="801"/>
      <c r="AWD225" s="802"/>
      <c r="AWE225" s="800"/>
      <c r="AWF225" s="801"/>
      <c r="AWG225" s="801"/>
      <c r="AWH225" s="801"/>
      <c r="AWI225" s="801"/>
      <c r="AWJ225" s="802"/>
      <c r="AWK225" s="800"/>
      <c r="AWL225" s="801"/>
      <c r="AWM225" s="801"/>
      <c r="AWN225" s="801"/>
      <c r="AWO225" s="801"/>
      <c r="AWP225" s="802"/>
      <c r="AWQ225" s="800"/>
      <c r="AWR225" s="801"/>
      <c r="AWS225" s="801"/>
      <c r="AWT225" s="801"/>
      <c r="AWU225" s="801"/>
      <c r="AWV225" s="802"/>
      <c r="AWW225" s="800"/>
      <c r="AWX225" s="801"/>
      <c r="AWY225" s="801"/>
      <c r="AWZ225" s="801"/>
      <c r="AXA225" s="801"/>
      <c r="AXB225" s="802"/>
      <c r="AXC225" s="800"/>
      <c r="AXD225" s="801"/>
      <c r="AXE225" s="801"/>
      <c r="AXF225" s="801"/>
      <c r="AXG225" s="801"/>
      <c r="AXH225" s="802"/>
      <c r="AXI225" s="800"/>
      <c r="AXJ225" s="801"/>
      <c r="AXK225" s="801"/>
      <c r="AXL225" s="801"/>
      <c r="AXM225" s="801"/>
      <c r="AXN225" s="802"/>
      <c r="AXO225" s="800"/>
      <c r="AXP225" s="801"/>
      <c r="AXQ225" s="801"/>
      <c r="AXR225" s="801"/>
      <c r="AXS225" s="801"/>
      <c r="AXT225" s="802"/>
      <c r="AXU225" s="800"/>
      <c r="AXV225" s="801"/>
      <c r="AXW225" s="801"/>
      <c r="AXX225" s="801"/>
      <c r="AXY225" s="801"/>
      <c r="AXZ225" s="802"/>
      <c r="AYA225" s="800"/>
      <c r="AYB225" s="801"/>
      <c r="AYC225" s="801"/>
      <c r="AYD225" s="801"/>
      <c r="AYE225" s="801"/>
      <c r="AYF225" s="802"/>
      <c r="AYG225" s="800"/>
      <c r="AYH225" s="801"/>
      <c r="AYI225" s="801"/>
      <c r="AYJ225" s="801"/>
      <c r="AYK225" s="801"/>
      <c r="AYL225" s="802"/>
      <c r="AYM225" s="800"/>
      <c r="AYN225" s="801"/>
      <c r="AYO225" s="801"/>
      <c r="AYP225" s="801"/>
      <c r="AYQ225" s="801"/>
      <c r="AYR225" s="802"/>
      <c r="AYS225" s="800"/>
      <c r="AYT225" s="801"/>
      <c r="AYU225" s="801"/>
      <c r="AYV225" s="801"/>
      <c r="AYW225" s="801"/>
      <c r="AYX225" s="802"/>
      <c r="AYY225" s="800"/>
      <c r="AYZ225" s="801"/>
      <c r="AZA225" s="801"/>
      <c r="AZB225" s="801"/>
      <c r="AZC225" s="801"/>
      <c r="AZD225" s="802"/>
      <c r="AZE225" s="800"/>
      <c r="AZF225" s="801"/>
      <c r="AZG225" s="801"/>
      <c r="AZH225" s="801"/>
      <c r="AZI225" s="801"/>
      <c r="AZJ225" s="802"/>
      <c r="AZK225" s="800"/>
      <c r="AZL225" s="801"/>
      <c r="AZM225" s="801"/>
      <c r="AZN225" s="801"/>
      <c r="AZO225" s="801"/>
      <c r="AZP225" s="802"/>
      <c r="AZQ225" s="800"/>
      <c r="AZR225" s="801"/>
      <c r="AZS225" s="801"/>
      <c r="AZT225" s="801"/>
      <c r="AZU225" s="801"/>
      <c r="AZV225" s="802"/>
      <c r="AZW225" s="800"/>
      <c r="AZX225" s="801"/>
      <c r="AZY225" s="801"/>
      <c r="AZZ225" s="801"/>
      <c r="BAA225" s="801"/>
      <c r="BAB225" s="802"/>
      <c r="BAC225" s="800"/>
      <c r="BAD225" s="801"/>
      <c r="BAE225" s="801"/>
      <c r="BAF225" s="801"/>
      <c r="BAG225" s="801"/>
      <c r="BAH225" s="802"/>
      <c r="BAI225" s="800"/>
      <c r="BAJ225" s="801"/>
      <c r="BAK225" s="801"/>
      <c r="BAL225" s="801"/>
      <c r="BAM225" s="801"/>
      <c r="BAN225" s="802"/>
      <c r="BAO225" s="800"/>
      <c r="BAP225" s="801"/>
      <c r="BAQ225" s="801"/>
      <c r="BAR225" s="801"/>
      <c r="BAS225" s="801"/>
      <c r="BAT225" s="802"/>
      <c r="BAU225" s="800"/>
      <c r="BAV225" s="801"/>
      <c r="BAW225" s="801"/>
      <c r="BAX225" s="801"/>
      <c r="BAY225" s="801"/>
      <c r="BAZ225" s="802"/>
      <c r="BBA225" s="800"/>
      <c r="BBB225" s="801"/>
      <c r="BBC225" s="801"/>
      <c r="BBD225" s="801"/>
      <c r="BBE225" s="801"/>
      <c r="BBF225" s="802"/>
      <c r="BBG225" s="800"/>
      <c r="BBH225" s="801"/>
      <c r="BBI225" s="801"/>
      <c r="BBJ225" s="801"/>
      <c r="BBK225" s="801"/>
      <c r="BBL225" s="802"/>
      <c r="BBM225" s="800"/>
      <c r="BBN225" s="801"/>
      <c r="BBO225" s="801"/>
      <c r="BBP225" s="801"/>
      <c r="BBQ225" s="801"/>
      <c r="BBR225" s="802"/>
      <c r="BBS225" s="800"/>
      <c r="BBT225" s="801"/>
      <c r="BBU225" s="801"/>
      <c r="BBV225" s="801"/>
      <c r="BBW225" s="801"/>
      <c r="BBX225" s="802"/>
      <c r="BBY225" s="800"/>
      <c r="BBZ225" s="801"/>
      <c r="BCA225" s="801"/>
      <c r="BCB225" s="801"/>
      <c r="BCC225" s="801"/>
      <c r="BCD225" s="802"/>
      <c r="BCE225" s="800"/>
      <c r="BCF225" s="801"/>
      <c r="BCG225" s="801"/>
      <c r="BCH225" s="801"/>
      <c r="BCI225" s="801"/>
      <c r="BCJ225" s="802"/>
      <c r="BCK225" s="800"/>
      <c r="BCL225" s="801"/>
      <c r="BCM225" s="801"/>
      <c r="BCN225" s="801"/>
      <c r="BCO225" s="801"/>
      <c r="BCP225" s="802"/>
      <c r="BCQ225" s="800"/>
      <c r="BCR225" s="801"/>
      <c r="BCS225" s="801"/>
      <c r="BCT225" s="801"/>
      <c r="BCU225" s="801"/>
      <c r="BCV225" s="802"/>
      <c r="BCW225" s="800"/>
      <c r="BCX225" s="801"/>
      <c r="BCY225" s="801"/>
      <c r="BCZ225" s="801"/>
      <c r="BDA225" s="801"/>
      <c r="BDB225" s="802"/>
      <c r="BDC225" s="800"/>
      <c r="BDD225" s="801"/>
      <c r="BDE225" s="801"/>
      <c r="BDF225" s="801"/>
      <c r="BDG225" s="801"/>
      <c r="BDH225" s="802"/>
      <c r="BDI225" s="800"/>
      <c r="BDJ225" s="801"/>
      <c r="BDK225" s="801"/>
      <c r="BDL225" s="801"/>
      <c r="BDM225" s="801"/>
      <c r="BDN225" s="802"/>
      <c r="BDO225" s="800"/>
      <c r="BDP225" s="801"/>
      <c r="BDQ225" s="801"/>
      <c r="BDR225" s="801"/>
      <c r="BDS225" s="801"/>
      <c r="BDT225" s="802"/>
      <c r="BDU225" s="800"/>
      <c r="BDV225" s="801"/>
      <c r="BDW225" s="801"/>
      <c r="BDX225" s="801"/>
      <c r="BDY225" s="801"/>
      <c r="BDZ225" s="802"/>
      <c r="BEA225" s="800"/>
      <c r="BEB225" s="801"/>
      <c r="BEC225" s="801"/>
      <c r="BED225" s="801"/>
      <c r="BEE225" s="801"/>
      <c r="BEF225" s="802"/>
      <c r="BEG225" s="800"/>
      <c r="BEH225" s="801"/>
      <c r="BEI225" s="801"/>
      <c r="BEJ225" s="801"/>
      <c r="BEK225" s="801"/>
      <c r="BEL225" s="802"/>
      <c r="BEM225" s="800"/>
      <c r="BEN225" s="801"/>
      <c r="BEO225" s="801"/>
      <c r="BEP225" s="801"/>
      <c r="BEQ225" s="801"/>
      <c r="BER225" s="802"/>
      <c r="BES225" s="800"/>
      <c r="BET225" s="801"/>
      <c r="BEU225" s="801"/>
      <c r="BEV225" s="801"/>
      <c r="BEW225" s="801"/>
      <c r="BEX225" s="802"/>
      <c r="BEY225" s="800"/>
      <c r="BEZ225" s="801"/>
      <c r="BFA225" s="801"/>
      <c r="BFB225" s="801"/>
      <c r="BFC225" s="801"/>
      <c r="BFD225" s="802"/>
      <c r="BFE225" s="800"/>
      <c r="BFF225" s="801"/>
      <c r="BFG225" s="801"/>
      <c r="BFH225" s="801"/>
      <c r="BFI225" s="801"/>
      <c r="BFJ225" s="802"/>
      <c r="BFK225" s="800"/>
      <c r="BFL225" s="801"/>
      <c r="BFM225" s="801"/>
      <c r="BFN225" s="801"/>
      <c r="BFO225" s="801"/>
      <c r="BFP225" s="802"/>
      <c r="BFQ225" s="800"/>
      <c r="BFR225" s="801"/>
      <c r="BFS225" s="801"/>
      <c r="BFT225" s="801"/>
      <c r="BFU225" s="801"/>
      <c r="BFV225" s="802"/>
      <c r="BFW225" s="800"/>
      <c r="BFX225" s="801"/>
      <c r="BFY225" s="801"/>
      <c r="BFZ225" s="801"/>
      <c r="BGA225" s="801"/>
      <c r="BGB225" s="802"/>
      <c r="BGC225" s="800"/>
      <c r="BGD225" s="801"/>
      <c r="BGE225" s="801"/>
      <c r="BGF225" s="801"/>
      <c r="BGG225" s="801"/>
      <c r="BGH225" s="802"/>
      <c r="BGI225" s="800"/>
      <c r="BGJ225" s="801"/>
      <c r="BGK225" s="801"/>
      <c r="BGL225" s="801"/>
      <c r="BGM225" s="801"/>
      <c r="BGN225" s="802"/>
      <c r="BGO225" s="800"/>
      <c r="BGP225" s="801"/>
      <c r="BGQ225" s="801"/>
      <c r="BGR225" s="801"/>
      <c r="BGS225" s="801"/>
      <c r="BGT225" s="802"/>
      <c r="BGU225" s="800"/>
      <c r="BGV225" s="801"/>
      <c r="BGW225" s="801"/>
      <c r="BGX225" s="801"/>
      <c r="BGY225" s="801"/>
      <c r="BGZ225" s="802"/>
      <c r="BHA225" s="800"/>
      <c r="BHB225" s="801"/>
      <c r="BHC225" s="801"/>
      <c r="BHD225" s="801"/>
      <c r="BHE225" s="801"/>
      <c r="BHF225" s="802"/>
      <c r="BHG225" s="800"/>
      <c r="BHH225" s="801"/>
      <c r="BHI225" s="801"/>
      <c r="BHJ225" s="801"/>
      <c r="BHK225" s="801"/>
      <c r="BHL225" s="802"/>
      <c r="BHM225" s="800"/>
      <c r="BHN225" s="801"/>
      <c r="BHO225" s="801"/>
      <c r="BHP225" s="801"/>
      <c r="BHQ225" s="801"/>
      <c r="BHR225" s="802"/>
      <c r="BHS225" s="800"/>
      <c r="BHT225" s="801"/>
      <c r="BHU225" s="801"/>
      <c r="BHV225" s="801"/>
      <c r="BHW225" s="801"/>
      <c r="BHX225" s="802"/>
      <c r="BHY225" s="800"/>
      <c r="BHZ225" s="801"/>
      <c r="BIA225" s="801"/>
      <c r="BIB225" s="801"/>
      <c r="BIC225" s="801"/>
      <c r="BID225" s="802"/>
      <c r="BIE225" s="800"/>
      <c r="BIF225" s="801"/>
      <c r="BIG225" s="801"/>
      <c r="BIH225" s="801"/>
      <c r="BII225" s="801"/>
      <c r="BIJ225" s="802"/>
      <c r="BIK225" s="800"/>
      <c r="BIL225" s="801"/>
      <c r="BIM225" s="801"/>
      <c r="BIN225" s="801"/>
      <c r="BIO225" s="801"/>
      <c r="BIP225" s="802"/>
      <c r="BIQ225" s="800"/>
      <c r="BIR225" s="801"/>
      <c r="BIS225" s="801"/>
      <c r="BIT225" s="801"/>
      <c r="BIU225" s="801"/>
      <c r="BIV225" s="802"/>
      <c r="BIW225" s="800"/>
      <c r="BIX225" s="801"/>
      <c r="BIY225" s="801"/>
      <c r="BIZ225" s="801"/>
      <c r="BJA225" s="801"/>
      <c r="BJB225" s="802"/>
      <c r="BJC225" s="800"/>
      <c r="BJD225" s="801"/>
      <c r="BJE225" s="801"/>
      <c r="BJF225" s="801"/>
      <c r="BJG225" s="801"/>
      <c r="BJH225" s="802"/>
      <c r="BJI225" s="800"/>
      <c r="BJJ225" s="801"/>
      <c r="BJK225" s="801"/>
      <c r="BJL225" s="801"/>
      <c r="BJM225" s="801"/>
      <c r="BJN225" s="802"/>
      <c r="BJO225" s="800"/>
      <c r="BJP225" s="801"/>
      <c r="BJQ225" s="801"/>
      <c r="BJR225" s="801"/>
      <c r="BJS225" s="801"/>
      <c r="BJT225" s="802"/>
      <c r="BJU225" s="800"/>
      <c r="BJV225" s="801"/>
      <c r="BJW225" s="801"/>
      <c r="BJX225" s="801"/>
      <c r="BJY225" s="801"/>
      <c r="BJZ225" s="802"/>
      <c r="BKA225" s="800"/>
      <c r="BKB225" s="801"/>
      <c r="BKC225" s="801"/>
      <c r="BKD225" s="801"/>
      <c r="BKE225" s="801"/>
      <c r="BKF225" s="802"/>
      <c r="BKG225" s="800"/>
      <c r="BKH225" s="801"/>
      <c r="BKI225" s="801"/>
      <c r="BKJ225" s="801"/>
      <c r="BKK225" s="801"/>
      <c r="BKL225" s="802"/>
      <c r="BKM225" s="800"/>
      <c r="BKN225" s="801"/>
      <c r="BKO225" s="801"/>
      <c r="BKP225" s="801"/>
      <c r="BKQ225" s="801"/>
      <c r="BKR225" s="802"/>
      <c r="BKS225" s="800"/>
      <c r="BKT225" s="801"/>
      <c r="BKU225" s="801"/>
      <c r="BKV225" s="801"/>
      <c r="BKW225" s="801"/>
      <c r="BKX225" s="802"/>
      <c r="BKY225" s="800"/>
      <c r="BKZ225" s="801"/>
      <c r="BLA225" s="801"/>
      <c r="BLB225" s="801"/>
      <c r="BLC225" s="801"/>
      <c r="BLD225" s="802"/>
      <c r="BLE225" s="800"/>
      <c r="BLF225" s="801"/>
      <c r="BLG225" s="801"/>
      <c r="BLH225" s="801"/>
      <c r="BLI225" s="801"/>
      <c r="BLJ225" s="802"/>
      <c r="BLK225" s="800"/>
      <c r="BLL225" s="801"/>
      <c r="BLM225" s="801"/>
      <c r="BLN225" s="801"/>
      <c r="BLO225" s="801"/>
      <c r="BLP225" s="802"/>
      <c r="BLQ225" s="800"/>
      <c r="BLR225" s="801"/>
      <c r="BLS225" s="801"/>
      <c r="BLT225" s="801"/>
      <c r="BLU225" s="801"/>
      <c r="BLV225" s="802"/>
      <c r="BLW225" s="800"/>
      <c r="BLX225" s="801"/>
      <c r="BLY225" s="801"/>
      <c r="BLZ225" s="801"/>
      <c r="BMA225" s="801"/>
      <c r="BMB225" s="802"/>
      <c r="BMC225" s="800"/>
      <c r="BMD225" s="801"/>
      <c r="BME225" s="801"/>
      <c r="BMF225" s="801"/>
      <c r="BMG225" s="801"/>
      <c r="BMH225" s="802"/>
      <c r="BMI225" s="800"/>
      <c r="BMJ225" s="801"/>
      <c r="BMK225" s="801"/>
      <c r="BML225" s="801"/>
      <c r="BMM225" s="801"/>
      <c r="BMN225" s="802"/>
      <c r="BMO225" s="800"/>
      <c r="BMP225" s="801"/>
      <c r="BMQ225" s="801"/>
      <c r="BMR225" s="801"/>
      <c r="BMS225" s="801"/>
      <c r="BMT225" s="802"/>
      <c r="BMU225" s="800"/>
      <c r="BMV225" s="801"/>
      <c r="BMW225" s="801"/>
      <c r="BMX225" s="801"/>
      <c r="BMY225" s="801"/>
      <c r="BMZ225" s="802"/>
      <c r="BNA225" s="800"/>
      <c r="BNB225" s="801"/>
      <c r="BNC225" s="801"/>
      <c r="BND225" s="801"/>
      <c r="BNE225" s="801"/>
      <c r="BNF225" s="802"/>
      <c r="BNG225" s="800"/>
      <c r="BNH225" s="801"/>
      <c r="BNI225" s="801"/>
      <c r="BNJ225" s="801"/>
      <c r="BNK225" s="801"/>
      <c r="BNL225" s="802"/>
      <c r="BNM225" s="800"/>
      <c r="BNN225" s="801"/>
      <c r="BNO225" s="801"/>
      <c r="BNP225" s="801"/>
      <c r="BNQ225" s="801"/>
      <c r="BNR225" s="802"/>
      <c r="BNS225" s="800"/>
      <c r="BNT225" s="801"/>
      <c r="BNU225" s="801"/>
      <c r="BNV225" s="801"/>
      <c r="BNW225" s="801"/>
      <c r="BNX225" s="802"/>
      <c r="BNY225" s="800"/>
      <c r="BNZ225" s="801"/>
      <c r="BOA225" s="801"/>
      <c r="BOB225" s="801"/>
      <c r="BOC225" s="801"/>
      <c r="BOD225" s="802"/>
      <c r="BOE225" s="800"/>
      <c r="BOF225" s="801"/>
      <c r="BOG225" s="801"/>
      <c r="BOH225" s="801"/>
      <c r="BOI225" s="801"/>
      <c r="BOJ225" s="802"/>
      <c r="BOK225" s="800"/>
      <c r="BOL225" s="801"/>
      <c r="BOM225" s="801"/>
      <c r="BON225" s="801"/>
      <c r="BOO225" s="801"/>
      <c r="BOP225" s="802"/>
      <c r="BOQ225" s="800"/>
      <c r="BOR225" s="801"/>
      <c r="BOS225" s="801"/>
      <c r="BOT225" s="801"/>
      <c r="BOU225" s="801"/>
      <c r="BOV225" s="802"/>
      <c r="BOW225" s="800"/>
      <c r="BOX225" s="801"/>
      <c r="BOY225" s="801"/>
      <c r="BOZ225" s="801"/>
      <c r="BPA225" s="801"/>
      <c r="BPB225" s="802"/>
      <c r="BPC225" s="800"/>
      <c r="BPD225" s="801"/>
      <c r="BPE225" s="801"/>
      <c r="BPF225" s="801"/>
      <c r="BPG225" s="801"/>
      <c r="BPH225" s="802"/>
      <c r="BPI225" s="800"/>
      <c r="BPJ225" s="801"/>
      <c r="BPK225" s="801"/>
      <c r="BPL225" s="801"/>
      <c r="BPM225" s="801"/>
      <c r="BPN225" s="802"/>
      <c r="BPO225" s="800"/>
      <c r="BPP225" s="801"/>
      <c r="BPQ225" s="801"/>
      <c r="BPR225" s="801"/>
      <c r="BPS225" s="801"/>
      <c r="BPT225" s="802"/>
      <c r="BPU225" s="800"/>
      <c r="BPV225" s="801"/>
      <c r="BPW225" s="801"/>
      <c r="BPX225" s="801"/>
      <c r="BPY225" s="801"/>
      <c r="BPZ225" s="802"/>
      <c r="BQA225" s="800"/>
      <c r="BQB225" s="801"/>
      <c r="BQC225" s="801"/>
      <c r="BQD225" s="801"/>
      <c r="BQE225" s="801"/>
      <c r="BQF225" s="802"/>
      <c r="BQG225" s="800"/>
      <c r="BQH225" s="801"/>
      <c r="BQI225" s="801"/>
      <c r="BQJ225" s="801"/>
      <c r="BQK225" s="801"/>
      <c r="BQL225" s="802"/>
      <c r="BQM225" s="800"/>
      <c r="BQN225" s="801"/>
      <c r="BQO225" s="801"/>
      <c r="BQP225" s="801"/>
      <c r="BQQ225" s="801"/>
      <c r="BQR225" s="802"/>
      <c r="BQS225" s="800"/>
      <c r="BQT225" s="801"/>
      <c r="BQU225" s="801"/>
      <c r="BQV225" s="801"/>
      <c r="BQW225" s="801"/>
      <c r="BQX225" s="802"/>
      <c r="BQY225" s="800"/>
      <c r="BQZ225" s="801"/>
      <c r="BRA225" s="801"/>
      <c r="BRB225" s="801"/>
      <c r="BRC225" s="801"/>
      <c r="BRD225" s="802"/>
      <c r="BRE225" s="800"/>
      <c r="BRF225" s="801"/>
      <c r="BRG225" s="801"/>
      <c r="BRH225" s="801"/>
      <c r="BRI225" s="801"/>
      <c r="BRJ225" s="802"/>
      <c r="BRK225" s="800"/>
      <c r="BRL225" s="801"/>
      <c r="BRM225" s="801"/>
      <c r="BRN225" s="801"/>
      <c r="BRO225" s="801"/>
      <c r="BRP225" s="802"/>
      <c r="BRQ225" s="800"/>
      <c r="BRR225" s="801"/>
      <c r="BRS225" s="801"/>
      <c r="BRT225" s="801"/>
      <c r="BRU225" s="801"/>
      <c r="BRV225" s="802"/>
      <c r="BRW225" s="800"/>
      <c r="BRX225" s="801"/>
      <c r="BRY225" s="801"/>
      <c r="BRZ225" s="801"/>
      <c r="BSA225" s="801"/>
      <c r="BSB225" s="802"/>
      <c r="BSC225" s="800"/>
      <c r="BSD225" s="801"/>
      <c r="BSE225" s="801"/>
      <c r="BSF225" s="801"/>
      <c r="BSG225" s="801"/>
      <c r="BSH225" s="802"/>
      <c r="BSI225" s="800"/>
      <c r="BSJ225" s="801"/>
      <c r="BSK225" s="801"/>
      <c r="BSL225" s="801"/>
      <c r="BSM225" s="801"/>
      <c r="BSN225" s="802"/>
      <c r="BSO225" s="800"/>
      <c r="BSP225" s="801"/>
      <c r="BSQ225" s="801"/>
      <c r="BSR225" s="801"/>
      <c r="BSS225" s="801"/>
      <c r="BST225" s="802"/>
      <c r="BSU225" s="800"/>
      <c r="BSV225" s="801"/>
      <c r="BSW225" s="801"/>
      <c r="BSX225" s="801"/>
      <c r="BSY225" s="801"/>
      <c r="BSZ225" s="802"/>
      <c r="BTA225" s="800"/>
      <c r="BTB225" s="801"/>
      <c r="BTC225" s="801"/>
      <c r="BTD225" s="801"/>
      <c r="BTE225" s="801"/>
      <c r="BTF225" s="802"/>
      <c r="BTG225" s="800"/>
      <c r="BTH225" s="801"/>
      <c r="BTI225" s="801"/>
      <c r="BTJ225" s="801"/>
      <c r="BTK225" s="801"/>
      <c r="BTL225" s="802"/>
      <c r="BTM225" s="800"/>
      <c r="BTN225" s="801"/>
      <c r="BTO225" s="801"/>
      <c r="BTP225" s="801"/>
      <c r="BTQ225" s="801"/>
      <c r="BTR225" s="802"/>
      <c r="BTS225" s="800"/>
      <c r="BTT225" s="801"/>
      <c r="BTU225" s="801"/>
      <c r="BTV225" s="801"/>
      <c r="BTW225" s="801"/>
      <c r="BTX225" s="802"/>
      <c r="BTY225" s="800"/>
      <c r="BTZ225" s="801"/>
      <c r="BUA225" s="801"/>
      <c r="BUB225" s="801"/>
      <c r="BUC225" s="801"/>
      <c r="BUD225" s="802"/>
      <c r="BUE225" s="800"/>
      <c r="BUF225" s="801"/>
      <c r="BUG225" s="801"/>
      <c r="BUH225" s="801"/>
      <c r="BUI225" s="801"/>
      <c r="BUJ225" s="802"/>
      <c r="BUK225" s="800"/>
      <c r="BUL225" s="801"/>
      <c r="BUM225" s="801"/>
      <c r="BUN225" s="801"/>
      <c r="BUO225" s="801"/>
      <c r="BUP225" s="802"/>
      <c r="BUQ225" s="800"/>
      <c r="BUR225" s="801"/>
      <c r="BUS225" s="801"/>
      <c r="BUT225" s="801"/>
      <c r="BUU225" s="801"/>
      <c r="BUV225" s="802"/>
      <c r="BUW225" s="800"/>
      <c r="BUX225" s="801"/>
      <c r="BUY225" s="801"/>
      <c r="BUZ225" s="801"/>
      <c r="BVA225" s="801"/>
      <c r="BVB225" s="802"/>
      <c r="BVC225" s="800"/>
      <c r="BVD225" s="801"/>
      <c r="BVE225" s="801"/>
      <c r="BVF225" s="801"/>
      <c r="BVG225" s="801"/>
      <c r="BVH225" s="802"/>
      <c r="BVI225" s="800"/>
      <c r="BVJ225" s="801"/>
      <c r="BVK225" s="801"/>
      <c r="BVL225" s="801"/>
      <c r="BVM225" s="801"/>
      <c r="BVN225" s="802"/>
      <c r="BVO225" s="800"/>
      <c r="BVP225" s="801"/>
      <c r="BVQ225" s="801"/>
      <c r="BVR225" s="801"/>
      <c r="BVS225" s="801"/>
      <c r="BVT225" s="802"/>
      <c r="BVU225" s="800"/>
      <c r="BVV225" s="801"/>
      <c r="BVW225" s="801"/>
      <c r="BVX225" s="801"/>
      <c r="BVY225" s="801"/>
      <c r="BVZ225" s="802"/>
      <c r="BWA225" s="800"/>
      <c r="BWB225" s="801"/>
      <c r="BWC225" s="801"/>
      <c r="BWD225" s="801"/>
      <c r="BWE225" s="801"/>
      <c r="BWF225" s="802"/>
      <c r="BWG225" s="800"/>
      <c r="BWH225" s="801"/>
      <c r="BWI225" s="801"/>
      <c r="BWJ225" s="801"/>
      <c r="BWK225" s="801"/>
      <c r="BWL225" s="802"/>
      <c r="BWM225" s="800"/>
      <c r="BWN225" s="801"/>
      <c r="BWO225" s="801"/>
      <c r="BWP225" s="801"/>
      <c r="BWQ225" s="801"/>
      <c r="BWR225" s="802"/>
      <c r="BWS225" s="800"/>
      <c r="BWT225" s="801"/>
      <c r="BWU225" s="801"/>
      <c r="BWV225" s="801"/>
      <c r="BWW225" s="801"/>
      <c r="BWX225" s="802"/>
      <c r="BWY225" s="800"/>
      <c r="BWZ225" s="801"/>
      <c r="BXA225" s="801"/>
      <c r="BXB225" s="801"/>
      <c r="BXC225" s="801"/>
      <c r="BXD225" s="802"/>
      <c r="BXE225" s="800"/>
      <c r="BXF225" s="801"/>
      <c r="BXG225" s="801"/>
      <c r="BXH225" s="801"/>
      <c r="BXI225" s="801"/>
      <c r="BXJ225" s="802"/>
      <c r="BXK225" s="800"/>
      <c r="BXL225" s="801"/>
      <c r="BXM225" s="801"/>
      <c r="BXN225" s="801"/>
      <c r="BXO225" s="801"/>
      <c r="BXP225" s="802"/>
      <c r="BXQ225" s="800"/>
      <c r="BXR225" s="801"/>
      <c r="BXS225" s="801"/>
      <c r="BXT225" s="801"/>
      <c r="BXU225" s="801"/>
      <c r="BXV225" s="802"/>
      <c r="BXW225" s="800"/>
      <c r="BXX225" s="801"/>
      <c r="BXY225" s="801"/>
      <c r="BXZ225" s="801"/>
      <c r="BYA225" s="801"/>
      <c r="BYB225" s="802"/>
      <c r="BYC225" s="800"/>
      <c r="BYD225" s="801"/>
      <c r="BYE225" s="801"/>
      <c r="BYF225" s="801"/>
      <c r="BYG225" s="801"/>
      <c r="BYH225" s="802"/>
      <c r="BYI225" s="800"/>
      <c r="BYJ225" s="801"/>
      <c r="BYK225" s="801"/>
      <c r="BYL225" s="801"/>
      <c r="BYM225" s="801"/>
      <c r="BYN225" s="802"/>
      <c r="BYO225" s="800"/>
      <c r="BYP225" s="801"/>
      <c r="BYQ225" s="801"/>
      <c r="BYR225" s="801"/>
      <c r="BYS225" s="801"/>
      <c r="BYT225" s="802"/>
      <c r="BYU225" s="800"/>
      <c r="BYV225" s="801"/>
      <c r="BYW225" s="801"/>
      <c r="BYX225" s="801"/>
      <c r="BYY225" s="801"/>
      <c r="BYZ225" s="802"/>
      <c r="BZA225" s="800"/>
      <c r="BZB225" s="801"/>
      <c r="BZC225" s="801"/>
      <c r="BZD225" s="801"/>
      <c r="BZE225" s="801"/>
      <c r="BZF225" s="802"/>
      <c r="BZG225" s="800"/>
      <c r="BZH225" s="801"/>
      <c r="BZI225" s="801"/>
      <c r="BZJ225" s="801"/>
      <c r="BZK225" s="801"/>
      <c r="BZL225" s="802"/>
      <c r="BZM225" s="800"/>
      <c r="BZN225" s="801"/>
      <c r="BZO225" s="801"/>
      <c r="BZP225" s="801"/>
      <c r="BZQ225" s="801"/>
      <c r="BZR225" s="802"/>
      <c r="BZS225" s="800"/>
      <c r="BZT225" s="801"/>
      <c r="BZU225" s="801"/>
      <c r="BZV225" s="801"/>
      <c r="BZW225" s="801"/>
      <c r="BZX225" s="802"/>
      <c r="BZY225" s="800"/>
      <c r="BZZ225" s="801"/>
      <c r="CAA225" s="801"/>
      <c r="CAB225" s="801"/>
      <c r="CAC225" s="801"/>
      <c r="CAD225" s="802"/>
      <c r="CAE225" s="800"/>
      <c r="CAF225" s="801"/>
      <c r="CAG225" s="801"/>
      <c r="CAH225" s="801"/>
      <c r="CAI225" s="801"/>
      <c r="CAJ225" s="802"/>
      <c r="CAK225" s="800"/>
      <c r="CAL225" s="801"/>
      <c r="CAM225" s="801"/>
      <c r="CAN225" s="801"/>
      <c r="CAO225" s="801"/>
      <c r="CAP225" s="802"/>
      <c r="CAQ225" s="800"/>
      <c r="CAR225" s="801"/>
      <c r="CAS225" s="801"/>
      <c r="CAT225" s="801"/>
      <c r="CAU225" s="801"/>
      <c r="CAV225" s="802"/>
      <c r="CAW225" s="800"/>
      <c r="CAX225" s="801"/>
      <c r="CAY225" s="801"/>
      <c r="CAZ225" s="801"/>
      <c r="CBA225" s="801"/>
      <c r="CBB225" s="802"/>
      <c r="CBC225" s="800"/>
      <c r="CBD225" s="801"/>
      <c r="CBE225" s="801"/>
      <c r="CBF225" s="801"/>
      <c r="CBG225" s="801"/>
      <c r="CBH225" s="802"/>
      <c r="CBI225" s="800"/>
      <c r="CBJ225" s="801"/>
      <c r="CBK225" s="801"/>
      <c r="CBL225" s="801"/>
      <c r="CBM225" s="801"/>
      <c r="CBN225" s="802"/>
      <c r="CBO225" s="800"/>
      <c r="CBP225" s="801"/>
      <c r="CBQ225" s="801"/>
      <c r="CBR225" s="801"/>
      <c r="CBS225" s="801"/>
      <c r="CBT225" s="802"/>
      <c r="CBU225" s="800"/>
      <c r="CBV225" s="801"/>
      <c r="CBW225" s="801"/>
      <c r="CBX225" s="801"/>
      <c r="CBY225" s="801"/>
      <c r="CBZ225" s="802"/>
      <c r="CCA225" s="800"/>
      <c r="CCB225" s="801"/>
      <c r="CCC225" s="801"/>
      <c r="CCD225" s="801"/>
      <c r="CCE225" s="801"/>
      <c r="CCF225" s="802"/>
      <c r="CCG225" s="800"/>
      <c r="CCH225" s="801"/>
      <c r="CCI225" s="801"/>
      <c r="CCJ225" s="801"/>
      <c r="CCK225" s="801"/>
      <c r="CCL225" s="802"/>
      <c r="CCM225" s="800"/>
      <c r="CCN225" s="801"/>
      <c r="CCO225" s="801"/>
      <c r="CCP225" s="801"/>
      <c r="CCQ225" s="801"/>
      <c r="CCR225" s="802"/>
      <c r="CCS225" s="800"/>
      <c r="CCT225" s="801"/>
      <c r="CCU225" s="801"/>
      <c r="CCV225" s="801"/>
      <c r="CCW225" s="801"/>
      <c r="CCX225" s="802"/>
      <c r="CCY225" s="800"/>
      <c r="CCZ225" s="801"/>
      <c r="CDA225" s="801"/>
      <c r="CDB225" s="801"/>
      <c r="CDC225" s="801"/>
      <c r="CDD225" s="802"/>
      <c r="CDE225" s="800"/>
      <c r="CDF225" s="801"/>
      <c r="CDG225" s="801"/>
      <c r="CDH225" s="801"/>
      <c r="CDI225" s="801"/>
      <c r="CDJ225" s="802"/>
      <c r="CDK225" s="800"/>
      <c r="CDL225" s="801"/>
      <c r="CDM225" s="801"/>
      <c r="CDN225" s="801"/>
      <c r="CDO225" s="801"/>
      <c r="CDP225" s="802"/>
      <c r="CDQ225" s="800"/>
      <c r="CDR225" s="801"/>
      <c r="CDS225" s="801"/>
      <c r="CDT225" s="801"/>
      <c r="CDU225" s="801"/>
      <c r="CDV225" s="802"/>
      <c r="CDW225" s="800"/>
      <c r="CDX225" s="801"/>
      <c r="CDY225" s="801"/>
      <c r="CDZ225" s="801"/>
      <c r="CEA225" s="801"/>
      <c r="CEB225" s="802"/>
      <c r="CEC225" s="800"/>
      <c r="CED225" s="801"/>
      <c r="CEE225" s="801"/>
      <c r="CEF225" s="801"/>
      <c r="CEG225" s="801"/>
      <c r="CEH225" s="802"/>
      <c r="CEI225" s="800"/>
      <c r="CEJ225" s="801"/>
      <c r="CEK225" s="801"/>
      <c r="CEL225" s="801"/>
      <c r="CEM225" s="801"/>
      <c r="CEN225" s="802"/>
      <c r="CEO225" s="800"/>
      <c r="CEP225" s="801"/>
      <c r="CEQ225" s="801"/>
      <c r="CER225" s="801"/>
      <c r="CES225" s="801"/>
      <c r="CET225" s="802"/>
      <c r="CEU225" s="800"/>
      <c r="CEV225" s="801"/>
      <c r="CEW225" s="801"/>
      <c r="CEX225" s="801"/>
      <c r="CEY225" s="801"/>
      <c r="CEZ225" s="802"/>
      <c r="CFA225" s="800"/>
      <c r="CFB225" s="801"/>
      <c r="CFC225" s="801"/>
      <c r="CFD225" s="801"/>
      <c r="CFE225" s="801"/>
      <c r="CFF225" s="802"/>
      <c r="CFG225" s="800"/>
      <c r="CFH225" s="801"/>
      <c r="CFI225" s="801"/>
      <c r="CFJ225" s="801"/>
      <c r="CFK225" s="801"/>
      <c r="CFL225" s="802"/>
      <c r="CFM225" s="800"/>
      <c r="CFN225" s="801"/>
      <c r="CFO225" s="801"/>
      <c r="CFP225" s="801"/>
      <c r="CFQ225" s="801"/>
      <c r="CFR225" s="802"/>
      <c r="CFS225" s="800"/>
      <c r="CFT225" s="801"/>
      <c r="CFU225" s="801"/>
      <c r="CFV225" s="801"/>
      <c r="CFW225" s="801"/>
      <c r="CFX225" s="802"/>
      <c r="CFY225" s="800"/>
      <c r="CFZ225" s="801"/>
      <c r="CGA225" s="801"/>
      <c r="CGB225" s="801"/>
      <c r="CGC225" s="801"/>
      <c r="CGD225" s="802"/>
      <c r="CGE225" s="800"/>
      <c r="CGF225" s="801"/>
      <c r="CGG225" s="801"/>
      <c r="CGH225" s="801"/>
      <c r="CGI225" s="801"/>
      <c r="CGJ225" s="802"/>
      <c r="CGK225" s="800"/>
      <c r="CGL225" s="801"/>
      <c r="CGM225" s="801"/>
      <c r="CGN225" s="801"/>
      <c r="CGO225" s="801"/>
      <c r="CGP225" s="802"/>
      <c r="CGQ225" s="800"/>
      <c r="CGR225" s="801"/>
      <c r="CGS225" s="801"/>
      <c r="CGT225" s="801"/>
      <c r="CGU225" s="801"/>
      <c r="CGV225" s="802"/>
      <c r="CGW225" s="800"/>
      <c r="CGX225" s="801"/>
      <c r="CGY225" s="801"/>
      <c r="CGZ225" s="801"/>
      <c r="CHA225" s="801"/>
      <c r="CHB225" s="802"/>
      <c r="CHC225" s="800"/>
      <c r="CHD225" s="801"/>
      <c r="CHE225" s="801"/>
      <c r="CHF225" s="801"/>
      <c r="CHG225" s="801"/>
      <c r="CHH225" s="802"/>
      <c r="CHI225" s="800"/>
      <c r="CHJ225" s="801"/>
      <c r="CHK225" s="801"/>
      <c r="CHL225" s="801"/>
      <c r="CHM225" s="801"/>
      <c r="CHN225" s="802"/>
      <c r="CHO225" s="800"/>
      <c r="CHP225" s="801"/>
      <c r="CHQ225" s="801"/>
      <c r="CHR225" s="801"/>
      <c r="CHS225" s="801"/>
      <c r="CHT225" s="802"/>
      <c r="CHU225" s="800"/>
      <c r="CHV225" s="801"/>
      <c r="CHW225" s="801"/>
      <c r="CHX225" s="801"/>
      <c r="CHY225" s="801"/>
      <c r="CHZ225" s="802"/>
      <c r="CIA225" s="800"/>
      <c r="CIB225" s="801"/>
      <c r="CIC225" s="801"/>
      <c r="CID225" s="801"/>
      <c r="CIE225" s="801"/>
      <c r="CIF225" s="802"/>
      <c r="CIG225" s="800"/>
      <c r="CIH225" s="801"/>
      <c r="CII225" s="801"/>
      <c r="CIJ225" s="801"/>
      <c r="CIK225" s="801"/>
      <c r="CIL225" s="802"/>
      <c r="CIM225" s="800"/>
      <c r="CIN225" s="801"/>
      <c r="CIO225" s="801"/>
      <c r="CIP225" s="801"/>
      <c r="CIQ225" s="801"/>
      <c r="CIR225" s="802"/>
      <c r="CIS225" s="800"/>
      <c r="CIT225" s="801"/>
      <c r="CIU225" s="801"/>
      <c r="CIV225" s="801"/>
      <c r="CIW225" s="801"/>
      <c r="CIX225" s="802"/>
      <c r="CIY225" s="800"/>
      <c r="CIZ225" s="801"/>
      <c r="CJA225" s="801"/>
      <c r="CJB225" s="801"/>
      <c r="CJC225" s="801"/>
      <c r="CJD225" s="802"/>
      <c r="CJE225" s="800"/>
      <c r="CJF225" s="801"/>
      <c r="CJG225" s="801"/>
      <c r="CJH225" s="801"/>
      <c r="CJI225" s="801"/>
      <c r="CJJ225" s="802"/>
      <c r="CJK225" s="800"/>
      <c r="CJL225" s="801"/>
      <c r="CJM225" s="801"/>
      <c r="CJN225" s="801"/>
      <c r="CJO225" s="801"/>
      <c r="CJP225" s="802"/>
      <c r="CJQ225" s="800"/>
      <c r="CJR225" s="801"/>
      <c r="CJS225" s="801"/>
      <c r="CJT225" s="801"/>
      <c r="CJU225" s="801"/>
      <c r="CJV225" s="802"/>
      <c r="CJW225" s="800"/>
      <c r="CJX225" s="801"/>
      <c r="CJY225" s="801"/>
      <c r="CJZ225" s="801"/>
      <c r="CKA225" s="801"/>
      <c r="CKB225" s="802"/>
      <c r="CKC225" s="800"/>
      <c r="CKD225" s="801"/>
      <c r="CKE225" s="801"/>
      <c r="CKF225" s="801"/>
      <c r="CKG225" s="801"/>
      <c r="CKH225" s="802"/>
      <c r="CKI225" s="800"/>
      <c r="CKJ225" s="801"/>
      <c r="CKK225" s="801"/>
      <c r="CKL225" s="801"/>
      <c r="CKM225" s="801"/>
      <c r="CKN225" s="802"/>
      <c r="CKO225" s="800"/>
      <c r="CKP225" s="801"/>
      <c r="CKQ225" s="801"/>
      <c r="CKR225" s="801"/>
      <c r="CKS225" s="801"/>
      <c r="CKT225" s="802"/>
      <c r="CKU225" s="800"/>
      <c r="CKV225" s="801"/>
      <c r="CKW225" s="801"/>
      <c r="CKX225" s="801"/>
      <c r="CKY225" s="801"/>
      <c r="CKZ225" s="802"/>
      <c r="CLA225" s="800"/>
      <c r="CLB225" s="801"/>
      <c r="CLC225" s="801"/>
      <c r="CLD225" s="801"/>
      <c r="CLE225" s="801"/>
      <c r="CLF225" s="802"/>
      <c r="CLG225" s="800"/>
      <c r="CLH225" s="801"/>
      <c r="CLI225" s="801"/>
      <c r="CLJ225" s="801"/>
      <c r="CLK225" s="801"/>
      <c r="CLL225" s="802"/>
      <c r="CLM225" s="800"/>
      <c r="CLN225" s="801"/>
      <c r="CLO225" s="801"/>
      <c r="CLP225" s="801"/>
      <c r="CLQ225" s="801"/>
      <c r="CLR225" s="802"/>
      <c r="CLS225" s="800"/>
      <c r="CLT225" s="801"/>
      <c r="CLU225" s="801"/>
      <c r="CLV225" s="801"/>
      <c r="CLW225" s="801"/>
      <c r="CLX225" s="802"/>
      <c r="CLY225" s="800"/>
      <c r="CLZ225" s="801"/>
      <c r="CMA225" s="801"/>
      <c r="CMB225" s="801"/>
      <c r="CMC225" s="801"/>
      <c r="CMD225" s="802"/>
      <c r="CME225" s="800"/>
      <c r="CMF225" s="801"/>
      <c r="CMG225" s="801"/>
      <c r="CMH225" s="801"/>
      <c r="CMI225" s="801"/>
      <c r="CMJ225" s="802"/>
      <c r="CMK225" s="800"/>
      <c r="CML225" s="801"/>
      <c r="CMM225" s="801"/>
      <c r="CMN225" s="801"/>
      <c r="CMO225" s="801"/>
      <c r="CMP225" s="802"/>
      <c r="CMQ225" s="800"/>
      <c r="CMR225" s="801"/>
      <c r="CMS225" s="801"/>
      <c r="CMT225" s="801"/>
      <c r="CMU225" s="801"/>
      <c r="CMV225" s="802"/>
      <c r="CMW225" s="800"/>
      <c r="CMX225" s="801"/>
      <c r="CMY225" s="801"/>
      <c r="CMZ225" s="801"/>
      <c r="CNA225" s="801"/>
      <c r="CNB225" s="802"/>
      <c r="CNC225" s="800"/>
      <c r="CND225" s="801"/>
      <c r="CNE225" s="801"/>
      <c r="CNF225" s="801"/>
      <c r="CNG225" s="801"/>
      <c r="CNH225" s="802"/>
      <c r="CNI225" s="800"/>
      <c r="CNJ225" s="801"/>
      <c r="CNK225" s="801"/>
      <c r="CNL225" s="801"/>
      <c r="CNM225" s="801"/>
      <c r="CNN225" s="802"/>
      <c r="CNO225" s="800"/>
      <c r="CNP225" s="801"/>
      <c r="CNQ225" s="801"/>
      <c r="CNR225" s="801"/>
      <c r="CNS225" s="801"/>
      <c r="CNT225" s="802"/>
      <c r="CNU225" s="800"/>
      <c r="CNV225" s="801"/>
      <c r="CNW225" s="801"/>
      <c r="CNX225" s="801"/>
      <c r="CNY225" s="801"/>
      <c r="CNZ225" s="802"/>
      <c r="COA225" s="800"/>
      <c r="COB225" s="801"/>
      <c r="COC225" s="801"/>
      <c r="COD225" s="801"/>
      <c r="COE225" s="801"/>
      <c r="COF225" s="802"/>
      <c r="COG225" s="800"/>
      <c r="COH225" s="801"/>
      <c r="COI225" s="801"/>
      <c r="COJ225" s="801"/>
      <c r="COK225" s="801"/>
      <c r="COL225" s="802"/>
      <c r="COM225" s="800"/>
      <c r="CON225" s="801"/>
      <c r="COO225" s="801"/>
      <c r="COP225" s="801"/>
      <c r="COQ225" s="801"/>
      <c r="COR225" s="802"/>
      <c r="COS225" s="800"/>
      <c r="COT225" s="801"/>
      <c r="COU225" s="801"/>
      <c r="COV225" s="801"/>
      <c r="COW225" s="801"/>
      <c r="COX225" s="802"/>
      <c r="COY225" s="800"/>
      <c r="COZ225" s="801"/>
      <c r="CPA225" s="801"/>
      <c r="CPB225" s="801"/>
      <c r="CPC225" s="801"/>
      <c r="CPD225" s="802"/>
      <c r="CPE225" s="800"/>
      <c r="CPF225" s="801"/>
      <c r="CPG225" s="801"/>
      <c r="CPH225" s="801"/>
      <c r="CPI225" s="801"/>
      <c r="CPJ225" s="802"/>
      <c r="CPK225" s="800"/>
      <c r="CPL225" s="801"/>
      <c r="CPM225" s="801"/>
      <c r="CPN225" s="801"/>
      <c r="CPO225" s="801"/>
      <c r="CPP225" s="802"/>
      <c r="CPQ225" s="800"/>
      <c r="CPR225" s="801"/>
      <c r="CPS225" s="801"/>
      <c r="CPT225" s="801"/>
      <c r="CPU225" s="801"/>
      <c r="CPV225" s="802"/>
      <c r="CPW225" s="800"/>
      <c r="CPX225" s="801"/>
      <c r="CPY225" s="801"/>
      <c r="CPZ225" s="801"/>
      <c r="CQA225" s="801"/>
      <c r="CQB225" s="802"/>
      <c r="CQC225" s="800"/>
      <c r="CQD225" s="801"/>
      <c r="CQE225" s="801"/>
      <c r="CQF225" s="801"/>
      <c r="CQG225" s="801"/>
      <c r="CQH225" s="802"/>
      <c r="CQI225" s="800"/>
      <c r="CQJ225" s="801"/>
      <c r="CQK225" s="801"/>
      <c r="CQL225" s="801"/>
      <c r="CQM225" s="801"/>
      <c r="CQN225" s="802"/>
      <c r="CQO225" s="800"/>
      <c r="CQP225" s="801"/>
      <c r="CQQ225" s="801"/>
      <c r="CQR225" s="801"/>
      <c r="CQS225" s="801"/>
      <c r="CQT225" s="802"/>
      <c r="CQU225" s="800"/>
      <c r="CQV225" s="801"/>
      <c r="CQW225" s="801"/>
      <c r="CQX225" s="801"/>
      <c r="CQY225" s="801"/>
      <c r="CQZ225" s="802"/>
      <c r="CRA225" s="800"/>
      <c r="CRB225" s="801"/>
      <c r="CRC225" s="801"/>
      <c r="CRD225" s="801"/>
      <c r="CRE225" s="801"/>
      <c r="CRF225" s="802"/>
      <c r="CRG225" s="800"/>
      <c r="CRH225" s="801"/>
      <c r="CRI225" s="801"/>
      <c r="CRJ225" s="801"/>
      <c r="CRK225" s="801"/>
      <c r="CRL225" s="802"/>
      <c r="CRM225" s="800"/>
      <c r="CRN225" s="801"/>
      <c r="CRO225" s="801"/>
      <c r="CRP225" s="801"/>
      <c r="CRQ225" s="801"/>
      <c r="CRR225" s="802"/>
      <c r="CRS225" s="800"/>
      <c r="CRT225" s="801"/>
      <c r="CRU225" s="801"/>
      <c r="CRV225" s="801"/>
      <c r="CRW225" s="801"/>
      <c r="CRX225" s="802"/>
      <c r="CRY225" s="800"/>
      <c r="CRZ225" s="801"/>
      <c r="CSA225" s="801"/>
      <c r="CSB225" s="801"/>
      <c r="CSC225" s="801"/>
      <c r="CSD225" s="802"/>
      <c r="CSE225" s="800"/>
      <c r="CSF225" s="801"/>
      <c r="CSG225" s="801"/>
      <c r="CSH225" s="801"/>
      <c r="CSI225" s="801"/>
      <c r="CSJ225" s="802"/>
      <c r="CSK225" s="800"/>
      <c r="CSL225" s="801"/>
      <c r="CSM225" s="801"/>
      <c r="CSN225" s="801"/>
      <c r="CSO225" s="801"/>
      <c r="CSP225" s="802"/>
      <c r="CSQ225" s="800"/>
      <c r="CSR225" s="801"/>
      <c r="CSS225" s="801"/>
      <c r="CST225" s="801"/>
      <c r="CSU225" s="801"/>
      <c r="CSV225" s="802"/>
      <c r="CSW225" s="800"/>
      <c r="CSX225" s="801"/>
      <c r="CSY225" s="801"/>
      <c r="CSZ225" s="801"/>
      <c r="CTA225" s="801"/>
      <c r="CTB225" s="802"/>
      <c r="CTC225" s="800"/>
      <c r="CTD225" s="801"/>
      <c r="CTE225" s="801"/>
      <c r="CTF225" s="801"/>
      <c r="CTG225" s="801"/>
      <c r="CTH225" s="802"/>
      <c r="CTI225" s="800"/>
      <c r="CTJ225" s="801"/>
      <c r="CTK225" s="801"/>
      <c r="CTL225" s="801"/>
      <c r="CTM225" s="801"/>
      <c r="CTN225" s="802"/>
      <c r="CTO225" s="800"/>
      <c r="CTP225" s="801"/>
      <c r="CTQ225" s="801"/>
      <c r="CTR225" s="801"/>
      <c r="CTS225" s="801"/>
      <c r="CTT225" s="802"/>
      <c r="CTU225" s="800"/>
      <c r="CTV225" s="801"/>
      <c r="CTW225" s="801"/>
      <c r="CTX225" s="801"/>
      <c r="CTY225" s="801"/>
      <c r="CTZ225" s="802"/>
      <c r="CUA225" s="800"/>
      <c r="CUB225" s="801"/>
      <c r="CUC225" s="801"/>
      <c r="CUD225" s="801"/>
      <c r="CUE225" s="801"/>
      <c r="CUF225" s="802"/>
      <c r="CUG225" s="800"/>
      <c r="CUH225" s="801"/>
      <c r="CUI225" s="801"/>
      <c r="CUJ225" s="801"/>
      <c r="CUK225" s="801"/>
      <c r="CUL225" s="802"/>
      <c r="CUM225" s="800"/>
      <c r="CUN225" s="801"/>
      <c r="CUO225" s="801"/>
      <c r="CUP225" s="801"/>
      <c r="CUQ225" s="801"/>
      <c r="CUR225" s="802"/>
      <c r="CUS225" s="800"/>
      <c r="CUT225" s="801"/>
      <c r="CUU225" s="801"/>
      <c r="CUV225" s="801"/>
      <c r="CUW225" s="801"/>
      <c r="CUX225" s="802"/>
      <c r="CUY225" s="800"/>
      <c r="CUZ225" s="801"/>
      <c r="CVA225" s="801"/>
      <c r="CVB225" s="801"/>
      <c r="CVC225" s="801"/>
      <c r="CVD225" s="802"/>
      <c r="CVE225" s="800"/>
      <c r="CVF225" s="801"/>
      <c r="CVG225" s="801"/>
      <c r="CVH225" s="801"/>
      <c r="CVI225" s="801"/>
      <c r="CVJ225" s="802"/>
      <c r="CVK225" s="800"/>
      <c r="CVL225" s="801"/>
      <c r="CVM225" s="801"/>
      <c r="CVN225" s="801"/>
      <c r="CVO225" s="801"/>
      <c r="CVP225" s="802"/>
      <c r="CVQ225" s="800"/>
      <c r="CVR225" s="801"/>
      <c r="CVS225" s="801"/>
      <c r="CVT225" s="801"/>
      <c r="CVU225" s="801"/>
      <c r="CVV225" s="802"/>
      <c r="CVW225" s="800"/>
      <c r="CVX225" s="801"/>
      <c r="CVY225" s="801"/>
      <c r="CVZ225" s="801"/>
      <c r="CWA225" s="801"/>
      <c r="CWB225" s="802"/>
      <c r="CWC225" s="800"/>
      <c r="CWD225" s="801"/>
      <c r="CWE225" s="801"/>
      <c r="CWF225" s="801"/>
      <c r="CWG225" s="801"/>
      <c r="CWH225" s="802"/>
      <c r="CWI225" s="800"/>
      <c r="CWJ225" s="801"/>
      <c r="CWK225" s="801"/>
      <c r="CWL225" s="801"/>
      <c r="CWM225" s="801"/>
      <c r="CWN225" s="802"/>
      <c r="CWO225" s="800"/>
      <c r="CWP225" s="801"/>
      <c r="CWQ225" s="801"/>
      <c r="CWR225" s="801"/>
      <c r="CWS225" s="801"/>
      <c r="CWT225" s="802"/>
      <c r="CWU225" s="800"/>
      <c r="CWV225" s="801"/>
      <c r="CWW225" s="801"/>
      <c r="CWX225" s="801"/>
      <c r="CWY225" s="801"/>
      <c r="CWZ225" s="802"/>
      <c r="CXA225" s="800"/>
      <c r="CXB225" s="801"/>
      <c r="CXC225" s="801"/>
      <c r="CXD225" s="801"/>
      <c r="CXE225" s="801"/>
      <c r="CXF225" s="802"/>
      <c r="CXG225" s="800"/>
      <c r="CXH225" s="801"/>
      <c r="CXI225" s="801"/>
      <c r="CXJ225" s="801"/>
      <c r="CXK225" s="801"/>
      <c r="CXL225" s="802"/>
      <c r="CXM225" s="800"/>
      <c r="CXN225" s="801"/>
      <c r="CXO225" s="801"/>
      <c r="CXP225" s="801"/>
      <c r="CXQ225" s="801"/>
      <c r="CXR225" s="802"/>
      <c r="CXS225" s="800"/>
      <c r="CXT225" s="801"/>
      <c r="CXU225" s="801"/>
      <c r="CXV225" s="801"/>
      <c r="CXW225" s="801"/>
      <c r="CXX225" s="802"/>
      <c r="CXY225" s="800"/>
      <c r="CXZ225" s="801"/>
      <c r="CYA225" s="801"/>
      <c r="CYB225" s="801"/>
      <c r="CYC225" s="801"/>
      <c r="CYD225" s="802"/>
      <c r="CYE225" s="800"/>
      <c r="CYF225" s="801"/>
      <c r="CYG225" s="801"/>
      <c r="CYH225" s="801"/>
      <c r="CYI225" s="801"/>
      <c r="CYJ225" s="802"/>
      <c r="CYK225" s="800"/>
      <c r="CYL225" s="801"/>
      <c r="CYM225" s="801"/>
      <c r="CYN225" s="801"/>
      <c r="CYO225" s="801"/>
      <c r="CYP225" s="802"/>
      <c r="CYQ225" s="800"/>
      <c r="CYR225" s="801"/>
      <c r="CYS225" s="801"/>
      <c r="CYT225" s="801"/>
      <c r="CYU225" s="801"/>
      <c r="CYV225" s="802"/>
      <c r="CYW225" s="800"/>
      <c r="CYX225" s="801"/>
      <c r="CYY225" s="801"/>
      <c r="CYZ225" s="801"/>
      <c r="CZA225" s="801"/>
      <c r="CZB225" s="802"/>
      <c r="CZC225" s="800"/>
      <c r="CZD225" s="801"/>
      <c r="CZE225" s="801"/>
      <c r="CZF225" s="801"/>
      <c r="CZG225" s="801"/>
      <c r="CZH225" s="802"/>
      <c r="CZI225" s="800"/>
      <c r="CZJ225" s="801"/>
      <c r="CZK225" s="801"/>
      <c r="CZL225" s="801"/>
      <c r="CZM225" s="801"/>
      <c r="CZN225" s="802"/>
      <c r="CZO225" s="800"/>
      <c r="CZP225" s="801"/>
      <c r="CZQ225" s="801"/>
      <c r="CZR225" s="801"/>
      <c r="CZS225" s="801"/>
      <c r="CZT225" s="802"/>
      <c r="CZU225" s="800"/>
      <c r="CZV225" s="801"/>
      <c r="CZW225" s="801"/>
      <c r="CZX225" s="801"/>
      <c r="CZY225" s="801"/>
      <c r="CZZ225" s="802"/>
      <c r="DAA225" s="800"/>
      <c r="DAB225" s="801"/>
      <c r="DAC225" s="801"/>
      <c r="DAD225" s="801"/>
      <c r="DAE225" s="801"/>
      <c r="DAF225" s="802"/>
      <c r="DAG225" s="800"/>
      <c r="DAH225" s="801"/>
      <c r="DAI225" s="801"/>
      <c r="DAJ225" s="801"/>
      <c r="DAK225" s="801"/>
      <c r="DAL225" s="802"/>
      <c r="DAM225" s="800"/>
      <c r="DAN225" s="801"/>
      <c r="DAO225" s="801"/>
      <c r="DAP225" s="801"/>
      <c r="DAQ225" s="801"/>
      <c r="DAR225" s="802"/>
      <c r="DAS225" s="800"/>
      <c r="DAT225" s="801"/>
      <c r="DAU225" s="801"/>
      <c r="DAV225" s="801"/>
      <c r="DAW225" s="801"/>
      <c r="DAX225" s="802"/>
      <c r="DAY225" s="800"/>
      <c r="DAZ225" s="801"/>
      <c r="DBA225" s="801"/>
      <c r="DBB225" s="801"/>
      <c r="DBC225" s="801"/>
      <c r="DBD225" s="802"/>
      <c r="DBE225" s="800"/>
      <c r="DBF225" s="801"/>
      <c r="DBG225" s="801"/>
      <c r="DBH225" s="801"/>
      <c r="DBI225" s="801"/>
      <c r="DBJ225" s="802"/>
      <c r="DBK225" s="800"/>
      <c r="DBL225" s="801"/>
      <c r="DBM225" s="801"/>
      <c r="DBN225" s="801"/>
      <c r="DBO225" s="801"/>
      <c r="DBP225" s="802"/>
      <c r="DBQ225" s="800"/>
      <c r="DBR225" s="801"/>
      <c r="DBS225" s="801"/>
      <c r="DBT225" s="801"/>
      <c r="DBU225" s="801"/>
      <c r="DBV225" s="802"/>
      <c r="DBW225" s="800"/>
      <c r="DBX225" s="801"/>
      <c r="DBY225" s="801"/>
      <c r="DBZ225" s="801"/>
      <c r="DCA225" s="801"/>
      <c r="DCB225" s="802"/>
      <c r="DCC225" s="800"/>
      <c r="DCD225" s="801"/>
      <c r="DCE225" s="801"/>
      <c r="DCF225" s="801"/>
      <c r="DCG225" s="801"/>
      <c r="DCH225" s="802"/>
      <c r="DCI225" s="800"/>
      <c r="DCJ225" s="801"/>
      <c r="DCK225" s="801"/>
      <c r="DCL225" s="801"/>
      <c r="DCM225" s="801"/>
      <c r="DCN225" s="802"/>
      <c r="DCO225" s="800"/>
      <c r="DCP225" s="801"/>
      <c r="DCQ225" s="801"/>
      <c r="DCR225" s="801"/>
      <c r="DCS225" s="801"/>
      <c r="DCT225" s="802"/>
      <c r="DCU225" s="800"/>
      <c r="DCV225" s="801"/>
      <c r="DCW225" s="801"/>
      <c r="DCX225" s="801"/>
      <c r="DCY225" s="801"/>
      <c r="DCZ225" s="802"/>
      <c r="DDA225" s="800"/>
      <c r="DDB225" s="801"/>
      <c r="DDC225" s="801"/>
      <c r="DDD225" s="801"/>
      <c r="DDE225" s="801"/>
      <c r="DDF225" s="802"/>
      <c r="DDG225" s="800"/>
      <c r="DDH225" s="801"/>
      <c r="DDI225" s="801"/>
      <c r="DDJ225" s="801"/>
      <c r="DDK225" s="801"/>
      <c r="DDL225" s="802"/>
      <c r="DDM225" s="800"/>
      <c r="DDN225" s="801"/>
      <c r="DDO225" s="801"/>
      <c r="DDP225" s="801"/>
      <c r="DDQ225" s="801"/>
      <c r="DDR225" s="802"/>
      <c r="DDS225" s="800"/>
      <c r="DDT225" s="801"/>
      <c r="DDU225" s="801"/>
      <c r="DDV225" s="801"/>
      <c r="DDW225" s="801"/>
      <c r="DDX225" s="802"/>
      <c r="DDY225" s="800"/>
      <c r="DDZ225" s="801"/>
      <c r="DEA225" s="801"/>
      <c r="DEB225" s="801"/>
      <c r="DEC225" s="801"/>
      <c r="DED225" s="802"/>
      <c r="DEE225" s="800"/>
      <c r="DEF225" s="801"/>
      <c r="DEG225" s="801"/>
      <c r="DEH225" s="801"/>
      <c r="DEI225" s="801"/>
      <c r="DEJ225" s="802"/>
      <c r="DEK225" s="800"/>
      <c r="DEL225" s="801"/>
      <c r="DEM225" s="801"/>
      <c r="DEN225" s="801"/>
      <c r="DEO225" s="801"/>
      <c r="DEP225" s="802"/>
      <c r="DEQ225" s="800"/>
      <c r="DER225" s="801"/>
      <c r="DES225" s="801"/>
      <c r="DET225" s="801"/>
      <c r="DEU225" s="801"/>
      <c r="DEV225" s="802"/>
      <c r="DEW225" s="800"/>
      <c r="DEX225" s="801"/>
      <c r="DEY225" s="801"/>
      <c r="DEZ225" s="801"/>
      <c r="DFA225" s="801"/>
      <c r="DFB225" s="802"/>
      <c r="DFC225" s="800"/>
      <c r="DFD225" s="801"/>
      <c r="DFE225" s="801"/>
      <c r="DFF225" s="801"/>
      <c r="DFG225" s="801"/>
      <c r="DFH225" s="802"/>
      <c r="DFI225" s="800"/>
      <c r="DFJ225" s="801"/>
      <c r="DFK225" s="801"/>
      <c r="DFL225" s="801"/>
      <c r="DFM225" s="801"/>
      <c r="DFN225" s="802"/>
      <c r="DFO225" s="800"/>
      <c r="DFP225" s="801"/>
      <c r="DFQ225" s="801"/>
      <c r="DFR225" s="801"/>
      <c r="DFS225" s="801"/>
      <c r="DFT225" s="802"/>
      <c r="DFU225" s="800"/>
      <c r="DFV225" s="801"/>
      <c r="DFW225" s="801"/>
      <c r="DFX225" s="801"/>
      <c r="DFY225" s="801"/>
      <c r="DFZ225" s="802"/>
      <c r="DGA225" s="800"/>
      <c r="DGB225" s="801"/>
      <c r="DGC225" s="801"/>
      <c r="DGD225" s="801"/>
      <c r="DGE225" s="801"/>
      <c r="DGF225" s="802"/>
      <c r="DGG225" s="800"/>
      <c r="DGH225" s="801"/>
      <c r="DGI225" s="801"/>
      <c r="DGJ225" s="801"/>
      <c r="DGK225" s="801"/>
      <c r="DGL225" s="802"/>
      <c r="DGM225" s="800"/>
      <c r="DGN225" s="801"/>
      <c r="DGO225" s="801"/>
      <c r="DGP225" s="801"/>
      <c r="DGQ225" s="801"/>
      <c r="DGR225" s="802"/>
      <c r="DGS225" s="800"/>
      <c r="DGT225" s="801"/>
      <c r="DGU225" s="801"/>
      <c r="DGV225" s="801"/>
      <c r="DGW225" s="801"/>
      <c r="DGX225" s="802"/>
      <c r="DGY225" s="800"/>
      <c r="DGZ225" s="801"/>
      <c r="DHA225" s="801"/>
      <c r="DHB225" s="801"/>
      <c r="DHC225" s="801"/>
      <c r="DHD225" s="802"/>
      <c r="DHE225" s="800"/>
      <c r="DHF225" s="801"/>
      <c r="DHG225" s="801"/>
      <c r="DHH225" s="801"/>
      <c r="DHI225" s="801"/>
      <c r="DHJ225" s="802"/>
      <c r="DHK225" s="800"/>
      <c r="DHL225" s="801"/>
      <c r="DHM225" s="801"/>
      <c r="DHN225" s="801"/>
      <c r="DHO225" s="801"/>
      <c r="DHP225" s="802"/>
      <c r="DHQ225" s="800"/>
      <c r="DHR225" s="801"/>
      <c r="DHS225" s="801"/>
      <c r="DHT225" s="801"/>
      <c r="DHU225" s="801"/>
      <c r="DHV225" s="802"/>
      <c r="DHW225" s="800"/>
      <c r="DHX225" s="801"/>
      <c r="DHY225" s="801"/>
      <c r="DHZ225" s="801"/>
      <c r="DIA225" s="801"/>
      <c r="DIB225" s="802"/>
      <c r="DIC225" s="800"/>
      <c r="DID225" s="801"/>
      <c r="DIE225" s="801"/>
      <c r="DIF225" s="801"/>
      <c r="DIG225" s="801"/>
      <c r="DIH225" s="802"/>
      <c r="DII225" s="800"/>
      <c r="DIJ225" s="801"/>
      <c r="DIK225" s="801"/>
      <c r="DIL225" s="801"/>
      <c r="DIM225" s="801"/>
      <c r="DIN225" s="802"/>
      <c r="DIO225" s="800"/>
      <c r="DIP225" s="801"/>
      <c r="DIQ225" s="801"/>
      <c r="DIR225" s="801"/>
      <c r="DIS225" s="801"/>
      <c r="DIT225" s="802"/>
      <c r="DIU225" s="800"/>
      <c r="DIV225" s="801"/>
      <c r="DIW225" s="801"/>
      <c r="DIX225" s="801"/>
      <c r="DIY225" s="801"/>
      <c r="DIZ225" s="802"/>
      <c r="DJA225" s="800"/>
      <c r="DJB225" s="801"/>
      <c r="DJC225" s="801"/>
      <c r="DJD225" s="801"/>
      <c r="DJE225" s="801"/>
      <c r="DJF225" s="802"/>
      <c r="DJG225" s="800"/>
      <c r="DJH225" s="801"/>
      <c r="DJI225" s="801"/>
      <c r="DJJ225" s="801"/>
      <c r="DJK225" s="801"/>
      <c r="DJL225" s="802"/>
      <c r="DJM225" s="800"/>
      <c r="DJN225" s="801"/>
      <c r="DJO225" s="801"/>
      <c r="DJP225" s="801"/>
      <c r="DJQ225" s="801"/>
      <c r="DJR225" s="802"/>
      <c r="DJS225" s="800"/>
      <c r="DJT225" s="801"/>
      <c r="DJU225" s="801"/>
      <c r="DJV225" s="801"/>
      <c r="DJW225" s="801"/>
      <c r="DJX225" s="802"/>
      <c r="DJY225" s="800"/>
      <c r="DJZ225" s="801"/>
      <c r="DKA225" s="801"/>
      <c r="DKB225" s="801"/>
      <c r="DKC225" s="801"/>
      <c r="DKD225" s="802"/>
      <c r="DKE225" s="800"/>
      <c r="DKF225" s="801"/>
      <c r="DKG225" s="801"/>
      <c r="DKH225" s="801"/>
      <c r="DKI225" s="801"/>
      <c r="DKJ225" s="802"/>
      <c r="DKK225" s="800"/>
      <c r="DKL225" s="801"/>
      <c r="DKM225" s="801"/>
      <c r="DKN225" s="801"/>
      <c r="DKO225" s="801"/>
      <c r="DKP225" s="802"/>
      <c r="DKQ225" s="800"/>
      <c r="DKR225" s="801"/>
      <c r="DKS225" s="801"/>
      <c r="DKT225" s="801"/>
      <c r="DKU225" s="801"/>
      <c r="DKV225" s="802"/>
      <c r="DKW225" s="800"/>
      <c r="DKX225" s="801"/>
      <c r="DKY225" s="801"/>
      <c r="DKZ225" s="801"/>
      <c r="DLA225" s="801"/>
      <c r="DLB225" s="802"/>
      <c r="DLC225" s="800"/>
      <c r="DLD225" s="801"/>
      <c r="DLE225" s="801"/>
      <c r="DLF225" s="801"/>
      <c r="DLG225" s="801"/>
      <c r="DLH225" s="802"/>
      <c r="DLI225" s="800"/>
      <c r="DLJ225" s="801"/>
      <c r="DLK225" s="801"/>
      <c r="DLL225" s="801"/>
      <c r="DLM225" s="801"/>
      <c r="DLN225" s="802"/>
      <c r="DLO225" s="800"/>
      <c r="DLP225" s="801"/>
      <c r="DLQ225" s="801"/>
      <c r="DLR225" s="801"/>
      <c r="DLS225" s="801"/>
      <c r="DLT225" s="802"/>
      <c r="DLU225" s="800"/>
      <c r="DLV225" s="801"/>
      <c r="DLW225" s="801"/>
      <c r="DLX225" s="801"/>
      <c r="DLY225" s="801"/>
      <c r="DLZ225" s="802"/>
      <c r="DMA225" s="800"/>
      <c r="DMB225" s="801"/>
      <c r="DMC225" s="801"/>
      <c r="DMD225" s="801"/>
      <c r="DME225" s="801"/>
      <c r="DMF225" s="802"/>
      <c r="DMG225" s="800"/>
      <c r="DMH225" s="801"/>
      <c r="DMI225" s="801"/>
      <c r="DMJ225" s="801"/>
      <c r="DMK225" s="801"/>
      <c r="DML225" s="802"/>
      <c r="DMM225" s="800"/>
      <c r="DMN225" s="801"/>
      <c r="DMO225" s="801"/>
      <c r="DMP225" s="801"/>
      <c r="DMQ225" s="801"/>
      <c r="DMR225" s="802"/>
      <c r="DMS225" s="800"/>
      <c r="DMT225" s="801"/>
      <c r="DMU225" s="801"/>
      <c r="DMV225" s="801"/>
      <c r="DMW225" s="801"/>
      <c r="DMX225" s="802"/>
      <c r="DMY225" s="800"/>
      <c r="DMZ225" s="801"/>
      <c r="DNA225" s="801"/>
      <c r="DNB225" s="801"/>
      <c r="DNC225" s="801"/>
      <c r="DND225" s="802"/>
      <c r="DNE225" s="800"/>
      <c r="DNF225" s="801"/>
      <c r="DNG225" s="801"/>
      <c r="DNH225" s="801"/>
      <c r="DNI225" s="801"/>
      <c r="DNJ225" s="802"/>
      <c r="DNK225" s="800"/>
      <c r="DNL225" s="801"/>
      <c r="DNM225" s="801"/>
      <c r="DNN225" s="801"/>
      <c r="DNO225" s="801"/>
      <c r="DNP225" s="802"/>
      <c r="DNQ225" s="800"/>
      <c r="DNR225" s="801"/>
      <c r="DNS225" s="801"/>
      <c r="DNT225" s="801"/>
      <c r="DNU225" s="801"/>
      <c r="DNV225" s="802"/>
      <c r="DNW225" s="800"/>
      <c r="DNX225" s="801"/>
      <c r="DNY225" s="801"/>
      <c r="DNZ225" s="801"/>
      <c r="DOA225" s="801"/>
      <c r="DOB225" s="802"/>
      <c r="DOC225" s="800"/>
      <c r="DOD225" s="801"/>
      <c r="DOE225" s="801"/>
      <c r="DOF225" s="801"/>
      <c r="DOG225" s="801"/>
      <c r="DOH225" s="802"/>
      <c r="DOI225" s="800"/>
      <c r="DOJ225" s="801"/>
      <c r="DOK225" s="801"/>
      <c r="DOL225" s="801"/>
      <c r="DOM225" s="801"/>
      <c r="DON225" s="802"/>
      <c r="DOO225" s="800"/>
      <c r="DOP225" s="801"/>
      <c r="DOQ225" s="801"/>
      <c r="DOR225" s="801"/>
      <c r="DOS225" s="801"/>
      <c r="DOT225" s="802"/>
      <c r="DOU225" s="800"/>
      <c r="DOV225" s="801"/>
      <c r="DOW225" s="801"/>
      <c r="DOX225" s="801"/>
      <c r="DOY225" s="801"/>
      <c r="DOZ225" s="802"/>
      <c r="DPA225" s="800"/>
      <c r="DPB225" s="801"/>
      <c r="DPC225" s="801"/>
      <c r="DPD225" s="801"/>
      <c r="DPE225" s="801"/>
      <c r="DPF225" s="802"/>
      <c r="DPG225" s="800"/>
      <c r="DPH225" s="801"/>
      <c r="DPI225" s="801"/>
      <c r="DPJ225" s="801"/>
      <c r="DPK225" s="801"/>
      <c r="DPL225" s="802"/>
      <c r="DPM225" s="800"/>
      <c r="DPN225" s="801"/>
      <c r="DPO225" s="801"/>
      <c r="DPP225" s="801"/>
      <c r="DPQ225" s="801"/>
      <c r="DPR225" s="802"/>
      <c r="DPS225" s="800"/>
      <c r="DPT225" s="801"/>
      <c r="DPU225" s="801"/>
      <c r="DPV225" s="801"/>
      <c r="DPW225" s="801"/>
      <c r="DPX225" s="802"/>
      <c r="DPY225" s="800"/>
      <c r="DPZ225" s="801"/>
      <c r="DQA225" s="801"/>
      <c r="DQB225" s="801"/>
      <c r="DQC225" s="801"/>
      <c r="DQD225" s="802"/>
      <c r="DQE225" s="800"/>
      <c r="DQF225" s="801"/>
      <c r="DQG225" s="801"/>
      <c r="DQH225" s="801"/>
      <c r="DQI225" s="801"/>
      <c r="DQJ225" s="802"/>
      <c r="DQK225" s="800"/>
      <c r="DQL225" s="801"/>
      <c r="DQM225" s="801"/>
      <c r="DQN225" s="801"/>
      <c r="DQO225" s="801"/>
      <c r="DQP225" s="802"/>
      <c r="DQQ225" s="800"/>
      <c r="DQR225" s="801"/>
      <c r="DQS225" s="801"/>
      <c r="DQT225" s="801"/>
      <c r="DQU225" s="801"/>
      <c r="DQV225" s="802"/>
      <c r="DQW225" s="800"/>
      <c r="DQX225" s="801"/>
      <c r="DQY225" s="801"/>
      <c r="DQZ225" s="801"/>
      <c r="DRA225" s="801"/>
      <c r="DRB225" s="802"/>
      <c r="DRC225" s="800"/>
      <c r="DRD225" s="801"/>
      <c r="DRE225" s="801"/>
      <c r="DRF225" s="801"/>
      <c r="DRG225" s="801"/>
      <c r="DRH225" s="802"/>
      <c r="DRI225" s="800"/>
      <c r="DRJ225" s="801"/>
      <c r="DRK225" s="801"/>
      <c r="DRL225" s="801"/>
      <c r="DRM225" s="801"/>
      <c r="DRN225" s="802"/>
      <c r="DRO225" s="800"/>
      <c r="DRP225" s="801"/>
      <c r="DRQ225" s="801"/>
      <c r="DRR225" s="801"/>
      <c r="DRS225" s="801"/>
      <c r="DRT225" s="802"/>
      <c r="DRU225" s="800"/>
      <c r="DRV225" s="801"/>
      <c r="DRW225" s="801"/>
      <c r="DRX225" s="801"/>
      <c r="DRY225" s="801"/>
      <c r="DRZ225" s="802"/>
      <c r="DSA225" s="800"/>
      <c r="DSB225" s="801"/>
      <c r="DSC225" s="801"/>
      <c r="DSD225" s="801"/>
      <c r="DSE225" s="801"/>
      <c r="DSF225" s="802"/>
      <c r="DSG225" s="800"/>
      <c r="DSH225" s="801"/>
      <c r="DSI225" s="801"/>
      <c r="DSJ225" s="801"/>
      <c r="DSK225" s="801"/>
      <c r="DSL225" s="802"/>
      <c r="DSM225" s="800"/>
      <c r="DSN225" s="801"/>
      <c r="DSO225" s="801"/>
      <c r="DSP225" s="801"/>
      <c r="DSQ225" s="801"/>
      <c r="DSR225" s="802"/>
      <c r="DSS225" s="800"/>
      <c r="DST225" s="801"/>
      <c r="DSU225" s="801"/>
      <c r="DSV225" s="801"/>
      <c r="DSW225" s="801"/>
      <c r="DSX225" s="802"/>
      <c r="DSY225" s="800"/>
      <c r="DSZ225" s="801"/>
      <c r="DTA225" s="801"/>
      <c r="DTB225" s="801"/>
      <c r="DTC225" s="801"/>
      <c r="DTD225" s="802"/>
      <c r="DTE225" s="800"/>
      <c r="DTF225" s="801"/>
      <c r="DTG225" s="801"/>
      <c r="DTH225" s="801"/>
      <c r="DTI225" s="801"/>
      <c r="DTJ225" s="802"/>
      <c r="DTK225" s="800"/>
      <c r="DTL225" s="801"/>
      <c r="DTM225" s="801"/>
      <c r="DTN225" s="801"/>
      <c r="DTO225" s="801"/>
      <c r="DTP225" s="802"/>
      <c r="DTQ225" s="800"/>
      <c r="DTR225" s="801"/>
      <c r="DTS225" s="801"/>
      <c r="DTT225" s="801"/>
      <c r="DTU225" s="801"/>
      <c r="DTV225" s="802"/>
      <c r="DTW225" s="800"/>
      <c r="DTX225" s="801"/>
      <c r="DTY225" s="801"/>
      <c r="DTZ225" s="801"/>
      <c r="DUA225" s="801"/>
      <c r="DUB225" s="802"/>
      <c r="DUC225" s="800"/>
      <c r="DUD225" s="801"/>
      <c r="DUE225" s="801"/>
      <c r="DUF225" s="801"/>
      <c r="DUG225" s="801"/>
      <c r="DUH225" s="802"/>
      <c r="DUI225" s="800"/>
      <c r="DUJ225" s="801"/>
      <c r="DUK225" s="801"/>
      <c r="DUL225" s="801"/>
      <c r="DUM225" s="801"/>
      <c r="DUN225" s="802"/>
      <c r="DUO225" s="800"/>
      <c r="DUP225" s="801"/>
      <c r="DUQ225" s="801"/>
      <c r="DUR225" s="801"/>
      <c r="DUS225" s="801"/>
      <c r="DUT225" s="802"/>
      <c r="DUU225" s="800"/>
      <c r="DUV225" s="801"/>
      <c r="DUW225" s="801"/>
      <c r="DUX225" s="801"/>
      <c r="DUY225" s="801"/>
      <c r="DUZ225" s="802"/>
      <c r="DVA225" s="800"/>
      <c r="DVB225" s="801"/>
      <c r="DVC225" s="801"/>
      <c r="DVD225" s="801"/>
      <c r="DVE225" s="801"/>
      <c r="DVF225" s="802"/>
      <c r="DVG225" s="800"/>
      <c r="DVH225" s="801"/>
      <c r="DVI225" s="801"/>
      <c r="DVJ225" s="801"/>
      <c r="DVK225" s="801"/>
      <c r="DVL225" s="802"/>
      <c r="DVM225" s="800"/>
      <c r="DVN225" s="801"/>
      <c r="DVO225" s="801"/>
      <c r="DVP225" s="801"/>
      <c r="DVQ225" s="801"/>
      <c r="DVR225" s="802"/>
      <c r="DVS225" s="800"/>
      <c r="DVT225" s="801"/>
      <c r="DVU225" s="801"/>
      <c r="DVV225" s="801"/>
      <c r="DVW225" s="801"/>
      <c r="DVX225" s="802"/>
      <c r="DVY225" s="800"/>
      <c r="DVZ225" s="801"/>
      <c r="DWA225" s="801"/>
      <c r="DWB225" s="801"/>
      <c r="DWC225" s="801"/>
      <c r="DWD225" s="802"/>
      <c r="DWE225" s="800"/>
      <c r="DWF225" s="801"/>
      <c r="DWG225" s="801"/>
      <c r="DWH225" s="801"/>
      <c r="DWI225" s="801"/>
      <c r="DWJ225" s="802"/>
      <c r="DWK225" s="800"/>
      <c r="DWL225" s="801"/>
      <c r="DWM225" s="801"/>
      <c r="DWN225" s="801"/>
      <c r="DWO225" s="801"/>
      <c r="DWP225" s="802"/>
      <c r="DWQ225" s="800"/>
      <c r="DWR225" s="801"/>
      <c r="DWS225" s="801"/>
      <c r="DWT225" s="801"/>
      <c r="DWU225" s="801"/>
      <c r="DWV225" s="802"/>
      <c r="DWW225" s="800"/>
      <c r="DWX225" s="801"/>
      <c r="DWY225" s="801"/>
      <c r="DWZ225" s="801"/>
      <c r="DXA225" s="801"/>
      <c r="DXB225" s="802"/>
      <c r="DXC225" s="800"/>
      <c r="DXD225" s="801"/>
      <c r="DXE225" s="801"/>
      <c r="DXF225" s="801"/>
      <c r="DXG225" s="801"/>
      <c r="DXH225" s="802"/>
      <c r="DXI225" s="800"/>
      <c r="DXJ225" s="801"/>
      <c r="DXK225" s="801"/>
      <c r="DXL225" s="801"/>
      <c r="DXM225" s="801"/>
      <c r="DXN225" s="802"/>
      <c r="DXO225" s="800"/>
      <c r="DXP225" s="801"/>
      <c r="DXQ225" s="801"/>
      <c r="DXR225" s="801"/>
      <c r="DXS225" s="801"/>
      <c r="DXT225" s="802"/>
      <c r="DXU225" s="800"/>
      <c r="DXV225" s="801"/>
      <c r="DXW225" s="801"/>
      <c r="DXX225" s="801"/>
      <c r="DXY225" s="801"/>
      <c r="DXZ225" s="802"/>
      <c r="DYA225" s="800"/>
      <c r="DYB225" s="801"/>
      <c r="DYC225" s="801"/>
      <c r="DYD225" s="801"/>
      <c r="DYE225" s="801"/>
      <c r="DYF225" s="802"/>
      <c r="DYG225" s="800"/>
      <c r="DYH225" s="801"/>
      <c r="DYI225" s="801"/>
      <c r="DYJ225" s="801"/>
      <c r="DYK225" s="801"/>
      <c r="DYL225" s="802"/>
      <c r="DYM225" s="800"/>
      <c r="DYN225" s="801"/>
      <c r="DYO225" s="801"/>
      <c r="DYP225" s="801"/>
      <c r="DYQ225" s="801"/>
      <c r="DYR225" s="802"/>
      <c r="DYS225" s="800"/>
      <c r="DYT225" s="801"/>
      <c r="DYU225" s="801"/>
      <c r="DYV225" s="801"/>
      <c r="DYW225" s="801"/>
      <c r="DYX225" s="802"/>
      <c r="DYY225" s="800"/>
      <c r="DYZ225" s="801"/>
      <c r="DZA225" s="801"/>
      <c r="DZB225" s="801"/>
      <c r="DZC225" s="801"/>
      <c r="DZD225" s="802"/>
      <c r="DZE225" s="800"/>
      <c r="DZF225" s="801"/>
      <c r="DZG225" s="801"/>
      <c r="DZH225" s="801"/>
      <c r="DZI225" s="801"/>
      <c r="DZJ225" s="802"/>
      <c r="DZK225" s="800"/>
      <c r="DZL225" s="801"/>
      <c r="DZM225" s="801"/>
      <c r="DZN225" s="801"/>
      <c r="DZO225" s="801"/>
      <c r="DZP225" s="802"/>
      <c r="DZQ225" s="800"/>
      <c r="DZR225" s="801"/>
      <c r="DZS225" s="801"/>
      <c r="DZT225" s="801"/>
      <c r="DZU225" s="801"/>
      <c r="DZV225" s="802"/>
      <c r="DZW225" s="800"/>
      <c r="DZX225" s="801"/>
      <c r="DZY225" s="801"/>
      <c r="DZZ225" s="801"/>
      <c r="EAA225" s="801"/>
      <c r="EAB225" s="802"/>
      <c r="EAC225" s="800"/>
      <c r="EAD225" s="801"/>
      <c r="EAE225" s="801"/>
      <c r="EAF225" s="801"/>
      <c r="EAG225" s="801"/>
      <c r="EAH225" s="802"/>
      <c r="EAI225" s="800"/>
      <c r="EAJ225" s="801"/>
      <c r="EAK225" s="801"/>
      <c r="EAL225" s="801"/>
      <c r="EAM225" s="801"/>
      <c r="EAN225" s="802"/>
      <c r="EAO225" s="800"/>
      <c r="EAP225" s="801"/>
      <c r="EAQ225" s="801"/>
      <c r="EAR225" s="801"/>
      <c r="EAS225" s="801"/>
      <c r="EAT225" s="802"/>
      <c r="EAU225" s="800"/>
      <c r="EAV225" s="801"/>
      <c r="EAW225" s="801"/>
      <c r="EAX225" s="801"/>
      <c r="EAY225" s="801"/>
      <c r="EAZ225" s="802"/>
      <c r="EBA225" s="800"/>
      <c r="EBB225" s="801"/>
      <c r="EBC225" s="801"/>
      <c r="EBD225" s="801"/>
      <c r="EBE225" s="801"/>
      <c r="EBF225" s="802"/>
      <c r="EBG225" s="800"/>
      <c r="EBH225" s="801"/>
      <c r="EBI225" s="801"/>
      <c r="EBJ225" s="801"/>
      <c r="EBK225" s="801"/>
      <c r="EBL225" s="802"/>
      <c r="EBM225" s="800"/>
      <c r="EBN225" s="801"/>
      <c r="EBO225" s="801"/>
      <c r="EBP225" s="801"/>
      <c r="EBQ225" s="801"/>
      <c r="EBR225" s="802"/>
      <c r="EBS225" s="800"/>
      <c r="EBT225" s="801"/>
      <c r="EBU225" s="801"/>
      <c r="EBV225" s="801"/>
      <c r="EBW225" s="801"/>
      <c r="EBX225" s="802"/>
      <c r="EBY225" s="800"/>
      <c r="EBZ225" s="801"/>
      <c r="ECA225" s="801"/>
      <c r="ECB225" s="801"/>
      <c r="ECC225" s="801"/>
      <c r="ECD225" s="802"/>
      <c r="ECE225" s="800"/>
      <c r="ECF225" s="801"/>
      <c r="ECG225" s="801"/>
      <c r="ECH225" s="801"/>
      <c r="ECI225" s="801"/>
      <c r="ECJ225" s="802"/>
      <c r="ECK225" s="800"/>
      <c r="ECL225" s="801"/>
      <c r="ECM225" s="801"/>
      <c r="ECN225" s="801"/>
      <c r="ECO225" s="801"/>
      <c r="ECP225" s="802"/>
      <c r="ECQ225" s="800"/>
      <c r="ECR225" s="801"/>
      <c r="ECS225" s="801"/>
      <c r="ECT225" s="801"/>
      <c r="ECU225" s="801"/>
      <c r="ECV225" s="802"/>
      <c r="ECW225" s="800"/>
      <c r="ECX225" s="801"/>
      <c r="ECY225" s="801"/>
      <c r="ECZ225" s="801"/>
      <c r="EDA225" s="801"/>
      <c r="EDB225" s="802"/>
      <c r="EDC225" s="800"/>
      <c r="EDD225" s="801"/>
      <c r="EDE225" s="801"/>
      <c r="EDF225" s="801"/>
      <c r="EDG225" s="801"/>
      <c r="EDH225" s="802"/>
      <c r="EDI225" s="800"/>
      <c r="EDJ225" s="801"/>
      <c r="EDK225" s="801"/>
      <c r="EDL225" s="801"/>
      <c r="EDM225" s="801"/>
      <c r="EDN225" s="802"/>
      <c r="EDO225" s="800"/>
      <c r="EDP225" s="801"/>
      <c r="EDQ225" s="801"/>
      <c r="EDR225" s="801"/>
      <c r="EDS225" s="801"/>
      <c r="EDT225" s="802"/>
      <c r="EDU225" s="800"/>
      <c r="EDV225" s="801"/>
      <c r="EDW225" s="801"/>
      <c r="EDX225" s="801"/>
      <c r="EDY225" s="801"/>
      <c r="EDZ225" s="802"/>
      <c r="EEA225" s="800"/>
      <c r="EEB225" s="801"/>
      <c r="EEC225" s="801"/>
      <c r="EED225" s="801"/>
      <c r="EEE225" s="801"/>
      <c r="EEF225" s="802"/>
      <c r="EEG225" s="800"/>
      <c r="EEH225" s="801"/>
      <c r="EEI225" s="801"/>
      <c r="EEJ225" s="801"/>
      <c r="EEK225" s="801"/>
      <c r="EEL225" s="802"/>
      <c r="EEM225" s="800"/>
      <c r="EEN225" s="801"/>
      <c r="EEO225" s="801"/>
      <c r="EEP225" s="801"/>
      <c r="EEQ225" s="801"/>
      <c r="EER225" s="802"/>
      <c r="EES225" s="800"/>
      <c r="EET225" s="801"/>
      <c r="EEU225" s="801"/>
      <c r="EEV225" s="801"/>
      <c r="EEW225" s="801"/>
      <c r="EEX225" s="802"/>
      <c r="EEY225" s="800"/>
      <c r="EEZ225" s="801"/>
      <c r="EFA225" s="801"/>
      <c r="EFB225" s="801"/>
      <c r="EFC225" s="801"/>
      <c r="EFD225" s="802"/>
      <c r="EFE225" s="800"/>
      <c r="EFF225" s="801"/>
      <c r="EFG225" s="801"/>
      <c r="EFH225" s="801"/>
      <c r="EFI225" s="801"/>
      <c r="EFJ225" s="802"/>
      <c r="EFK225" s="800"/>
      <c r="EFL225" s="801"/>
      <c r="EFM225" s="801"/>
      <c r="EFN225" s="801"/>
      <c r="EFO225" s="801"/>
      <c r="EFP225" s="802"/>
      <c r="EFQ225" s="800"/>
      <c r="EFR225" s="801"/>
      <c r="EFS225" s="801"/>
      <c r="EFT225" s="801"/>
      <c r="EFU225" s="801"/>
      <c r="EFV225" s="802"/>
      <c r="EFW225" s="800"/>
      <c r="EFX225" s="801"/>
      <c r="EFY225" s="801"/>
      <c r="EFZ225" s="801"/>
      <c r="EGA225" s="801"/>
      <c r="EGB225" s="802"/>
      <c r="EGC225" s="800"/>
      <c r="EGD225" s="801"/>
      <c r="EGE225" s="801"/>
      <c r="EGF225" s="801"/>
      <c r="EGG225" s="801"/>
      <c r="EGH225" s="802"/>
      <c r="EGI225" s="800"/>
      <c r="EGJ225" s="801"/>
      <c r="EGK225" s="801"/>
      <c r="EGL225" s="801"/>
      <c r="EGM225" s="801"/>
      <c r="EGN225" s="802"/>
      <c r="EGO225" s="800"/>
      <c r="EGP225" s="801"/>
      <c r="EGQ225" s="801"/>
      <c r="EGR225" s="801"/>
      <c r="EGS225" s="801"/>
      <c r="EGT225" s="802"/>
      <c r="EGU225" s="800"/>
      <c r="EGV225" s="801"/>
      <c r="EGW225" s="801"/>
      <c r="EGX225" s="801"/>
      <c r="EGY225" s="801"/>
      <c r="EGZ225" s="802"/>
      <c r="EHA225" s="800"/>
      <c r="EHB225" s="801"/>
      <c r="EHC225" s="801"/>
      <c r="EHD225" s="801"/>
      <c r="EHE225" s="801"/>
      <c r="EHF225" s="802"/>
      <c r="EHG225" s="800"/>
      <c r="EHH225" s="801"/>
      <c r="EHI225" s="801"/>
      <c r="EHJ225" s="801"/>
      <c r="EHK225" s="801"/>
      <c r="EHL225" s="802"/>
      <c r="EHM225" s="800"/>
      <c r="EHN225" s="801"/>
      <c r="EHO225" s="801"/>
      <c r="EHP225" s="801"/>
      <c r="EHQ225" s="801"/>
      <c r="EHR225" s="802"/>
      <c r="EHS225" s="800"/>
      <c r="EHT225" s="801"/>
      <c r="EHU225" s="801"/>
      <c r="EHV225" s="801"/>
      <c r="EHW225" s="801"/>
      <c r="EHX225" s="802"/>
      <c r="EHY225" s="800"/>
      <c r="EHZ225" s="801"/>
      <c r="EIA225" s="801"/>
      <c r="EIB225" s="801"/>
      <c r="EIC225" s="801"/>
      <c r="EID225" s="802"/>
      <c r="EIE225" s="800"/>
      <c r="EIF225" s="801"/>
      <c r="EIG225" s="801"/>
      <c r="EIH225" s="801"/>
      <c r="EII225" s="801"/>
      <c r="EIJ225" s="802"/>
      <c r="EIK225" s="800"/>
      <c r="EIL225" s="801"/>
      <c r="EIM225" s="801"/>
      <c r="EIN225" s="801"/>
      <c r="EIO225" s="801"/>
      <c r="EIP225" s="802"/>
      <c r="EIQ225" s="800"/>
      <c r="EIR225" s="801"/>
      <c r="EIS225" s="801"/>
      <c r="EIT225" s="801"/>
      <c r="EIU225" s="801"/>
      <c r="EIV225" s="802"/>
      <c r="EIW225" s="800"/>
      <c r="EIX225" s="801"/>
      <c r="EIY225" s="801"/>
      <c r="EIZ225" s="801"/>
      <c r="EJA225" s="801"/>
      <c r="EJB225" s="802"/>
      <c r="EJC225" s="800"/>
      <c r="EJD225" s="801"/>
      <c r="EJE225" s="801"/>
      <c r="EJF225" s="801"/>
      <c r="EJG225" s="801"/>
      <c r="EJH225" s="802"/>
      <c r="EJI225" s="800"/>
      <c r="EJJ225" s="801"/>
      <c r="EJK225" s="801"/>
      <c r="EJL225" s="801"/>
      <c r="EJM225" s="801"/>
      <c r="EJN225" s="802"/>
      <c r="EJO225" s="800"/>
      <c r="EJP225" s="801"/>
      <c r="EJQ225" s="801"/>
      <c r="EJR225" s="801"/>
      <c r="EJS225" s="801"/>
      <c r="EJT225" s="802"/>
      <c r="EJU225" s="800"/>
      <c r="EJV225" s="801"/>
      <c r="EJW225" s="801"/>
      <c r="EJX225" s="801"/>
      <c r="EJY225" s="801"/>
      <c r="EJZ225" s="802"/>
      <c r="EKA225" s="800"/>
      <c r="EKB225" s="801"/>
      <c r="EKC225" s="801"/>
      <c r="EKD225" s="801"/>
      <c r="EKE225" s="801"/>
      <c r="EKF225" s="802"/>
      <c r="EKG225" s="800"/>
      <c r="EKH225" s="801"/>
      <c r="EKI225" s="801"/>
      <c r="EKJ225" s="801"/>
      <c r="EKK225" s="801"/>
      <c r="EKL225" s="802"/>
      <c r="EKM225" s="800"/>
      <c r="EKN225" s="801"/>
      <c r="EKO225" s="801"/>
      <c r="EKP225" s="801"/>
      <c r="EKQ225" s="801"/>
      <c r="EKR225" s="802"/>
      <c r="EKS225" s="800"/>
      <c r="EKT225" s="801"/>
      <c r="EKU225" s="801"/>
      <c r="EKV225" s="801"/>
      <c r="EKW225" s="801"/>
      <c r="EKX225" s="802"/>
      <c r="EKY225" s="800"/>
      <c r="EKZ225" s="801"/>
      <c r="ELA225" s="801"/>
      <c r="ELB225" s="801"/>
      <c r="ELC225" s="801"/>
      <c r="ELD225" s="802"/>
      <c r="ELE225" s="800"/>
      <c r="ELF225" s="801"/>
      <c r="ELG225" s="801"/>
      <c r="ELH225" s="801"/>
      <c r="ELI225" s="801"/>
      <c r="ELJ225" s="802"/>
      <c r="ELK225" s="800"/>
      <c r="ELL225" s="801"/>
      <c r="ELM225" s="801"/>
      <c r="ELN225" s="801"/>
      <c r="ELO225" s="801"/>
      <c r="ELP225" s="802"/>
      <c r="ELQ225" s="800"/>
      <c r="ELR225" s="801"/>
      <c r="ELS225" s="801"/>
      <c r="ELT225" s="801"/>
      <c r="ELU225" s="801"/>
      <c r="ELV225" s="802"/>
      <c r="ELW225" s="800"/>
      <c r="ELX225" s="801"/>
      <c r="ELY225" s="801"/>
      <c r="ELZ225" s="801"/>
      <c r="EMA225" s="801"/>
      <c r="EMB225" s="802"/>
      <c r="EMC225" s="800"/>
      <c r="EMD225" s="801"/>
      <c r="EME225" s="801"/>
      <c r="EMF225" s="801"/>
      <c r="EMG225" s="801"/>
      <c r="EMH225" s="802"/>
      <c r="EMI225" s="800"/>
      <c r="EMJ225" s="801"/>
      <c r="EMK225" s="801"/>
      <c r="EML225" s="801"/>
      <c r="EMM225" s="801"/>
      <c r="EMN225" s="802"/>
      <c r="EMO225" s="800"/>
      <c r="EMP225" s="801"/>
      <c r="EMQ225" s="801"/>
      <c r="EMR225" s="801"/>
      <c r="EMS225" s="801"/>
      <c r="EMT225" s="802"/>
      <c r="EMU225" s="800"/>
      <c r="EMV225" s="801"/>
      <c r="EMW225" s="801"/>
      <c r="EMX225" s="801"/>
      <c r="EMY225" s="801"/>
      <c r="EMZ225" s="802"/>
      <c r="ENA225" s="800"/>
      <c r="ENB225" s="801"/>
      <c r="ENC225" s="801"/>
      <c r="END225" s="801"/>
      <c r="ENE225" s="801"/>
      <c r="ENF225" s="802"/>
      <c r="ENG225" s="800"/>
      <c r="ENH225" s="801"/>
      <c r="ENI225" s="801"/>
      <c r="ENJ225" s="801"/>
      <c r="ENK225" s="801"/>
      <c r="ENL225" s="802"/>
      <c r="ENM225" s="800"/>
      <c r="ENN225" s="801"/>
      <c r="ENO225" s="801"/>
      <c r="ENP225" s="801"/>
      <c r="ENQ225" s="801"/>
      <c r="ENR225" s="802"/>
      <c r="ENS225" s="800"/>
      <c r="ENT225" s="801"/>
      <c r="ENU225" s="801"/>
      <c r="ENV225" s="801"/>
      <c r="ENW225" s="801"/>
      <c r="ENX225" s="802"/>
      <c r="ENY225" s="800"/>
      <c r="ENZ225" s="801"/>
      <c r="EOA225" s="801"/>
      <c r="EOB225" s="801"/>
      <c r="EOC225" s="801"/>
      <c r="EOD225" s="802"/>
      <c r="EOE225" s="800"/>
      <c r="EOF225" s="801"/>
      <c r="EOG225" s="801"/>
      <c r="EOH225" s="801"/>
      <c r="EOI225" s="801"/>
      <c r="EOJ225" s="802"/>
      <c r="EOK225" s="800"/>
      <c r="EOL225" s="801"/>
      <c r="EOM225" s="801"/>
      <c r="EON225" s="801"/>
      <c r="EOO225" s="801"/>
      <c r="EOP225" s="802"/>
      <c r="EOQ225" s="800"/>
      <c r="EOR225" s="801"/>
      <c r="EOS225" s="801"/>
      <c r="EOT225" s="801"/>
      <c r="EOU225" s="801"/>
      <c r="EOV225" s="802"/>
      <c r="EOW225" s="800"/>
      <c r="EOX225" s="801"/>
      <c r="EOY225" s="801"/>
      <c r="EOZ225" s="801"/>
      <c r="EPA225" s="801"/>
      <c r="EPB225" s="802"/>
      <c r="EPC225" s="800"/>
      <c r="EPD225" s="801"/>
      <c r="EPE225" s="801"/>
      <c r="EPF225" s="801"/>
      <c r="EPG225" s="801"/>
      <c r="EPH225" s="802"/>
      <c r="EPI225" s="800"/>
      <c r="EPJ225" s="801"/>
      <c r="EPK225" s="801"/>
      <c r="EPL225" s="801"/>
      <c r="EPM225" s="801"/>
      <c r="EPN225" s="802"/>
      <c r="EPO225" s="800"/>
      <c r="EPP225" s="801"/>
      <c r="EPQ225" s="801"/>
      <c r="EPR225" s="801"/>
      <c r="EPS225" s="801"/>
      <c r="EPT225" s="802"/>
      <c r="EPU225" s="800"/>
      <c r="EPV225" s="801"/>
      <c r="EPW225" s="801"/>
      <c r="EPX225" s="801"/>
      <c r="EPY225" s="801"/>
      <c r="EPZ225" s="802"/>
      <c r="EQA225" s="800"/>
      <c r="EQB225" s="801"/>
      <c r="EQC225" s="801"/>
      <c r="EQD225" s="801"/>
      <c r="EQE225" s="801"/>
      <c r="EQF225" s="802"/>
      <c r="EQG225" s="800"/>
      <c r="EQH225" s="801"/>
      <c r="EQI225" s="801"/>
      <c r="EQJ225" s="801"/>
      <c r="EQK225" s="801"/>
      <c r="EQL225" s="802"/>
      <c r="EQM225" s="800"/>
      <c r="EQN225" s="801"/>
      <c r="EQO225" s="801"/>
      <c r="EQP225" s="801"/>
      <c r="EQQ225" s="801"/>
      <c r="EQR225" s="802"/>
      <c r="EQS225" s="800"/>
      <c r="EQT225" s="801"/>
      <c r="EQU225" s="801"/>
      <c r="EQV225" s="801"/>
      <c r="EQW225" s="801"/>
      <c r="EQX225" s="802"/>
      <c r="EQY225" s="800"/>
      <c r="EQZ225" s="801"/>
      <c r="ERA225" s="801"/>
      <c r="ERB225" s="801"/>
      <c r="ERC225" s="801"/>
      <c r="ERD225" s="802"/>
      <c r="ERE225" s="800"/>
      <c r="ERF225" s="801"/>
      <c r="ERG225" s="801"/>
      <c r="ERH225" s="801"/>
      <c r="ERI225" s="801"/>
      <c r="ERJ225" s="802"/>
      <c r="ERK225" s="800"/>
      <c r="ERL225" s="801"/>
      <c r="ERM225" s="801"/>
      <c r="ERN225" s="801"/>
      <c r="ERO225" s="801"/>
      <c r="ERP225" s="802"/>
      <c r="ERQ225" s="800"/>
      <c r="ERR225" s="801"/>
      <c r="ERS225" s="801"/>
      <c r="ERT225" s="801"/>
      <c r="ERU225" s="801"/>
      <c r="ERV225" s="802"/>
      <c r="ERW225" s="800"/>
      <c r="ERX225" s="801"/>
      <c r="ERY225" s="801"/>
      <c r="ERZ225" s="801"/>
      <c r="ESA225" s="801"/>
      <c r="ESB225" s="802"/>
      <c r="ESC225" s="800"/>
      <c r="ESD225" s="801"/>
      <c r="ESE225" s="801"/>
      <c r="ESF225" s="801"/>
      <c r="ESG225" s="801"/>
      <c r="ESH225" s="802"/>
      <c r="ESI225" s="800"/>
      <c r="ESJ225" s="801"/>
      <c r="ESK225" s="801"/>
      <c r="ESL225" s="801"/>
      <c r="ESM225" s="801"/>
      <c r="ESN225" s="802"/>
      <c r="ESO225" s="800"/>
      <c r="ESP225" s="801"/>
      <c r="ESQ225" s="801"/>
      <c r="ESR225" s="801"/>
      <c r="ESS225" s="801"/>
      <c r="EST225" s="802"/>
      <c r="ESU225" s="800"/>
      <c r="ESV225" s="801"/>
      <c r="ESW225" s="801"/>
      <c r="ESX225" s="801"/>
      <c r="ESY225" s="801"/>
      <c r="ESZ225" s="802"/>
      <c r="ETA225" s="800"/>
      <c r="ETB225" s="801"/>
      <c r="ETC225" s="801"/>
      <c r="ETD225" s="801"/>
      <c r="ETE225" s="801"/>
      <c r="ETF225" s="802"/>
      <c r="ETG225" s="800"/>
      <c r="ETH225" s="801"/>
      <c r="ETI225" s="801"/>
      <c r="ETJ225" s="801"/>
      <c r="ETK225" s="801"/>
      <c r="ETL225" s="802"/>
      <c r="ETM225" s="800"/>
      <c r="ETN225" s="801"/>
      <c r="ETO225" s="801"/>
      <c r="ETP225" s="801"/>
      <c r="ETQ225" s="801"/>
      <c r="ETR225" s="802"/>
      <c r="ETS225" s="800"/>
      <c r="ETT225" s="801"/>
      <c r="ETU225" s="801"/>
      <c r="ETV225" s="801"/>
      <c r="ETW225" s="801"/>
      <c r="ETX225" s="802"/>
      <c r="ETY225" s="800"/>
      <c r="ETZ225" s="801"/>
      <c r="EUA225" s="801"/>
      <c r="EUB225" s="801"/>
      <c r="EUC225" s="801"/>
      <c r="EUD225" s="802"/>
      <c r="EUE225" s="800"/>
      <c r="EUF225" s="801"/>
      <c r="EUG225" s="801"/>
      <c r="EUH225" s="801"/>
      <c r="EUI225" s="801"/>
      <c r="EUJ225" s="802"/>
      <c r="EUK225" s="800"/>
      <c r="EUL225" s="801"/>
      <c r="EUM225" s="801"/>
      <c r="EUN225" s="801"/>
      <c r="EUO225" s="801"/>
      <c r="EUP225" s="802"/>
      <c r="EUQ225" s="800"/>
      <c r="EUR225" s="801"/>
      <c r="EUS225" s="801"/>
      <c r="EUT225" s="801"/>
      <c r="EUU225" s="801"/>
      <c r="EUV225" s="802"/>
      <c r="EUW225" s="800"/>
      <c r="EUX225" s="801"/>
      <c r="EUY225" s="801"/>
      <c r="EUZ225" s="801"/>
      <c r="EVA225" s="801"/>
      <c r="EVB225" s="802"/>
      <c r="EVC225" s="800"/>
      <c r="EVD225" s="801"/>
      <c r="EVE225" s="801"/>
      <c r="EVF225" s="801"/>
      <c r="EVG225" s="801"/>
      <c r="EVH225" s="802"/>
      <c r="EVI225" s="800"/>
      <c r="EVJ225" s="801"/>
      <c r="EVK225" s="801"/>
      <c r="EVL225" s="801"/>
      <c r="EVM225" s="801"/>
      <c r="EVN225" s="802"/>
      <c r="EVO225" s="800"/>
      <c r="EVP225" s="801"/>
      <c r="EVQ225" s="801"/>
      <c r="EVR225" s="801"/>
      <c r="EVS225" s="801"/>
      <c r="EVT225" s="802"/>
      <c r="EVU225" s="800"/>
      <c r="EVV225" s="801"/>
      <c r="EVW225" s="801"/>
      <c r="EVX225" s="801"/>
      <c r="EVY225" s="801"/>
      <c r="EVZ225" s="802"/>
      <c r="EWA225" s="800"/>
      <c r="EWB225" s="801"/>
      <c r="EWC225" s="801"/>
      <c r="EWD225" s="801"/>
      <c r="EWE225" s="801"/>
      <c r="EWF225" s="802"/>
      <c r="EWG225" s="800"/>
      <c r="EWH225" s="801"/>
      <c r="EWI225" s="801"/>
      <c r="EWJ225" s="801"/>
      <c r="EWK225" s="801"/>
      <c r="EWL225" s="802"/>
      <c r="EWM225" s="800"/>
      <c r="EWN225" s="801"/>
      <c r="EWO225" s="801"/>
      <c r="EWP225" s="801"/>
      <c r="EWQ225" s="801"/>
      <c r="EWR225" s="802"/>
      <c r="EWS225" s="800"/>
      <c r="EWT225" s="801"/>
      <c r="EWU225" s="801"/>
      <c r="EWV225" s="801"/>
      <c r="EWW225" s="801"/>
      <c r="EWX225" s="802"/>
      <c r="EWY225" s="800"/>
      <c r="EWZ225" s="801"/>
      <c r="EXA225" s="801"/>
      <c r="EXB225" s="801"/>
      <c r="EXC225" s="801"/>
      <c r="EXD225" s="802"/>
      <c r="EXE225" s="800"/>
      <c r="EXF225" s="801"/>
      <c r="EXG225" s="801"/>
      <c r="EXH225" s="801"/>
      <c r="EXI225" s="801"/>
      <c r="EXJ225" s="802"/>
      <c r="EXK225" s="800"/>
      <c r="EXL225" s="801"/>
      <c r="EXM225" s="801"/>
      <c r="EXN225" s="801"/>
      <c r="EXO225" s="801"/>
      <c r="EXP225" s="802"/>
      <c r="EXQ225" s="800"/>
      <c r="EXR225" s="801"/>
      <c r="EXS225" s="801"/>
      <c r="EXT225" s="801"/>
      <c r="EXU225" s="801"/>
      <c r="EXV225" s="802"/>
      <c r="EXW225" s="800"/>
      <c r="EXX225" s="801"/>
      <c r="EXY225" s="801"/>
      <c r="EXZ225" s="801"/>
      <c r="EYA225" s="801"/>
      <c r="EYB225" s="802"/>
      <c r="EYC225" s="800"/>
      <c r="EYD225" s="801"/>
      <c r="EYE225" s="801"/>
      <c r="EYF225" s="801"/>
      <c r="EYG225" s="801"/>
      <c r="EYH225" s="802"/>
      <c r="EYI225" s="800"/>
      <c r="EYJ225" s="801"/>
      <c r="EYK225" s="801"/>
      <c r="EYL225" s="801"/>
      <c r="EYM225" s="801"/>
      <c r="EYN225" s="802"/>
      <c r="EYO225" s="800"/>
      <c r="EYP225" s="801"/>
      <c r="EYQ225" s="801"/>
      <c r="EYR225" s="801"/>
      <c r="EYS225" s="801"/>
      <c r="EYT225" s="802"/>
      <c r="EYU225" s="800"/>
      <c r="EYV225" s="801"/>
      <c r="EYW225" s="801"/>
      <c r="EYX225" s="801"/>
      <c r="EYY225" s="801"/>
      <c r="EYZ225" s="802"/>
      <c r="EZA225" s="800"/>
      <c r="EZB225" s="801"/>
      <c r="EZC225" s="801"/>
      <c r="EZD225" s="801"/>
      <c r="EZE225" s="801"/>
      <c r="EZF225" s="802"/>
      <c r="EZG225" s="800"/>
      <c r="EZH225" s="801"/>
      <c r="EZI225" s="801"/>
      <c r="EZJ225" s="801"/>
      <c r="EZK225" s="801"/>
      <c r="EZL225" s="802"/>
      <c r="EZM225" s="800"/>
      <c r="EZN225" s="801"/>
      <c r="EZO225" s="801"/>
      <c r="EZP225" s="801"/>
      <c r="EZQ225" s="801"/>
      <c r="EZR225" s="802"/>
      <c r="EZS225" s="800"/>
      <c r="EZT225" s="801"/>
      <c r="EZU225" s="801"/>
      <c r="EZV225" s="801"/>
      <c r="EZW225" s="801"/>
      <c r="EZX225" s="802"/>
      <c r="EZY225" s="800"/>
      <c r="EZZ225" s="801"/>
      <c r="FAA225" s="801"/>
      <c r="FAB225" s="801"/>
      <c r="FAC225" s="801"/>
      <c r="FAD225" s="802"/>
      <c r="FAE225" s="800"/>
      <c r="FAF225" s="801"/>
      <c r="FAG225" s="801"/>
      <c r="FAH225" s="801"/>
      <c r="FAI225" s="801"/>
      <c r="FAJ225" s="802"/>
      <c r="FAK225" s="800"/>
      <c r="FAL225" s="801"/>
      <c r="FAM225" s="801"/>
      <c r="FAN225" s="801"/>
      <c r="FAO225" s="801"/>
      <c r="FAP225" s="802"/>
      <c r="FAQ225" s="800"/>
      <c r="FAR225" s="801"/>
      <c r="FAS225" s="801"/>
      <c r="FAT225" s="801"/>
      <c r="FAU225" s="801"/>
      <c r="FAV225" s="802"/>
      <c r="FAW225" s="800"/>
      <c r="FAX225" s="801"/>
      <c r="FAY225" s="801"/>
      <c r="FAZ225" s="801"/>
      <c r="FBA225" s="801"/>
      <c r="FBB225" s="802"/>
      <c r="FBC225" s="800"/>
      <c r="FBD225" s="801"/>
      <c r="FBE225" s="801"/>
      <c r="FBF225" s="801"/>
      <c r="FBG225" s="801"/>
      <c r="FBH225" s="802"/>
      <c r="FBI225" s="800"/>
      <c r="FBJ225" s="801"/>
      <c r="FBK225" s="801"/>
      <c r="FBL225" s="801"/>
      <c r="FBM225" s="801"/>
      <c r="FBN225" s="802"/>
      <c r="FBO225" s="800"/>
      <c r="FBP225" s="801"/>
      <c r="FBQ225" s="801"/>
      <c r="FBR225" s="801"/>
      <c r="FBS225" s="801"/>
      <c r="FBT225" s="802"/>
      <c r="FBU225" s="800"/>
      <c r="FBV225" s="801"/>
      <c r="FBW225" s="801"/>
      <c r="FBX225" s="801"/>
      <c r="FBY225" s="801"/>
      <c r="FBZ225" s="802"/>
      <c r="FCA225" s="800"/>
      <c r="FCB225" s="801"/>
      <c r="FCC225" s="801"/>
      <c r="FCD225" s="801"/>
      <c r="FCE225" s="801"/>
      <c r="FCF225" s="802"/>
      <c r="FCG225" s="800"/>
      <c r="FCH225" s="801"/>
      <c r="FCI225" s="801"/>
      <c r="FCJ225" s="801"/>
      <c r="FCK225" s="801"/>
      <c r="FCL225" s="802"/>
      <c r="FCM225" s="800"/>
      <c r="FCN225" s="801"/>
      <c r="FCO225" s="801"/>
      <c r="FCP225" s="801"/>
      <c r="FCQ225" s="801"/>
      <c r="FCR225" s="802"/>
      <c r="FCS225" s="800"/>
      <c r="FCT225" s="801"/>
      <c r="FCU225" s="801"/>
      <c r="FCV225" s="801"/>
      <c r="FCW225" s="801"/>
      <c r="FCX225" s="802"/>
      <c r="FCY225" s="800"/>
      <c r="FCZ225" s="801"/>
      <c r="FDA225" s="801"/>
      <c r="FDB225" s="801"/>
      <c r="FDC225" s="801"/>
      <c r="FDD225" s="802"/>
      <c r="FDE225" s="800"/>
      <c r="FDF225" s="801"/>
      <c r="FDG225" s="801"/>
      <c r="FDH225" s="801"/>
      <c r="FDI225" s="801"/>
      <c r="FDJ225" s="802"/>
      <c r="FDK225" s="800"/>
      <c r="FDL225" s="801"/>
      <c r="FDM225" s="801"/>
      <c r="FDN225" s="801"/>
      <c r="FDO225" s="801"/>
      <c r="FDP225" s="802"/>
      <c r="FDQ225" s="800"/>
      <c r="FDR225" s="801"/>
      <c r="FDS225" s="801"/>
      <c r="FDT225" s="801"/>
      <c r="FDU225" s="801"/>
      <c r="FDV225" s="802"/>
      <c r="FDW225" s="800"/>
      <c r="FDX225" s="801"/>
      <c r="FDY225" s="801"/>
      <c r="FDZ225" s="801"/>
      <c r="FEA225" s="801"/>
      <c r="FEB225" s="802"/>
      <c r="FEC225" s="800"/>
      <c r="FED225" s="801"/>
      <c r="FEE225" s="801"/>
      <c r="FEF225" s="801"/>
      <c r="FEG225" s="801"/>
      <c r="FEH225" s="802"/>
      <c r="FEI225" s="800"/>
      <c r="FEJ225" s="801"/>
      <c r="FEK225" s="801"/>
      <c r="FEL225" s="801"/>
      <c r="FEM225" s="801"/>
      <c r="FEN225" s="802"/>
      <c r="FEO225" s="800"/>
      <c r="FEP225" s="801"/>
      <c r="FEQ225" s="801"/>
      <c r="FER225" s="801"/>
      <c r="FES225" s="801"/>
      <c r="FET225" s="802"/>
      <c r="FEU225" s="800"/>
      <c r="FEV225" s="801"/>
      <c r="FEW225" s="801"/>
      <c r="FEX225" s="801"/>
      <c r="FEY225" s="801"/>
      <c r="FEZ225" s="802"/>
      <c r="FFA225" s="800"/>
      <c r="FFB225" s="801"/>
      <c r="FFC225" s="801"/>
      <c r="FFD225" s="801"/>
      <c r="FFE225" s="801"/>
      <c r="FFF225" s="802"/>
      <c r="FFG225" s="800"/>
      <c r="FFH225" s="801"/>
      <c r="FFI225" s="801"/>
      <c r="FFJ225" s="801"/>
      <c r="FFK225" s="801"/>
      <c r="FFL225" s="802"/>
      <c r="FFM225" s="800"/>
      <c r="FFN225" s="801"/>
      <c r="FFO225" s="801"/>
      <c r="FFP225" s="801"/>
      <c r="FFQ225" s="801"/>
      <c r="FFR225" s="802"/>
      <c r="FFS225" s="800"/>
      <c r="FFT225" s="801"/>
      <c r="FFU225" s="801"/>
      <c r="FFV225" s="801"/>
      <c r="FFW225" s="801"/>
      <c r="FFX225" s="802"/>
      <c r="FFY225" s="800"/>
      <c r="FFZ225" s="801"/>
      <c r="FGA225" s="801"/>
      <c r="FGB225" s="801"/>
      <c r="FGC225" s="801"/>
      <c r="FGD225" s="802"/>
      <c r="FGE225" s="800"/>
      <c r="FGF225" s="801"/>
      <c r="FGG225" s="801"/>
      <c r="FGH225" s="801"/>
      <c r="FGI225" s="801"/>
      <c r="FGJ225" s="802"/>
      <c r="FGK225" s="800"/>
      <c r="FGL225" s="801"/>
      <c r="FGM225" s="801"/>
      <c r="FGN225" s="801"/>
      <c r="FGO225" s="801"/>
      <c r="FGP225" s="802"/>
      <c r="FGQ225" s="800"/>
      <c r="FGR225" s="801"/>
      <c r="FGS225" s="801"/>
      <c r="FGT225" s="801"/>
      <c r="FGU225" s="801"/>
      <c r="FGV225" s="802"/>
      <c r="FGW225" s="800"/>
      <c r="FGX225" s="801"/>
      <c r="FGY225" s="801"/>
      <c r="FGZ225" s="801"/>
      <c r="FHA225" s="801"/>
      <c r="FHB225" s="802"/>
      <c r="FHC225" s="800"/>
      <c r="FHD225" s="801"/>
      <c r="FHE225" s="801"/>
      <c r="FHF225" s="801"/>
      <c r="FHG225" s="801"/>
      <c r="FHH225" s="802"/>
      <c r="FHI225" s="800"/>
      <c r="FHJ225" s="801"/>
      <c r="FHK225" s="801"/>
      <c r="FHL225" s="801"/>
      <c r="FHM225" s="801"/>
      <c r="FHN225" s="802"/>
      <c r="FHO225" s="800"/>
      <c r="FHP225" s="801"/>
      <c r="FHQ225" s="801"/>
      <c r="FHR225" s="801"/>
      <c r="FHS225" s="801"/>
      <c r="FHT225" s="802"/>
      <c r="FHU225" s="800"/>
      <c r="FHV225" s="801"/>
      <c r="FHW225" s="801"/>
      <c r="FHX225" s="801"/>
      <c r="FHY225" s="801"/>
      <c r="FHZ225" s="802"/>
      <c r="FIA225" s="800"/>
      <c r="FIB225" s="801"/>
      <c r="FIC225" s="801"/>
      <c r="FID225" s="801"/>
      <c r="FIE225" s="801"/>
      <c r="FIF225" s="802"/>
      <c r="FIG225" s="800"/>
      <c r="FIH225" s="801"/>
      <c r="FII225" s="801"/>
      <c r="FIJ225" s="801"/>
      <c r="FIK225" s="801"/>
      <c r="FIL225" s="802"/>
      <c r="FIM225" s="800"/>
      <c r="FIN225" s="801"/>
      <c r="FIO225" s="801"/>
      <c r="FIP225" s="801"/>
      <c r="FIQ225" s="801"/>
      <c r="FIR225" s="802"/>
      <c r="FIS225" s="800"/>
      <c r="FIT225" s="801"/>
      <c r="FIU225" s="801"/>
      <c r="FIV225" s="801"/>
      <c r="FIW225" s="801"/>
      <c r="FIX225" s="802"/>
      <c r="FIY225" s="800"/>
      <c r="FIZ225" s="801"/>
      <c r="FJA225" s="801"/>
      <c r="FJB225" s="801"/>
      <c r="FJC225" s="801"/>
      <c r="FJD225" s="802"/>
      <c r="FJE225" s="800"/>
      <c r="FJF225" s="801"/>
      <c r="FJG225" s="801"/>
      <c r="FJH225" s="801"/>
      <c r="FJI225" s="801"/>
      <c r="FJJ225" s="802"/>
      <c r="FJK225" s="800"/>
      <c r="FJL225" s="801"/>
      <c r="FJM225" s="801"/>
      <c r="FJN225" s="801"/>
      <c r="FJO225" s="801"/>
      <c r="FJP225" s="802"/>
      <c r="FJQ225" s="800"/>
      <c r="FJR225" s="801"/>
      <c r="FJS225" s="801"/>
      <c r="FJT225" s="801"/>
      <c r="FJU225" s="801"/>
      <c r="FJV225" s="802"/>
      <c r="FJW225" s="800"/>
      <c r="FJX225" s="801"/>
      <c r="FJY225" s="801"/>
      <c r="FJZ225" s="801"/>
      <c r="FKA225" s="801"/>
      <c r="FKB225" s="802"/>
      <c r="FKC225" s="800"/>
      <c r="FKD225" s="801"/>
      <c r="FKE225" s="801"/>
      <c r="FKF225" s="801"/>
      <c r="FKG225" s="801"/>
      <c r="FKH225" s="802"/>
      <c r="FKI225" s="800"/>
      <c r="FKJ225" s="801"/>
      <c r="FKK225" s="801"/>
      <c r="FKL225" s="801"/>
      <c r="FKM225" s="801"/>
      <c r="FKN225" s="802"/>
      <c r="FKO225" s="800"/>
      <c r="FKP225" s="801"/>
      <c r="FKQ225" s="801"/>
      <c r="FKR225" s="801"/>
      <c r="FKS225" s="801"/>
      <c r="FKT225" s="802"/>
      <c r="FKU225" s="800"/>
      <c r="FKV225" s="801"/>
      <c r="FKW225" s="801"/>
      <c r="FKX225" s="801"/>
      <c r="FKY225" s="801"/>
      <c r="FKZ225" s="802"/>
      <c r="FLA225" s="800"/>
      <c r="FLB225" s="801"/>
      <c r="FLC225" s="801"/>
      <c r="FLD225" s="801"/>
      <c r="FLE225" s="801"/>
      <c r="FLF225" s="802"/>
      <c r="FLG225" s="800"/>
      <c r="FLH225" s="801"/>
      <c r="FLI225" s="801"/>
      <c r="FLJ225" s="801"/>
      <c r="FLK225" s="801"/>
      <c r="FLL225" s="802"/>
      <c r="FLM225" s="800"/>
      <c r="FLN225" s="801"/>
      <c r="FLO225" s="801"/>
      <c r="FLP225" s="801"/>
      <c r="FLQ225" s="801"/>
      <c r="FLR225" s="802"/>
      <c r="FLS225" s="800"/>
      <c r="FLT225" s="801"/>
      <c r="FLU225" s="801"/>
      <c r="FLV225" s="801"/>
      <c r="FLW225" s="801"/>
      <c r="FLX225" s="802"/>
      <c r="FLY225" s="800"/>
      <c r="FLZ225" s="801"/>
      <c r="FMA225" s="801"/>
      <c r="FMB225" s="801"/>
      <c r="FMC225" s="801"/>
      <c r="FMD225" s="802"/>
      <c r="FME225" s="800"/>
      <c r="FMF225" s="801"/>
      <c r="FMG225" s="801"/>
      <c r="FMH225" s="801"/>
      <c r="FMI225" s="801"/>
      <c r="FMJ225" s="802"/>
      <c r="FMK225" s="800"/>
      <c r="FML225" s="801"/>
      <c r="FMM225" s="801"/>
      <c r="FMN225" s="801"/>
      <c r="FMO225" s="801"/>
      <c r="FMP225" s="802"/>
      <c r="FMQ225" s="800"/>
      <c r="FMR225" s="801"/>
      <c r="FMS225" s="801"/>
      <c r="FMT225" s="801"/>
      <c r="FMU225" s="801"/>
      <c r="FMV225" s="802"/>
      <c r="FMW225" s="800"/>
      <c r="FMX225" s="801"/>
      <c r="FMY225" s="801"/>
      <c r="FMZ225" s="801"/>
      <c r="FNA225" s="801"/>
      <c r="FNB225" s="802"/>
      <c r="FNC225" s="800"/>
      <c r="FND225" s="801"/>
      <c r="FNE225" s="801"/>
      <c r="FNF225" s="801"/>
      <c r="FNG225" s="801"/>
      <c r="FNH225" s="802"/>
      <c r="FNI225" s="800"/>
      <c r="FNJ225" s="801"/>
      <c r="FNK225" s="801"/>
      <c r="FNL225" s="801"/>
      <c r="FNM225" s="801"/>
      <c r="FNN225" s="802"/>
      <c r="FNO225" s="800"/>
      <c r="FNP225" s="801"/>
      <c r="FNQ225" s="801"/>
      <c r="FNR225" s="801"/>
      <c r="FNS225" s="801"/>
      <c r="FNT225" s="802"/>
      <c r="FNU225" s="800"/>
      <c r="FNV225" s="801"/>
      <c r="FNW225" s="801"/>
      <c r="FNX225" s="801"/>
      <c r="FNY225" s="801"/>
      <c r="FNZ225" s="802"/>
      <c r="FOA225" s="800"/>
      <c r="FOB225" s="801"/>
      <c r="FOC225" s="801"/>
      <c r="FOD225" s="801"/>
      <c r="FOE225" s="801"/>
      <c r="FOF225" s="802"/>
      <c r="FOG225" s="800"/>
      <c r="FOH225" s="801"/>
      <c r="FOI225" s="801"/>
      <c r="FOJ225" s="801"/>
      <c r="FOK225" s="801"/>
      <c r="FOL225" s="802"/>
      <c r="FOM225" s="800"/>
      <c r="FON225" s="801"/>
      <c r="FOO225" s="801"/>
      <c r="FOP225" s="801"/>
      <c r="FOQ225" s="801"/>
      <c r="FOR225" s="802"/>
      <c r="FOS225" s="800"/>
      <c r="FOT225" s="801"/>
      <c r="FOU225" s="801"/>
      <c r="FOV225" s="801"/>
      <c r="FOW225" s="801"/>
      <c r="FOX225" s="802"/>
      <c r="FOY225" s="800"/>
      <c r="FOZ225" s="801"/>
      <c r="FPA225" s="801"/>
      <c r="FPB225" s="801"/>
      <c r="FPC225" s="801"/>
      <c r="FPD225" s="802"/>
      <c r="FPE225" s="800"/>
      <c r="FPF225" s="801"/>
      <c r="FPG225" s="801"/>
      <c r="FPH225" s="801"/>
      <c r="FPI225" s="801"/>
      <c r="FPJ225" s="802"/>
      <c r="FPK225" s="800"/>
      <c r="FPL225" s="801"/>
      <c r="FPM225" s="801"/>
      <c r="FPN225" s="801"/>
      <c r="FPO225" s="801"/>
      <c r="FPP225" s="802"/>
      <c r="FPQ225" s="800"/>
      <c r="FPR225" s="801"/>
      <c r="FPS225" s="801"/>
      <c r="FPT225" s="801"/>
      <c r="FPU225" s="801"/>
      <c r="FPV225" s="802"/>
      <c r="FPW225" s="800"/>
      <c r="FPX225" s="801"/>
      <c r="FPY225" s="801"/>
      <c r="FPZ225" s="801"/>
      <c r="FQA225" s="801"/>
      <c r="FQB225" s="802"/>
      <c r="FQC225" s="800"/>
      <c r="FQD225" s="801"/>
      <c r="FQE225" s="801"/>
      <c r="FQF225" s="801"/>
      <c r="FQG225" s="801"/>
      <c r="FQH225" s="802"/>
      <c r="FQI225" s="800"/>
      <c r="FQJ225" s="801"/>
      <c r="FQK225" s="801"/>
      <c r="FQL225" s="801"/>
      <c r="FQM225" s="801"/>
      <c r="FQN225" s="802"/>
      <c r="FQO225" s="800"/>
      <c r="FQP225" s="801"/>
      <c r="FQQ225" s="801"/>
      <c r="FQR225" s="801"/>
      <c r="FQS225" s="801"/>
      <c r="FQT225" s="802"/>
      <c r="FQU225" s="800"/>
      <c r="FQV225" s="801"/>
      <c r="FQW225" s="801"/>
      <c r="FQX225" s="801"/>
      <c r="FQY225" s="801"/>
      <c r="FQZ225" s="802"/>
      <c r="FRA225" s="800"/>
      <c r="FRB225" s="801"/>
      <c r="FRC225" s="801"/>
      <c r="FRD225" s="801"/>
      <c r="FRE225" s="801"/>
      <c r="FRF225" s="802"/>
      <c r="FRG225" s="800"/>
      <c r="FRH225" s="801"/>
      <c r="FRI225" s="801"/>
      <c r="FRJ225" s="801"/>
      <c r="FRK225" s="801"/>
      <c r="FRL225" s="802"/>
      <c r="FRM225" s="800"/>
      <c r="FRN225" s="801"/>
      <c r="FRO225" s="801"/>
      <c r="FRP225" s="801"/>
      <c r="FRQ225" s="801"/>
      <c r="FRR225" s="802"/>
      <c r="FRS225" s="800"/>
      <c r="FRT225" s="801"/>
      <c r="FRU225" s="801"/>
      <c r="FRV225" s="801"/>
      <c r="FRW225" s="801"/>
      <c r="FRX225" s="802"/>
      <c r="FRY225" s="800"/>
      <c r="FRZ225" s="801"/>
      <c r="FSA225" s="801"/>
      <c r="FSB225" s="801"/>
      <c r="FSC225" s="801"/>
      <c r="FSD225" s="802"/>
      <c r="FSE225" s="800"/>
      <c r="FSF225" s="801"/>
      <c r="FSG225" s="801"/>
      <c r="FSH225" s="801"/>
      <c r="FSI225" s="801"/>
      <c r="FSJ225" s="802"/>
      <c r="FSK225" s="800"/>
      <c r="FSL225" s="801"/>
      <c r="FSM225" s="801"/>
      <c r="FSN225" s="801"/>
      <c r="FSO225" s="801"/>
      <c r="FSP225" s="802"/>
      <c r="FSQ225" s="800"/>
      <c r="FSR225" s="801"/>
      <c r="FSS225" s="801"/>
      <c r="FST225" s="801"/>
      <c r="FSU225" s="801"/>
      <c r="FSV225" s="802"/>
      <c r="FSW225" s="800"/>
      <c r="FSX225" s="801"/>
      <c r="FSY225" s="801"/>
      <c r="FSZ225" s="801"/>
      <c r="FTA225" s="801"/>
      <c r="FTB225" s="802"/>
      <c r="FTC225" s="800"/>
      <c r="FTD225" s="801"/>
      <c r="FTE225" s="801"/>
      <c r="FTF225" s="801"/>
      <c r="FTG225" s="801"/>
      <c r="FTH225" s="802"/>
      <c r="FTI225" s="800"/>
      <c r="FTJ225" s="801"/>
      <c r="FTK225" s="801"/>
      <c r="FTL225" s="801"/>
      <c r="FTM225" s="801"/>
      <c r="FTN225" s="802"/>
      <c r="FTO225" s="800"/>
      <c r="FTP225" s="801"/>
      <c r="FTQ225" s="801"/>
      <c r="FTR225" s="801"/>
      <c r="FTS225" s="801"/>
      <c r="FTT225" s="802"/>
      <c r="FTU225" s="800"/>
      <c r="FTV225" s="801"/>
      <c r="FTW225" s="801"/>
      <c r="FTX225" s="801"/>
      <c r="FTY225" s="801"/>
      <c r="FTZ225" s="802"/>
      <c r="FUA225" s="800"/>
      <c r="FUB225" s="801"/>
      <c r="FUC225" s="801"/>
      <c r="FUD225" s="801"/>
      <c r="FUE225" s="801"/>
      <c r="FUF225" s="802"/>
      <c r="FUG225" s="800"/>
      <c r="FUH225" s="801"/>
      <c r="FUI225" s="801"/>
      <c r="FUJ225" s="801"/>
      <c r="FUK225" s="801"/>
      <c r="FUL225" s="802"/>
      <c r="FUM225" s="800"/>
      <c r="FUN225" s="801"/>
      <c r="FUO225" s="801"/>
      <c r="FUP225" s="801"/>
      <c r="FUQ225" s="801"/>
      <c r="FUR225" s="802"/>
      <c r="FUS225" s="800"/>
      <c r="FUT225" s="801"/>
      <c r="FUU225" s="801"/>
      <c r="FUV225" s="801"/>
      <c r="FUW225" s="801"/>
      <c r="FUX225" s="802"/>
      <c r="FUY225" s="800"/>
      <c r="FUZ225" s="801"/>
      <c r="FVA225" s="801"/>
      <c r="FVB225" s="801"/>
      <c r="FVC225" s="801"/>
      <c r="FVD225" s="802"/>
      <c r="FVE225" s="800"/>
      <c r="FVF225" s="801"/>
      <c r="FVG225" s="801"/>
      <c r="FVH225" s="801"/>
      <c r="FVI225" s="801"/>
      <c r="FVJ225" s="802"/>
      <c r="FVK225" s="800"/>
      <c r="FVL225" s="801"/>
      <c r="FVM225" s="801"/>
      <c r="FVN225" s="801"/>
      <c r="FVO225" s="801"/>
      <c r="FVP225" s="802"/>
      <c r="FVQ225" s="800"/>
      <c r="FVR225" s="801"/>
      <c r="FVS225" s="801"/>
      <c r="FVT225" s="801"/>
      <c r="FVU225" s="801"/>
      <c r="FVV225" s="802"/>
      <c r="FVW225" s="800"/>
      <c r="FVX225" s="801"/>
      <c r="FVY225" s="801"/>
      <c r="FVZ225" s="801"/>
      <c r="FWA225" s="801"/>
      <c r="FWB225" s="802"/>
      <c r="FWC225" s="800"/>
      <c r="FWD225" s="801"/>
      <c r="FWE225" s="801"/>
      <c r="FWF225" s="801"/>
      <c r="FWG225" s="801"/>
      <c r="FWH225" s="802"/>
      <c r="FWI225" s="800"/>
      <c r="FWJ225" s="801"/>
      <c r="FWK225" s="801"/>
      <c r="FWL225" s="801"/>
      <c r="FWM225" s="801"/>
      <c r="FWN225" s="802"/>
      <c r="FWO225" s="800"/>
      <c r="FWP225" s="801"/>
      <c r="FWQ225" s="801"/>
      <c r="FWR225" s="801"/>
      <c r="FWS225" s="801"/>
      <c r="FWT225" s="802"/>
      <c r="FWU225" s="800"/>
      <c r="FWV225" s="801"/>
      <c r="FWW225" s="801"/>
      <c r="FWX225" s="801"/>
      <c r="FWY225" s="801"/>
      <c r="FWZ225" s="802"/>
      <c r="FXA225" s="800"/>
      <c r="FXB225" s="801"/>
      <c r="FXC225" s="801"/>
      <c r="FXD225" s="801"/>
      <c r="FXE225" s="801"/>
      <c r="FXF225" s="802"/>
      <c r="FXG225" s="800"/>
      <c r="FXH225" s="801"/>
      <c r="FXI225" s="801"/>
      <c r="FXJ225" s="801"/>
      <c r="FXK225" s="801"/>
      <c r="FXL225" s="802"/>
      <c r="FXM225" s="800"/>
      <c r="FXN225" s="801"/>
      <c r="FXO225" s="801"/>
      <c r="FXP225" s="801"/>
      <c r="FXQ225" s="801"/>
      <c r="FXR225" s="802"/>
      <c r="FXS225" s="800"/>
      <c r="FXT225" s="801"/>
      <c r="FXU225" s="801"/>
      <c r="FXV225" s="801"/>
      <c r="FXW225" s="801"/>
      <c r="FXX225" s="802"/>
      <c r="FXY225" s="800"/>
      <c r="FXZ225" s="801"/>
      <c r="FYA225" s="801"/>
      <c r="FYB225" s="801"/>
      <c r="FYC225" s="801"/>
      <c r="FYD225" s="802"/>
      <c r="FYE225" s="800"/>
      <c r="FYF225" s="801"/>
      <c r="FYG225" s="801"/>
      <c r="FYH225" s="801"/>
      <c r="FYI225" s="801"/>
      <c r="FYJ225" s="802"/>
      <c r="FYK225" s="800"/>
      <c r="FYL225" s="801"/>
      <c r="FYM225" s="801"/>
      <c r="FYN225" s="801"/>
      <c r="FYO225" s="801"/>
      <c r="FYP225" s="802"/>
      <c r="FYQ225" s="800"/>
      <c r="FYR225" s="801"/>
      <c r="FYS225" s="801"/>
      <c r="FYT225" s="801"/>
      <c r="FYU225" s="801"/>
      <c r="FYV225" s="802"/>
      <c r="FYW225" s="800"/>
      <c r="FYX225" s="801"/>
      <c r="FYY225" s="801"/>
      <c r="FYZ225" s="801"/>
      <c r="FZA225" s="801"/>
      <c r="FZB225" s="802"/>
      <c r="FZC225" s="800"/>
      <c r="FZD225" s="801"/>
      <c r="FZE225" s="801"/>
      <c r="FZF225" s="801"/>
      <c r="FZG225" s="801"/>
      <c r="FZH225" s="802"/>
      <c r="FZI225" s="800"/>
      <c r="FZJ225" s="801"/>
      <c r="FZK225" s="801"/>
      <c r="FZL225" s="801"/>
      <c r="FZM225" s="801"/>
      <c r="FZN225" s="802"/>
      <c r="FZO225" s="800"/>
      <c r="FZP225" s="801"/>
      <c r="FZQ225" s="801"/>
      <c r="FZR225" s="801"/>
      <c r="FZS225" s="801"/>
      <c r="FZT225" s="802"/>
      <c r="FZU225" s="800"/>
      <c r="FZV225" s="801"/>
      <c r="FZW225" s="801"/>
      <c r="FZX225" s="801"/>
      <c r="FZY225" s="801"/>
      <c r="FZZ225" s="802"/>
      <c r="GAA225" s="800"/>
      <c r="GAB225" s="801"/>
      <c r="GAC225" s="801"/>
      <c r="GAD225" s="801"/>
      <c r="GAE225" s="801"/>
      <c r="GAF225" s="802"/>
      <c r="GAG225" s="800"/>
      <c r="GAH225" s="801"/>
      <c r="GAI225" s="801"/>
      <c r="GAJ225" s="801"/>
      <c r="GAK225" s="801"/>
      <c r="GAL225" s="802"/>
      <c r="GAM225" s="800"/>
      <c r="GAN225" s="801"/>
      <c r="GAO225" s="801"/>
      <c r="GAP225" s="801"/>
      <c r="GAQ225" s="801"/>
      <c r="GAR225" s="802"/>
      <c r="GAS225" s="800"/>
      <c r="GAT225" s="801"/>
      <c r="GAU225" s="801"/>
      <c r="GAV225" s="801"/>
      <c r="GAW225" s="801"/>
      <c r="GAX225" s="802"/>
      <c r="GAY225" s="800"/>
      <c r="GAZ225" s="801"/>
      <c r="GBA225" s="801"/>
      <c r="GBB225" s="801"/>
      <c r="GBC225" s="801"/>
      <c r="GBD225" s="802"/>
      <c r="GBE225" s="800"/>
      <c r="GBF225" s="801"/>
      <c r="GBG225" s="801"/>
      <c r="GBH225" s="801"/>
      <c r="GBI225" s="801"/>
      <c r="GBJ225" s="802"/>
      <c r="GBK225" s="800"/>
      <c r="GBL225" s="801"/>
      <c r="GBM225" s="801"/>
      <c r="GBN225" s="801"/>
      <c r="GBO225" s="801"/>
      <c r="GBP225" s="802"/>
      <c r="GBQ225" s="800"/>
      <c r="GBR225" s="801"/>
      <c r="GBS225" s="801"/>
      <c r="GBT225" s="801"/>
      <c r="GBU225" s="801"/>
      <c r="GBV225" s="802"/>
      <c r="GBW225" s="800"/>
      <c r="GBX225" s="801"/>
      <c r="GBY225" s="801"/>
      <c r="GBZ225" s="801"/>
      <c r="GCA225" s="801"/>
      <c r="GCB225" s="802"/>
      <c r="GCC225" s="800"/>
      <c r="GCD225" s="801"/>
      <c r="GCE225" s="801"/>
      <c r="GCF225" s="801"/>
      <c r="GCG225" s="801"/>
      <c r="GCH225" s="802"/>
      <c r="GCI225" s="800"/>
      <c r="GCJ225" s="801"/>
      <c r="GCK225" s="801"/>
      <c r="GCL225" s="801"/>
      <c r="GCM225" s="801"/>
      <c r="GCN225" s="802"/>
      <c r="GCO225" s="800"/>
      <c r="GCP225" s="801"/>
      <c r="GCQ225" s="801"/>
      <c r="GCR225" s="801"/>
      <c r="GCS225" s="801"/>
      <c r="GCT225" s="802"/>
      <c r="GCU225" s="800"/>
      <c r="GCV225" s="801"/>
      <c r="GCW225" s="801"/>
      <c r="GCX225" s="801"/>
      <c r="GCY225" s="801"/>
      <c r="GCZ225" s="802"/>
      <c r="GDA225" s="800"/>
      <c r="GDB225" s="801"/>
      <c r="GDC225" s="801"/>
      <c r="GDD225" s="801"/>
      <c r="GDE225" s="801"/>
      <c r="GDF225" s="802"/>
      <c r="GDG225" s="800"/>
      <c r="GDH225" s="801"/>
      <c r="GDI225" s="801"/>
      <c r="GDJ225" s="801"/>
      <c r="GDK225" s="801"/>
      <c r="GDL225" s="802"/>
      <c r="GDM225" s="800"/>
      <c r="GDN225" s="801"/>
      <c r="GDO225" s="801"/>
      <c r="GDP225" s="801"/>
      <c r="GDQ225" s="801"/>
      <c r="GDR225" s="802"/>
      <c r="GDS225" s="800"/>
      <c r="GDT225" s="801"/>
      <c r="GDU225" s="801"/>
      <c r="GDV225" s="801"/>
      <c r="GDW225" s="801"/>
      <c r="GDX225" s="802"/>
      <c r="GDY225" s="800"/>
      <c r="GDZ225" s="801"/>
      <c r="GEA225" s="801"/>
      <c r="GEB225" s="801"/>
      <c r="GEC225" s="801"/>
      <c r="GED225" s="802"/>
      <c r="GEE225" s="800"/>
      <c r="GEF225" s="801"/>
      <c r="GEG225" s="801"/>
      <c r="GEH225" s="801"/>
      <c r="GEI225" s="801"/>
      <c r="GEJ225" s="802"/>
      <c r="GEK225" s="800"/>
      <c r="GEL225" s="801"/>
      <c r="GEM225" s="801"/>
      <c r="GEN225" s="801"/>
      <c r="GEO225" s="801"/>
      <c r="GEP225" s="802"/>
      <c r="GEQ225" s="800"/>
      <c r="GER225" s="801"/>
      <c r="GES225" s="801"/>
      <c r="GET225" s="801"/>
      <c r="GEU225" s="801"/>
      <c r="GEV225" s="802"/>
      <c r="GEW225" s="800"/>
      <c r="GEX225" s="801"/>
      <c r="GEY225" s="801"/>
      <c r="GEZ225" s="801"/>
      <c r="GFA225" s="801"/>
      <c r="GFB225" s="802"/>
      <c r="GFC225" s="800"/>
      <c r="GFD225" s="801"/>
      <c r="GFE225" s="801"/>
      <c r="GFF225" s="801"/>
      <c r="GFG225" s="801"/>
      <c r="GFH225" s="802"/>
      <c r="GFI225" s="800"/>
      <c r="GFJ225" s="801"/>
      <c r="GFK225" s="801"/>
      <c r="GFL225" s="801"/>
      <c r="GFM225" s="801"/>
      <c r="GFN225" s="802"/>
      <c r="GFO225" s="800"/>
      <c r="GFP225" s="801"/>
      <c r="GFQ225" s="801"/>
      <c r="GFR225" s="801"/>
      <c r="GFS225" s="801"/>
      <c r="GFT225" s="802"/>
      <c r="GFU225" s="800"/>
      <c r="GFV225" s="801"/>
      <c r="GFW225" s="801"/>
      <c r="GFX225" s="801"/>
      <c r="GFY225" s="801"/>
      <c r="GFZ225" s="802"/>
      <c r="GGA225" s="800"/>
      <c r="GGB225" s="801"/>
      <c r="GGC225" s="801"/>
      <c r="GGD225" s="801"/>
      <c r="GGE225" s="801"/>
      <c r="GGF225" s="802"/>
      <c r="GGG225" s="800"/>
      <c r="GGH225" s="801"/>
      <c r="GGI225" s="801"/>
      <c r="GGJ225" s="801"/>
      <c r="GGK225" s="801"/>
      <c r="GGL225" s="802"/>
      <c r="GGM225" s="800"/>
      <c r="GGN225" s="801"/>
      <c r="GGO225" s="801"/>
      <c r="GGP225" s="801"/>
      <c r="GGQ225" s="801"/>
      <c r="GGR225" s="802"/>
      <c r="GGS225" s="800"/>
      <c r="GGT225" s="801"/>
      <c r="GGU225" s="801"/>
      <c r="GGV225" s="801"/>
      <c r="GGW225" s="801"/>
      <c r="GGX225" s="802"/>
      <c r="GGY225" s="800"/>
      <c r="GGZ225" s="801"/>
      <c r="GHA225" s="801"/>
      <c r="GHB225" s="801"/>
      <c r="GHC225" s="801"/>
      <c r="GHD225" s="802"/>
      <c r="GHE225" s="800"/>
      <c r="GHF225" s="801"/>
      <c r="GHG225" s="801"/>
      <c r="GHH225" s="801"/>
      <c r="GHI225" s="801"/>
      <c r="GHJ225" s="802"/>
      <c r="GHK225" s="800"/>
      <c r="GHL225" s="801"/>
      <c r="GHM225" s="801"/>
      <c r="GHN225" s="801"/>
      <c r="GHO225" s="801"/>
      <c r="GHP225" s="802"/>
      <c r="GHQ225" s="800"/>
      <c r="GHR225" s="801"/>
      <c r="GHS225" s="801"/>
      <c r="GHT225" s="801"/>
      <c r="GHU225" s="801"/>
      <c r="GHV225" s="802"/>
      <c r="GHW225" s="800"/>
      <c r="GHX225" s="801"/>
      <c r="GHY225" s="801"/>
      <c r="GHZ225" s="801"/>
      <c r="GIA225" s="801"/>
      <c r="GIB225" s="802"/>
      <c r="GIC225" s="800"/>
      <c r="GID225" s="801"/>
      <c r="GIE225" s="801"/>
      <c r="GIF225" s="801"/>
      <c r="GIG225" s="801"/>
      <c r="GIH225" s="802"/>
      <c r="GII225" s="800"/>
      <c r="GIJ225" s="801"/>
      <c r="GIK225" s="801"/>
      <c r="GIL225" s="801"/>
      <c r="GIM225" s="801"/>
      <c r="GIN225" s="802"/>
      <c r="GIO225" s="800"/>
      <c r="GIP225" s="801"/>
      <c r="GIQ225" s="801"/>
      <c r="GIR225" s="801"/>
      <c r="GIS225" s="801"/>
      <c r="GIT225" s="802"/>
      <c r="GIU225" s="800"/>
      <c r="GIV225" s="801"/>
      <c r="GIW225" s="801"/>
      <c r="GIX225" s="801"/>
      <c r="GIY225" s="801"/>
      <c r="GIZ225" s="802"/>
      <c r="GJA225" s="800"/>
      <c r="GJB225" s="801"/>
      <c r="GJC225" s="801"/>
      <c r="GJD225" s="801"/>
      <c r="GJE225" s="801"/>
      <c r="GJF225" s="802"/>
      <c r="GJG225" s="800"/>
      <c r="GJH225" s="801"/>
      <c r="GJI225" s="801"/>
      <c r="GJJ225" s="801"/>
      <c r="GJK225" s="801"/>
      <c r="GJL225" s="802"/>
      <c r="GJM225" s="800"/>
      <c r="GJN225" s="801"/>
      <c r="GJO225" s="801"/>
      <c r="GJP225" s="801"/>
      <c r="GJQ225" s="801"/>
      <c r="GJR225" s="802"/>
      <c r="GJS225" s="800"/>
      <c r="GJT225" s="801"/>
      <c r="GJU225" s="801"/>
      <c r="GJV225" s="801"/>
      <c r="GJW225" s="801"/>
      <c r="GJX225" s="802"/>
      <c r="GJY225" s="800"/>
      <c r="GJZ225" s="801"/>
      <c r="GKA225" s="801"/>
      <c r="GKB225" s="801"/>
      <c r="GKC225" s="801"/>
      <c r="GKD225" s="802"/>
      <c r="GKE225" s="800"/>
      <c r="GKF225" s="801"/>
      <c r="GKG225" s="801"/>
      <c r="GKH225" s="801"/>
      <c r="GKI225" s="801"/>
      <c r="GKJ225" s="802"/>
      <c r="GKK225" s="800"/>
      <c r="GKL225" s="801"/>
      <c r="GKM225" s="801"/>
      <c r="GKN225" s="801"/>
      <c r="GKO225" s="801"/>
      <c r="GKP225" s="802"/>
      <c r="GKQ225" s="800"/>
      <c r="GKR225" s="801"/>
      <c r="GKS225" s="801"/>
      <c r="GKT225" s="801"/>
      <c r="GKU225" s="801"/>
      <c r="GKV225" s="802"/>
      <c r="GKW225" s="800"/>
      <c r="GKX225" s="801"/>
      <c r="GKY225" s="801"/>
      <c r="GKZ225" s="801"/>
      <c r="GLA225" s="801"/>
      <c r="GLB225" s="802"/>
      <c r="GLC225" s="800"/>
      <c r="GLD225" s="801"/>
      <c r="GLE225" s="801"/>
      <c r="GLF225" s="801"/>
      <c r="GLG225" s="801"/>
      <c r="GLH225" s="802"/>
      <c r="GLI225" s="800"/>
      <c r="GLJ225" s="801"/>
      <c r="GLK225" s="801"/>
      <c r="GLL225" s="801"/>
      <c r="GLM225" s="801"/>
      <c r="GLN225" s="802"/>
      <c r="GLO225" s="800"/>
      <c r="GLP225" s="801"/>
      <c r="GLQ225" s="801"/>
      <c r="GLR225" s="801"/>
      <c r="GLS225" s="801"/>
      <c r="GLT225" s="802"/>
      <c r="GLU225" s="800"/>
      <c r="GLV225" s="801"/>
      <c r="GLW225" s="801"/>
      <c r="GLX225" s="801"/>
      <c r="GLY225" s="801"/>
      <c r="GLZ225" s="802"/>
      <c r="GMA225" s="800"/>
      <c r="GMB225" s="801"/>
      <c r="GMC225" s="801"/>
      <c r="GMD225" s="801"/>
      <c r="GME225" s="801"/>
      <c r="GMF225" s="802"/>
      <c r="GMG225" s="800"/>
      <c r="GMH225" s="801"/>
      <c r="GMI225" s="801"/>
      <c r="GMJ225" s="801"/>
      <c r="GMK225" s="801"/>
      <c r="GML225" s="802"/>
      <c r="GMM225" s="800"/>
      <c r="GMN225" s="801"/>
      <c r="GMO225" s="801"/>
      <c r="GMP225" s="801"/>
      <c r="GMQ225" s="801"/>
      <c r="GMR225" s="802"/>
      <c r="GMS225" s="800"/>
      <c r="GMT225" s="801"/>
      <c r="GMU225" s="801"/>
      <c r="GMV225" s="801"/>
      <c r="GMW225" s="801"/>
      <c r="GMX225" s="802"/>
      <c r="GMY225" s="800"/>
      <c r="GMZ225" s="801"/>
      <c r="GNA225" s="801"/>
      <c r="GNB225" s="801"/>
      <c r="GNC225" s="801"/>
      <c r="GND225" s="802"/>
      <c r="GNE225" s="800"/>
      <c r="GNF225" s="801"/>
      <c r="GNG225" s="801"/>
      <c r="GNH225" s="801"/>
      <c r="GNI225" s="801"/>
      <c r="GNJ225" s="802"/>
      <c r="GNK225" s="800"/>
      <c r="GNL225" s="801"/>
      <c r="GNM225" s="801"/>
      <c r="GNN225" s="801"/>
      <c r="GNO225" s="801"/>
      <c r="GNP225" s="802"/>
      <c r="GNQ225" s="800"/>
      <c r="GNR225" s="801"/>
      <c r="GNS225" s="801"/>
      <c r="GNT225" s="801"/>
      <c r="GNU225" s="801"/>
      <c r="GNV225" s="802"/>
      <c r="GNW225" s="800"/>
      <c r="GNX225" s="801"/>
      <c r="GNY225" s="801"/>
      <c r="GNZ225" s="801"/>
      <c r="GOA225" s="801"/>
      <c r="GOB225" s="802"/>
      <c r="GOC225" s="800"/>
      <c r="GOD225" s="801"/>
      <c r="GOE225" s="801"/>
      <c r="GOF225" s="801"/>
      <c r="GOG225" s="801"/>
      <c r="GOH225" s="802"/>
      <c r="GOI225" s="800"/>
      <c r="GOJ225" s="801"/>
      <c r="GOK225" s="801"/>
      <c r="GOL225" s="801"/>
      <c r="GOM225" s="801"/>
      <c r="GON225" s="802"/>
      <c r="GOO225" s="800"/>
      <c r="GOP225" s="801"/>
      <c r="GOQ225" s="801"/>
      <c r="GOR225" s="801"/>
      <c r="GOS225" s="801"/>
      <c r="GOT225" s="802"/>
      <c r="GOU225" s="800"/>
      <c r="GOV225" s="801"/>
      <c r="GOW225" s="801"/>
      <c r="GOX225" s="801"/>
      <c r="GOY225" s="801"/>
      <c r="GOZ225" s="802"/>
      <c r="GPA225" s="800"/>
      <c r="GPB225" s="801"/>
      <c r="GPC225" s="801"/>
      <c r="GPD225" s="801"/>
      <c r="GPE225" s="801"/>
      <c r="GPF225" s="802"/>
      <c r="GPG225" s="800"/>
      <c r="GPH225" s="801"/>
      <c r="GPI225" s="801"/>
      <c r="GPJ225" s="801"/>
      <c r="GPK225" s="801"/>
      <c r="GPL225" s="802"/>
      <c r="GPM225" s="800"/>
      <c r="GPN225" s="801"/>
      <c r="GPO225" s="801"/>
      <c r="GPP225" s="801"/>
      <c r="GPQ225" s="801"/>
      <c r="GPR225" s="802"/>
      <c r="GPS225" s="800"/>
      <c r="GPT225" s="801"/>
      <c r="GPU225" s="801"/>
      <c r="GPV225" s="801"/>
      <c r="GPW225" s="801"/>
      <c r="GPX225" s="802"/>
      <c r="GPY225" s="800"/>
      <c r="GPZ225" s="801"/>
      <c r="GQA225" s="801"/>
      <c r="GQB225" s="801"/>
      <c r="GQC225" s="801"/>
      <c r="GQD225" s="802"/>
      <c r="GQE225" s="800"/>
      <c r="GQF225" s="801"/>
      <c r="GQG225" s="801"/>
      <c r="GQH225" s="801"/>
      <c r="GQI225" s="801"/>
      <c r="GQJ225" s="802"/>
      <c r="GQK225" s="800"/>
      <c r="GQL225" s="801"/>
      <c r="GQM225" s="801"/>
      <c r="GQN225" s="801"/>
      <c r="GQO225" s="801"/>
      <c r="GQP225" s="802"/>
      <c r="GQQ225" s="800"/>
      <c r="GQR225" s="801"/>
      <c r="GQS225" s="801"/>
      <c r="GQT225" s="801"/>
      <c r="GQU225" s="801"/>
      <c r="GQV225" s="802"/>
      <c r="GQW225" s="800"/>
      <c r="GQX225" s="801"/>
      <c r="GQY225" s="801"/>
      <c r="GQZ225" s="801"/>
      <c r="GRA225" s="801"/>
      <c r="GRB225" s="802"/>
      <c r="GRC225" s="800"/>
      <c r="GRD225" s="801"/>
      <c r="GRE225" s="801"/>
      <c r="GRF225" s="801"/>
      <c r="GRG225" s="801"/>
      <c r="GRH225" s="802"/>
      <c r="GRI225" s="800"/>
      <c r="GRJ225" s="801"/>
      <c r="GRK225" s="801"/>
      <c r="GRL225" s="801"/>
      <c r="GRM225" s="801"/>
      <c r="GRN225" s="802"/>
      <c r="GRO225" s="800"/>
      <c r="GRP225" s="801"/>
      <c r="GRQ225" s="801"/>
      <c r="GRR225" s="801"/>
      <c r="GRS225" s="801"/>
      <c r="GRT225" s="802"/>
      <c r="GRU225" s="800"/>
      <c r="GRV225" s="801"/>
      <c r="GRW225" s="801"/>
      <c r="GRX225" s="801"/>
      <c r="GRY225" s="801"/>
      <c r="GRZ225" s="802"/>
      <c r="GSA225" s="800"/>
      <c r="GSB225" s="801"/>
      <c r="GSC225" s="801"/>
      <c r="GSD225" s="801"/>
      <c r="GSE225" s="801"/>
      <c r="GSF225" s="802"/>
      <c r="GSG225" s="800"/>
      <c r="GSH225" s="801"/>
      <c r="GSI225" s="801"/>
      <c r="GSJ225" s="801"/>
      <c r="GSK225" s="801"/>
      <c r="GSL225" s="802"/>
      <c r="GSM225" s="800"/>
      <c r="GSN225" s="801"/>
      <c r="GSO225" s="801"/>
      <c r="GSP225" s="801"/>
      <c r="GSQ225" s="801"/>
      <c r="GSR225" s="802"/>
      <c r="GSS225" s="800"/>
      <c r="GST225" s="801"/>
      <c r="GSU225" s="801"/>
      <c r="GSV225" s="801"/>
      <c r="GSW225" s="801"/>
      <c r="GSX225" s="802"/>
      <c r="GSY225" s="800"/>
      <c r="GSZ225" s="801"/>
      <c r="GTA225" s="801"/>
      <c r="GTB225" s="801"/>
      <c r="GTC225" s="801"/>
      <c r="GTD225" s="802"/>
      <c r="GTE225" s="800"/>
      <c r="GTF225" s="801"/>
      <c r="GTG225" s="801"/>
      <c r="GTH225" s="801"/>
      <c r="GTI225" s="801"/>
      <c r="GTJ225" s="802"/>
      <c r="GTK225" s="800"/>
      <c r="GTL225" s="801"/>
      <c r="GTM225" s="801"/>
      <c r="GTN225" s="801"/>
      <c r="GTO225" s="801"/>
      <c r="GTP225" s="802"/>
      <c r="GTQ225" s="800"/>
      <c r="GTR225" s="801"/>
      <c r="GTS225" s="801"/>
      <c r="GTT225" s="801"/>
      <c r="GTU225" s="801"/>
      <c r="GTV225" s="802"/>
      <c r="GTW225" s="800"/>
      <c r="GTX225" s="801"/>
      <c r="GTY225" s="801"/>
      <c r="GTZ225" s="801"/>
      <c r="GUA225" s="801"/>
      <c r="GUB225" s="802"/>
      <c r="GUC225" s="800"/>
      <c r="GUD225" s="801"/>
      <c r="GUE225" s="801"/>
      <c r="GUF225" s="801"/>
      <c r="GUG225" s="801"/>
      <c r="GUH225" s="802"/>
      <c r="GUI225" s="800"/>
      <c r="GUJ225" s="801"/>
      <c r="GUK225" s="801"/>
      <c r="GUL225" s="801"/>
      <c r="GUM225" s="801"/>
      <c r="GUN225" s="802"/>
      <c r="GUO225" s="800"/>
      <c r="GUP225" s="801"/>
      <c r="GUQ225" s="801"/>
      <c r="GUR225" s="801"/>
      <c r="GUS225" s="801"/>
      <c r="GUT225" s="802"/>
      <c r="GUU225" s="800"/>
      <c r="GUV225" s="801"/>
      <c r="GUW225" s="801"/>
      <c r="GUX225" s="801"/>
      <c r="GUY225" s="801"/>
      <c r="GUZ225" s="802"/>
      <c r="GVA225" s="800"/>
      <c r="GVB225" s="801"/>
      <c r="GVC225" s="801"/>
      <c r="GVD225" s="801"/>
      <c r="GVE225" s="801"/>
      <c r="GVF225" s="802"/>
      <c r="GVG225" s="800"/>
      <c r="GVH225" s="801"/>
      <c r="GVI225" s="801"/>
      <c r="GVJ225" s="801"/>
      <c r="GVK225" s="801"/>
      <c r="GVL225" s="802"/>
      <c r="GVM225" s="800"/>
      <c r="GVN225" s="801"/>
      <c r="GVO225" s="801"/>
      <c r="GVP225" s="801"/>
      <c r="GVQ225" s="801"/>
      <c r="GVR225" s="802"/>
      <c r="GVS225" s="800"/>
      <c r="GVT225" s="801"/>
      <c r="GVU225" s="801"/>
      <c r="GVV225" s="801"/>
      <c r="GVW225" s="801"/>
      <c r="GVX225" s="802"/>
      <c r="GVY225" s="800"/>
      <c r="GVZ225" s="801"/>
      <c r="GWA225" s="801"/>
      <c r="GWB225" s="801"/>
      <c r="GWC225" s="801"/>
      <c r="GWD225" s="802"/>
      <c r="GWE225" s="800"/>
      <c r="GWF225" s="801"/>
      <c r="GWG225" s="801"/>
      <c r="GWH225" s="801"/>
      <c r="GWI225" s="801"/>
      <c r="GWJ225" s="802"/>
      <c r="GWK225" s="800"/>
      <c r="GWL225" s="801"/>
      <c r="GWM225" s="801"/>
      <c r="GWN225" s="801"/>
      <c r="GWO225" s="801"/>
      <c r="GWP225" s="802"/>
      <c r="GWQ225" s="800"/>
      <c r="GWR225" s="801"/>
      <c r="GWS225" s="801"/>
      <c r="GWT225" s="801"/>
      <c r="GWU225" s="801"/>
      <c r="GWV225" s="802"/>
      <c r="GWW225" s="800"/>
      <c r="GWX225" s="801"/>
      <c r="GWY225" s="801"/>
      <c r="GWZ225" s="801"/>
      <c r="GXA225" s="801"/>
      <c r="GXB225" s="802"/>
      <c r="GXC225" s="800"/>
      <c r="GXD225" s="801"/>
      <c r="GXE225" s="801"/>
      <c r="GXF225" s="801"/>
      <c r="GXG225" s="801"/>
      <c r="GXH225" s="802"/>
      <c r="GXI225" s="800"/>
      <c r="GXJ225" s="801"/>
      <c r="GXK225" s="801"/>
      <c r="GXL225" s="801"/>
      <c r="GXM225" s="801"/>
      <c r="GXN225" s="802"/>
      <c r="GXO225" s="800"/>
      <c r="GXP225" s="801"/>
      <c r="GXQ225" s="801"/>
      <c r="GXR225" s="801"/>
      <c r="GXS225" s="801"/>
      <c r="GXT225" s="802"/>
      <c r="GXU225" s="800"/>
      <c r="GXV225" s="801"/>
      <c r="GXW225" s="801"/>
      <c r="GXX225" s="801"/>
      <c r="GXY225" s="801"/>
      <c r="GXZ225" s="802"/>
      <c r="GYA225" s="800"/>
      <c r="GYB225" s="801"/>
      <c r="GYC225" s="801"/>
      <c r="GYD225" s="801"/>
      <c r="GYE225" s="801"/>
      <c r="GYF225" s="802"/>
      <c r="GYG225" s="800"/>
      <c r="GYH225" s="801"/>
      <c r="GYI225" s="801"/>
      <c r="GYJ225" s="801"/>
      <c r="GYK225" s="801"/>
      <c r="GYL225" s="802"/>
      <c r="GYM225" s="800"/>
      <c r="GYN225" s="801"/>
      <c r="GYO225" s="801"/>
      <c r="GYP225" s="801"/>
      <c r="GYQ225" s="801"/>
      <c r="GYR225" s="802"/>
      <c r="GYS225" s="800"/>
      <c r="GYT225" s="801"/>
      <c r="GYU225" s="801"/>
      <c r="GYV225" s="801"/>
      <c r="GYW225" s="801"/>
      <c r="GYX225" s="802"/>
      <c r="GYY225" s="800"/>
      <c r="GYZ225" s="801"/>
      <c r="GZA225" s="801"/>
      <c r="GZB225" s="801"/>
      <c r="GZC225" s="801"/>
      <c r="GZD225" s="802"/>
      <c r="GZE225" s="800"/>
      <c r="GZF225" s="801"/>
      <c r="GZG225" s="801"/>
      <c r="GZH225" s="801"/>
      <c r="GZI225" s="801"/>
      <c r="GZJ225" s="802"/>
      <c r="GZK225" s="800"/>
      <c r="GZL225" s="801"/>
      <c r="GZM225" s="801"/>
      <c r="GZN225" s="801"/>
      <c r="GZO225" s="801"/>
      <c r="GZP225" s="802"/>
      <c r="GZQ225" s="800"/>
      <c r="GZR225" s="801"/>
      <c r="GZS225" s="801"/>
      <c r="GZT225" s="801"/>
      <c r="GZU225" s="801"/>
      <c r="GZV225" s="802"/>
      <c r="GZW225" s="800"/>
      <c r="GZX225" s="801"/>
      <c r="GZY225" s="801"/>
      <c r="GZZ225" s="801"/>
      <c r="HAA225" s="801"/>
      <c r="HAB225" s="802"/>
      <c r="HAC225" s="800"/>
      <c r="HAD225" s="801"/>
      <c r="HAE225" s="801"/>
      <c r="HAF225" s="801"/>
      <c r="HAG225" s="801"/>
      <c r="HAH225" s="802"/>
      <c r="HAI225" s="800"/>
      <c r="HAJ225" s="801"/>
      <c r="HAK225" s="801"/>
      <c r="HAL225" s="801"/>
      <c r="HAM225" s="801"/>
      <c r="HAN225" s="802"/>
      <c r="HAO225" s="800"/>
      <c r="HAP225" s="801"/>
      <c r="HAQ225" s="801"/>
      <c r="HAR225" s="801"/>
      <c r="HAS225" s="801"/>
      <c r="HAT225" s="802"/>
      <c r="HAU225" s="800"/>
      <c r="HAV225" s="801"/>
      <c r="HAW225" s="801"/>
      <c r="HAX225" s="801"/>
      <c r="HAY225" s="801"/>
      <c r="HAZ225" s="802"/>
      <c r="HBA225" s="800"/>
      <c r="HBB225" s="801"/>
      <c r="HBC225" s="801"/>
      <c r="HBD225" s="801"/>
      <c r="HBE225" s="801"/>
      <c r="HBF225" s="802"/>
      <c r="HBG225" s="800"/>
      <c r="HBH225" s="801"/>
      <c r="HBI225" s="801"/>
      <c r="HBJ225" s="801"/>
      <c r="HBK225" s="801"/>
      <c r="HBL225" s="802"/>
      <c r="HBM225" s="800"/>
      <c r="HBN225" s="801"/>
      <c r="HBO225" s="801"/>
      <c r="HBP225" s="801"/>
      <c r="HBQ225" s="801"/>
      <c r="HBR225" s="802"/>
      <c r="HBS225" s="800"/>
      <c r="HBT225" s="801"/>
      <c r="HBU225" s="801"/>
      <c r="HBV225" s="801"/>
      <c r="HBW225" s="801"/>
      <c r="HBX225" s="802"/>
      <c r="HBY225" s="800"/>
      <c r="HBZ225" s="801"/>
      <c r="HCA225" s="801"/>
      <c r="HCB225" s="801"/>
      <c r="HCC225" s="801"/>
      <c r="HCD225" s="802"/>
      <c r="HCE225" s="800"/>
      <c r="HCF225" s="801"/>
      <c r="HCG225" s="801"/>
      <c r="HCH225" s="801"/>
      <c r="HCI225" s="801"/>
      <c r="HCJ225" s="802"/>
      <c r="HCK225" s="800"/>
      <c r="HCL225" s="801"/>
      <c r="HCM225" s="801"/>
      <c r="HCN225" s="801"/>
      <c r="HCO225" s="801"/>
      <c r="HCP225" s="802"/>
      <c r="HCQ225" s="800"/>
      <c r="HCR225" s="801"/>
      <c r="HCS225" s="801"/>
      <c r="HCT225" s="801"/>
      <c r="HCU225" s="801"/>
      <c r="HCV225" s="802"/>
      <c r="HCW225" s="800"/>
      <c r="HCX225" s="801"/>
      <c r="HCY225" s="801"/>
      <c r="HCZ225" s="801"/>
      <c r="HDA225" s="801"/>
      <c r="HDB225" s="802"/>
      <c r="HDC225" s="800"/>
      <c r="HDD225" s="801"/>
      <c r="HDE225" s="801"/>
      <c r="HDF225" s="801"/>
      <c r="HDG225" s="801"/>
      <c r="HDH225" s="802"/>
      <c r="HDI225" s="800"/>
      <c r="HDJ225" s="801"/>
      <c r="HDK225" s="801"/>
      <c r="HDL225" s="801"/>
      <c r="HDM225" s="801"/>
      <c r="HDN225" s="802"/>
      <c r="HDO225" s="800"/>
      <c r="HDP225" s="801"/>
      <c r="HDQ225" s="801"/>
      <c r="HDR225" s="801"/>
      <c r="HDS225" s="801"/>
      <c r="HDT225" s="802"/>
      <c r="HDU225" s="800"/>
      <c r="HDV225" s="801"/>
      <c r="HDW225" s="801"/>
      <c r="HDX225" s="801"/>
      <c r="HDY225" s="801"/>
      <c r="HDZ225" s="802"/>
      <c r="HEA225" s="800"/>
      <c r="HEB225" s="801"/>
      <c r="HEC225" s="801"/>
      <c r="HED225" s="801"/>
      <c r="HEE225" s="801"/>
      <c r="HEF225" s="802"/>
      <c r="HEG225" s="800"/>
      <c r="HEH225" s="801"/>
      <c r="HEI225" s="801"/>
      <c r="HEJ225" s="801"/>
      <c r="HEK225" s="801"/>
      <c r="HEL225" s="802"/>
      <c r="HEM225" s="800"/>
      <c r="HEN225" s="801"/>
      <c r="HEO225" s="801"/>
      <c r="HEP225" s="801"/>
      <c r="HEQ225" s="801"/>
      <c r="HER225" s="802"/>
      <c r="HES225" s="800"/>
      <c r="HET225" s="801"/>
      <c r="HEU225" s="801"/>
      <c r="HEV225" s="801"/>
      <c r="HEW225" s="801"/>
      <c r="HEX225" s="802"/>
      <c r="HEY225" s="800"/>
      <c r="HEZ225" s="801"/>
      <c r="HFA225" s="801"/>
      <c r="HFB225" s="801"/>
      <c r="HFC225" s="801"/>
      <c r="HFD225" s="802"/>
      <c r="HFE225" s="800"/>
      <c r="HFF225" s="801"/>
      <c r="HFG225" s="801"/>
      <c r="HFH225" s="801"/>
      <c r="HFI225" s="801"/>
      <c r="HFJ225" s="802"/>
      <c r="HFK225" s="800"/>
      <c r="HFL225" s="801"/>
      <c r="HFM225" s="801"/>
      <c r="HFN225" s="801"/>
      <c r="HFO225" s="801"/>
      <c r="HFP225" s="802"/>
      <c r="HFQ225" s="800"/>
      <c r="HFR225" s="801"/>
      <c r="HFS225" s="801"/>
      <c r="HFT225" s="801"/>
      <c r="HFU225" s="801"/>
      <c r="HFV225" s="802"/>
      <c r="HFW225" s="800"/>
      <c r="HFX225" s="801"/>
      <c r="HFY225" s="801"/>
      <c r="HFZ225" s="801"/>
      <c r="HGA225" s="801"/>
      <c r="HGB225" s="802"/>
      <c r="HGC225" s="800"/>
      <c r="HGD225" s="801"/>
      <c r="HGE225" s="801"/>
      <c r="HGF225" s="801"/>
      <c r="HGG225" s="801"/>
      <c r="HGH225" s="802"/>
      <c r="HGI225" s="800"/>
      <c r="HGJ225" s="801"/>
      <c r="HGK225" s="801"/>
      <c r="HGL225" s="801"/>
      <c r="HGM225" s="801"/>
      <c r="HGN225" s="802"/>
      <c r="HGO225" s="800"/>
      <c r="HGP225" s="801"/>
      <c r="HGQ225" s="801"/>
      <c r="HGR225" s="801"/>
      <c r="HGS225" s="801"/>
      <c r="HGT225" s="802"/>
      <c r="HGU225" s="800"/>
      <c r="HGV225" s="801"/>
      <c r="HGW225" s="801"/>
      <c r="HGX225" s="801"/>
      <c r="HGY225" s="801"/>
      <c r="HGZ225" s="802"/>
      <c r="HHA225" s="800"/>
      <c r="HHB225" s="801"/>
      <c r="HHC225" s="801"/>
      <c r="HHD225" s="801"/>
      <c r="HHE225" s="801"/>
      <c r="HHF225" s="802"/>
      <c r="HHG225" s="800"/>
      <c r="HHH225" s="801"/>
      <c r="HHI225" s="801"/>
      <c r="HHJ225" s="801"/>
      <c r="HHK225" s="801"/>
      <c r="HHL225" s="802"/>
      <c r="HHM225" s="800"/>
      <c r="HHN225" s="801"/>
      <c r="HHO225" s="801"/>
      <c r="HHP225" s="801"/>
      <c r="HHQ225" s="801"/>
      <c r="HHR225" s="802"/>
      <c r="HHS225" s="800"/>
      <c r="HHT225" s="801"/>
      <c r="HHU225" s="801"/>
      <c r="HHV225" s="801"/>
      <c r="HHW225" s="801"/>
      <c r="HHX225" s="802"/>
      <c r="HHY225" s="800"/>
      <c r="HHZ225" s="801"/>
      <c r="HIA225" s="801"/>
      <c r="HIB225" s="801"/>
      <c r="HIC225" s="801"/>
      <c r="HID225" s="802"/>
      <c r="HIE225" s="800"/>
      <c r="HIF225" s="801"/>
      <c r="HIG225" s="801"/>
      <c r="HIH225" s="801"/>
      <c r="HII225" s="801"/>
      <c r="HIJ225" s="802"/>
      <c r="HIK225" s="800"/>
      <c r="HIL225" s="801"/>
      <c r="HIM225" s="801"/>
      <c r="HIN225" s="801"/>
      <c r="HIO225" s="801"/>
      <c r="HIP225" s="802"/>
      <c r="HIQ225" s="800"/>
      <c r="HIR225" s="801"/>
      <c r="HIS225" s="801"/>
      <c r="HIT225" s="801"/>
      <c r="HIU225" s="801"/>
      <c r="HIV225" s="802"/>
      <c r="HIW225" s="800"/>
      <c r="HIX225" s="801"/>
      <c r="HIY225" s="801"/>
      <c r="HIZ225" s="801"/>
      <c r="HJA225" s="801"/>
      <c r="HJB225" s="802"/>
      <c r="HJC225" s="800"/>
      <c r="HJD225" s="801"/>
      <c r="HJE225" s="801"/>
      <c r="HJF225" s="801"/>
      <c r="HJG225" s="801"/>
      <c r="HJH225" s="802"/>
      <c r="HJI225" s="800"/>
      <c r="HJJ225" s="801"/>
      <c r="HJK225" s="801"/>
      <c r="HJL225" s="801"/>
      <c r="HJM225" s="801"/>
      <c r="HJN225" s="802"/>
      <c r="HJO225" s="800"/>
      <c r="HJP225" s="801"/>
      <c r="HJQ225" s="801"/>
      <c r="HJR225" s="801"/>
      <c r="HJS225" s="801"/>
      <c r="HJT225" s="802"/>
      <c r="HJU225" s="800"/>
      <c r="HJV225" s="801"/>
      <c r="HJW225" s="801"/>
      <c r="HJX225" s="801"/>
      <c r="HJY225" s="801"/>
      <c r="HJZ225" s="802"/>
      <c r="HKA225" s="800"/>
      <c r="HKB225" s="801"/>
      <c r="HKC225" s="801"/>
      <c r="HKD225" s="801"/>
      <c r="HKE225" s="801"/>
      <c r="HKF225" s="802"/>
      <c r="HKG225" s="800"/>
      <c r="HKH225" s="801"/>
      <c r="HKI225" s="801"/>
      <c r="HKJ225" s="801"/>
      <c r="HKK225" s="801"/>
      <c r="HKL225" s="802"/>
      <c r="HKM225" s="800"/>
      <c r="HKN225" s="801"/>
      <c r="HKO225" s="801"/>
      <c r="HKP225" s="801"/>
      <c r="HKQ225" s="801"/>
      <c r="HKR225" s="802"/>
      <c r="HKS225" s="800"/>
      <c r="HKT225" s="801"/>
      <c r="HKU225" s="801"/>
      <c r="HKV225" s="801"/>
      <c r="HKW225" s="801"/>
      <c r="HKX225" s="802"/>
      <c r="HKY225" s="800"/>
      <c r="HKZ225" s="801"/>
      <c r="HLA225" s="801"/>
      <c r="HLB225" s="801"/>
      <c r="HLC225" s="801"/>
      <c r="HLD225" s="802"/>
      <c r="HLE225" s="800"/>
      <c r="HLF225" s="801"/>
      <c r="HLG225" s="801"/>
      <c r="HLH225" s="801"/>
      <c r="HLI225" s="801"/>
      <c r="HLJ225" s="802"/>
      <c r="HLK225" s="800"/>
      <c r="HLL225" s="801"/>
      <c r="HLM225" s="801"/>
      <c r="HLN225" s="801"/>
      <c r="HLO225" s="801"/>
      <c r="HLP225" s="802"/>
      <c r="HLQ225" s="800"/>
      <c r="HLR225" s="801"/>
      <c r="HLS225" s="801"/>
      <c r="HLT225" s="801"/>
      <c r="HLU225" s="801"/>
      <c r="HLV225" s="802"/>
      <c r="HLW225" s="800"/>
      <c r="HLX225" s="801"/>
      <c r="HLY225" s="801"/>
      <c r="HLZ225" s="801"/>
      <c r="HMA225" s="801"/>
      <c r="HMB225" s="802"/>
      <c r="HMC225" s="800"/>
      <c r="HMD225" s="801"/>
      <c r="HME225" s="801"/>
      <c r="HMF225" s="801"/>
      <c r="HMG225" s="801"/>
      <c r="HMH225" s="802"/>
      <c r="HMI225" s="800"/>
      <c r="HMJ225" s="801"/>
      <c r="HMK225" s="801"/>
      <c r="HML225" s="801"/>
      <c r="HMM225" s="801"/>
      <c r="HMN225" s="802"/>
      <c r="HMO225" s="800"/>
      <c r="HMP225" s="801"/>
      <c r="HMQ225" s="801"/>
      <c r="HMR225" s="801"/>
      <c r="HMS225" s="801"/>
      <c r="HMT225" s="802"/>
      <c r="HMU225" s="800"/>
      <c r="HMV225" s="801"/>
      <c r="HMW225" s="801"/>
      <c r="HMX225" s="801"/>
      <c r="HMY225" s="801"/>
      <c r="HMZ225" s="802"/>
      <c r="HNA225" s="800"/>
      <c r="HNB225" s="801"/>
      <c r="HNC225" s="801"/>
      <c r="HND225" s="801"/>
      <c r="HNE225" s="801"/>
      <c r="HNF225" s="802"/>
      <c r="HNG225" s="800"/>
      <c r="HNH225" s="801"/>
      <c r="HNI225" s="801"/>
      <c r="HNJ225" s="801"/>
      <c r="HNK225" s="801"/>
      <c r="HNL225" s="802"/>
      <c r="HNM225" s="800"/>
      <c r="HNN225" s="801"/>
      <c r="HNO225" s="801"/>
      <c r="HNP225" s="801"/>
      <c r="HNQ225" s="801"/>
      <c r="HNR225" s="802"/>
      <c r="HNS225" s="800"/>
      <c r="HNT225" s="801"/>
      <c r="HNU225" s="801"/>
      <c r="HNV225" s="801"/>
      <c r="HNW225" s="801"/>
      <c r="HNX225" s="802"/>
      <c r="HNY225" s="800"/>
      <c r="HNZ225" s="801"/>
      <c r="HOA225" s="801"/>
      <c r="HOB225" s="801"/>
      <c r="HOC225" s="801"/>
      <c r="HOD225" s="802"/>
      <c r="HOE225" s="800"/>
      <c r="HOF225" s="801"/>
      <c r="HOG225" s="801"/>
      <c r="HOH225" s="801"/>
      <c r="HOI225" s="801"/>
      <c r="HOJ225" s="802"/>
      <c r="HOK225" s="800"/>
      <c r="HOL225" s="801"/>
      <c r="HOM225" s="801"/>
      <c r="HON225" s="801"/>
      <c r="HOO225" s="801"/>
      <c r="HOP225" s="802"/>
      <c r="HOQ225" s="800"/>
      <c r="HOR225" s="801"/>
      <c r="HOS225" s="801"/>
      <c r="HOT225" s="801"/>
      <c r="HOU225" s="801"/>
      <c r="HOV225" s="802"/>
      <c r="HOW225" s="800"/>
      <c r="HOX225" s="801"/>
      <c r="HOY225" s="801"/>
      <c r="HOZ225" s="801"/>
      <c r="HPA225" s="801"/>
      <c r="HPB225" s="802"/>
      <c r="HPC225" s="800"/>
      <c r="HPD225" s="801"/>
      <c r="HPE225" s="801"/>
      <c r="HPF225" s="801"/>
      <c r="HPG225" s="801"/>
      <c r="HPH225" s="802"/>
      <c r="HPI225" s="800"/>
      <c r="HPJ225" s="801"/>
      <c r="HPK225" s="801"/>
      <c r="HPL225" s="801"/>
      <c r="HPM225" s="801"/>
      <c r="HPN225" s="802"/>
      <c r="HPO225" s="800"/>
      <c r="HPP225" s="801"/>
      <c r="HPQ225" s="801"/>
      <c r="HPR225" s="801"/>
      <c r="HPS225" s="801"/>
      <c r="HPT225" s="802"/>
      <c r="HPU225" s="800"/>
      <c r="HPV225" s="801"/>
      <c r="HPW225" s="801"/>
      <c r="HPX225" s="801"/>
      <c r="HPY225" s="801"/>
      <c r="HPZ225" s="802"/>
      <c r="HQA225" s="800"/>
      <c r="HQB225" s="801"/>
      <c r="HQC225" s="801"/>
      <c r="HQD225" s="801"/>
      <c r="HQE225" s="801"/>
      <c r="HQF225" s="802"/>
      <c r="HQG225" s="800"/>
      <c r="HQH225" s="801"/>
      <c r="HQI225" s="801"/>
      <c r="HQJ225" s="801"/>
      <c r="HQK225" s="801"/>
      <c r="HQL225" s="802"/>
      <c r="HQM225" s="800"/>
      <c r="HQN225" s="801"/>
      <c r="HQO225" s="801"/>
      <c r="HQP225" s="801"/>
      <c r="HQQ225" s="801"/>
      <c r="HQR225" s="802"/>
      <c r="HQS225" s="800"/>
      <c r="HQT225" s="801"/>
      <c r="HQU225" s="801"/>
      <c r="HQV225" s="801"/>
      <c r="HQW225" s="801"/>
      <c r="HQX225" s="802"/>
      <c r="HQY225" s="800"/>
      <c r="HQZ225" s="801"/>
      <c r="HRA225" s="801"/>
      <c r="HRB225" s="801"/>
      <c r="HRC225" s="801"/>
      <c r="HRD225" s="802"/>
      <c r="HRE225" s="800"/>
      <c r="HRF225" s="801"/>
      <c r="HRG225" s="801"/>
      <c r="HRH225" s="801"/>
      <c r="HRI225" s="801"/>
      <c r="HRJ225" s="802"/>
      <c r="HRK225" s="800"/>
      <c r="HRL225" s="801"/>
      <c r="HRM225" s="801"/>
      <c r="HRN225" s="801"/>
      <c r="HRO225" s="801"/>
      <c r="HRP225" s="802"/>
      <c r="HRQ225" s="800"/>
      <c r="HRR225" s="801"/>
      <c r="HRS225" s="801"/>
      <c r="HRT225" s="801"/>
      <c r="HRU225" s="801"/>
      <c r="HRV225" s="802"/>
      <c r="HRW225" s="800"/>
      <c r="HRX225" s="801"/>
      <c r="HRY225" s="801"/>
      <c r="HRZ225" s="801"/>
      <c r="HSA225" s="801"/>
      <c r="HSB225" s="802"/>
      <c r="HSC225" s="800"/>
      <c r="HSD225" s="801"/>
      <c r="HSE225" s="801"/>
      <c r="HSF225" s="801"/>
      <c r="HSG225" s="801"/>
      <c r="HSH225" s="802"/>
      <c r="HSI225" s="800"/>
      <c r="HSJ225" s="801"/>
      <c r="HSK225" s="801"/>
      <c r="HSL225" s="801"/>
      <c r="HSM225" s="801"/>
      <c r="HSN225" s="802"/>
      <c r="HSO225" s="800"/>
      <c r="HSP225" s="801"/>
      <c r="HSQ225" s="801"/>
      <c r="HSR225" s="801"/>
      <c r="HSS225" s="801"/>
      <c r="HST225" s="802"/>
      <c r="HSU225" s="800"/>
      <c r="HSV225" s="801"/>
      <c r="HSW225" s="801"/>
      <c r="HSX225" s="801"/>
      <c r="HSY225" s="801"/>
      <c r="HSZ225" s="802"/>
      <c r="HTA225" s="800"/>
      <c r="HTB225" s="801"/>
      <c r="HTC225" s="801"/>
      <c r="HTD225" s="801"/>
      <c r="HTE225" s="801"/>
      <c r="HTF225" s="802"/>
      <c r="HTG225" s="800"/>
      <c r="HTH225" s="801"/>
      <c r="HTI225" s="801"/>
      <c r="HTJ225" s="801"/>
      <c r="HTK225" s="801"/>
      <c r="HTL225" s="802"/>
      <c r="HTM225" s="800"/>
      <c r="HTN225" s="801"/>
      <c r="HTO225" s="801"/>
      <c r="HTP225" s="801"/>
      <c r="HTQ225" s="801"/>
      <c r="HTR225" s="802"/>
      <c r="HTS225" s="800"/>
      <c r="HTT225" s="801"/>
      <c r="HTU225" s="801"/>
      <c r="HTV225" s="801"/>
      <c r="HTW225" s="801"/>
      <c r="HTX225" s="802"/>
      <c r="HTY225" s="800"/>
      <c r="HTZ225" s="801"/>
      <c r="HUA225" s="801"/>
      <c r="HUB225" s="801"/>
      <c r="HUC225" s="801"/>
      <c r="HUD225" s="802"/>
      <c r="HUE225" s="800"/>
      <c r="HUF225" s="801"/>
      <c r="HUG225" s="801"/>
      <c r="HUH225" s="801"/>
      <c r="HUI225" s="801"/>
      <c r="HUJ225" s="802"/>
      <c r="HUK225" s="800"/>
      <c r="HUL225" s="801"/>
      <c r="HUM225" s="801"/>
      <c r="HUN225" s="801"/>
      <c r="HUO225" s="801"/>
      <c r="HUP225" s="802"/>
      <c r="HUQ225" s="800"/>
      <c r="HUR225" s="801"/>
      <c r="HUS225" s="801"/>
      <c r="HUT225" s="801"/>
      <c r="HUU225" s="801"/>
      <c r="HUV225" s="802"/>
      <c r="HUW225" s="800"/>
      <c r="HUX225" s="801"/>
      <c r="HUY225" s="801"/>
      <c r="HUZ225" s="801"/>
      <c r="HVA225" s="801"/>
      <c r="HVB225" s="802"/>
      <c r="HVC225" s="800"/>
      <c r="HVD225" s="801"/>
      <c r="HVE225" s="801"/>
      <c r="HVF225" s="801"/>
      <c r="HVG225" s="801"/>
      <c r="HVH225" s="802"/>
      <c r="HVI225" s="800"/>
      <c r="HVJ225" s="801"/>
      <c r="HVK225" s="801"/>
      <c r="HVL225" s="801"/>
      <c r="HVM225" s="801"/>
      <c r="HVN225" s="802"/>
      <c r="HVO225" s="800"/>
      <c r="HVP225" s="801"/>
      <c r="HVQ225" s="801"/>
      <c r="HVR225" s="801"/>
      <c r="HVS225" s="801"/>
      <c r="HVT225" s="802"/>
      <c r="HVU225" s="800"/>
      <c r="HVV225" s="801"/>
      <c r="HVW225" s="801"/>
      <c r="HVX225" s="801"/>
      <c r="HVY225" s="801"/>
      <c r="HVZ225" s="802"/>
      <c r="HWA225" s="800"/>
      <c r="HWB225" s="801"/>
      <c r="HWC225" s="801"/>
      <c r="HWD225" s="801"/>
      <c r="HWE225" s="801"/>
      <c r="HWF225" s="802"/>
      <c r="HWG225" s="800"/>
      <c r="HWH225" s="801"/>
      <c r="HWI225" s="801"/>
      <c r="HWJ225" s="801"/>
      <c r="HWK225" s="801"/>
      <c r="HWL225" s="802"/>
      <c r="HWM225" s="800"/>
      <c r="HWN225" s="801"/>
      <c r="HWO225" s="801"/>
      <c r="HWP225" s="801"/>
      <c r="HWQ225" s="801"/>
      <c r="HWR225" s="802"/>
      <c r="HWS225" s="800"/>
      <c r="HWT225" s="801"/>
      <c r="HWU225" s="801"/>
      <c r="HWV225" s="801"/>
      <c r="HWW225" s="801"/>
      <c r="HWX225" s="802"/>
      <c r="HWY225" s="800"/>
      <c r="HWZ225" s="801"/>
      <c r="HXA225" s="801"/>
      <c r="HXB225" s="801"/>
      <c r="HXC225" s="801"/>
      <c r="HXD225" s="802"/>
      <c r="HXE225" s="800"/>
      <c r="HXF225" s="801"/>
      <c r="HXG225" s="801"/>
      <c r="HXH225" s="801"/>
      <c r="HXI225" s="801"/>
      <c r="HXJ225" s="802"/>
      <c r="HXK225" s="800"/>
      <c r="HXL225" s="801"/>
      <c r="HXM225" s="801"/>
      <c r="HXN225" s="801"/>
      <c r="HXO225" s="801"/>
      <c r="HXP225" s="802"/>
      <c r="HXQ225" s="800"/>
      <c r="HXR225" s="801"/>
      <c r="HXS225" s="801"/>
      <c r="HXT225" s="801"/>
      <c r="HXU225" s="801"/>
      <c r="HXV225" s="802"/>
      <c r="HXW225" s="800"/>
      <c r="HXX225" s="801"/>
      <c r="HXY225" s="801"/>
      <c r="HXZ225" s="801"/>
      <c r="HYA225" s="801"/>
      <c r="HYB225" s="802"/>
      <c r="HYC225" s="800"/>
      <c r="HYD225" s="801"/>
      <c r="HYE225" s="801"/>
      <c r="HYF225" s="801"/>
      <c r="HYG225" s="801"/>
      <c r="HYH225" s="802"/>
      <c r="HYI225" s="800"/>
      <c r="HYJ225" s="801"/>
      <c r="HYK225" s="801"/>
      <c r="HYL225" s="801"/>
      <c r="HYM225" s="801"/>
      <c r="HYN225" s="802"/>
      <c r="HYO225" s="800"/>
      <c r="HYP225" s="801"/>
      <c r="HYQ225" s="801"/>
      <c r="HYR225" s="801"/>
      <c r="HYS225" s="801"/>
      <c r="HYT225" s="802"/>
      <c r="HYU225" s="800"/>
      <c r="HYV225" s="801"/>
      <c r="HYW225" s="801"/>
      <c r="HYX225" s="801"/>
      <c r="HYY225" s="801"/>
      <c r="HYZ225" s="802"/>
      <c r="HZA225" s="800"/>
      <c r="HZB225" s="801"/>
      <c r="HZC225" s="801"/>
      <c r="HZD225" s="801"/>
      <c r="HZE225" s="801"/>
      <c r="HZF225" s="802"/>
      <c r="HZG225" s="800"/>
      <c r="HZH225" s="801"/>
      <c r="HZI225" s="801"/>
      <c r="HZJ225" s="801"/>
      <c r="HZK225" s="801"/>
      <c r="HZL225" s="802"/>
      <c r="HZM225" s="800"/>
      <c r="HZN225" s="801"/>
      <c r="HZO225" s="801"/>
      <c r="HZP225" s="801"/>
      <c r="HZQ225" s="801"/>
      <c r="HZR225" s="802"/>
      <c r="HZS225" s="800"/>
      <c r="HZT225" s="801"/>
      <c r="HZU225" s="801"/>
      <c r="HZV225" s="801"/>
      <c r="HZW225" s="801"/>
      <c r="HZX225" s="802"/>
      <c r="HZY225" s="800"/>
      <c r="HZZ225" s="801"/>
      <c r="IAA225" s="801"/>
      <c r="IAB225" s="801"/>
      <c r="IAC225" s="801"/>
      <c r="IAD225" s="802"/>
      <c r="IAE225" s="800"/>
      <c r="IAF225" s="801"/>
      <c r="IAG225" s="801"/>
      <c r="IAH225" s="801"/>
      <c r="IAI225" s="801"/>
      <c r="IAJ225" s="802"/>
      <c r="IAK225" s="800"/>
      <c r="IAL225" s="801"/>
      <c r="IAM225" s="801"/>
      <c r="IAN225" s="801"/>
      <c r="IAO225" s="801"/>
      <c r="IAP225" s="802"/>
      <c r="IAQ225" s="800"/>
      <c r="IAR225" s="801"/>
      <c r="IAS225" s="801"/>
      <c r="IAT225" s="801"/>
      <c r="IAU225" s="801"/>
      <c r="IAV225" s="802"/>
      <c r="IAW225" s="800"/>
      <c r="IAX225" s="801"/>
      <c r="IAY225" s="801"/>
      <c r="IAZ225" s="801"/>
      <c r="IBA225" s="801"/>
      <c r="IBB225" s="802"/>
      <c r="IBC225" s="800"/>
      <c r="IBD225" s="801"/>
      <c r="IBE225" s="801"/>
      <c r="IBF225" s="801"/>
      <c r="IBG225" s="801"/>
      <c r="IBH225" s="802"/>
      <c r="IBI225" s="800"/>
      <c r="IBJ225" s="801"/>
      <c r="IBK225" s="801"/>
      <c r="IBL225" s="801"/>
      <c r="IBM225" s="801"/>
      <c r="IBN225" s="802"/>
      <c r="IBO225" s="800"/>
      <c r="IBP225" s="801"/>
      <c r="IBQ225" s="801"/>
      <c r="IBR225" s="801"/>
      <c r="IBS225" s="801"/>
      <c r="IBT225" s="802"/>
      <c r="IBU225" s="800"/>
      <c r="IBV225" s="801"/>
      <c r="IBW225" s="801"/>
      <c r="IBX225" s="801"/>
      <c r="IBY225" s="801"/>
      <c r="IBZ225" s="802"/>
      <c r="ICA225" s="800"/>
      <c r="ICB225" s="801"/>
      <c r="ICC225" s="801"/>
      <c r="ICD225" s="801"/>
      <c r="ICE225" s="801"/>
      <c r="ICF225" s="802"/>
      <c r="ICG225" s="800"/>
      <c r="ICH225" s="801"/>
      <c r="ICI225" s="801"/>
      <c r="ICJ225" s="801"/>
      <c r="ICK225" s="801"/>
      <c r="ICL225" s="802"/>
      <c r="ICM225" s="800"/>
      <c r="ICN225" s="801"/>
      <c r="ICO225" s="801"/>
      <c r="ICP225" s="801"/>
      <c r="ICQ225" s="801"/>
      <c r="ICR225" s="802"/>
      <c r="ICS225" s="800"/>
      <c r="ICT225" s="801"/>
      <c r="ICU225" s="801"/>
      <c r="ICV225" s="801"/>
      <c r="ICW225" s="801"/>
      <c r="ICX225" s="802"/>
      <c r="ICY225" s="800"/>
      <c r="ICZ225" s="801"/>
      <c r="IDA225" s="801"/>
      <c r="IDB225" s="801"/>
      <c r="IDC225" s="801"/>
      <c r="IDD225" s="802"/>
      <c r="IDE225" s="800"/>
      <c r="IDF225" s="801"/>
      <c r="IDG225" s="801"/>
      <c r="IDH225" s="801"/>
      <c r="IDI225" s="801"/>
      <c r="IDJ225" s="802"/>
      <c r="IDK225" s="800"/>
      <c r="IDL225" s="801"/>
      <c r="IDM225" s="801"/>
      <c r="IDN225" s="801"/>
      <c r="IDO225" s="801"/>
      <c r="IDP225" s="802"/>
      <c r="IDQ225" s="800"/>
      <c r="IDR225" s="801"/>
      <c r="IDS225" s="801"/>
      <c r="IDT225" s="801"/>
      <c r="IDU225" s="801"/>
      <c r="IDV225" s="802"/>
      <c r="IDW225" s="800"/>
      <c r="IDX225" s="801"/>
      <c r="IDY225" s="801"/>
      <c r="IDZ225" s="801"/>
      <c r="IEA225" s="801"/>
      <c r="IEB225" s="802"/>
      <c r="IEC225" s="800"/>
      <c r="IED225" s="801"/>
      <c r="IEE225" s="801"/>
      <c r="IEF225" s="801"/>
      <c r="IEG225" s="801"/>
      <c r="IEH225" s="802"/>
      <c r="IEI225" s="800"/>
      <c r="IEJ225" s="801"/>
      <c r="IEK225" s="801"/>
      <c r="IEL225" s="801"/>
      <c r="IEM225" s="801"/>
      <c r="IEN225" s="802"/>
      <c r="IEO225" s="800"/>
      <c r="IEP225" s="801"/>
      <c r="IEQ225" s="801"/>
      <c r="IER225" s="801"/>
      <c r="IES225" s="801"/>
      <c r="IET225" s="802"/>
      <c r="IEU225" s="800"/>
      <c r="IEV225" s="801"/>
      <c r="IEW225" s="801"/>
      <c r="IEX225" s="801"/>
      <c r="IEY225" s="801"/>
      <c r="IEZ225" s="802"/>
      <c r="IFA225" s="800"/>
      <c r="IFB225" s="801"/>
      <c r="IFC225" s="801"/>
      <c r="IFD225" s="801"/>
      <c r="IFE225" s="801"/>
      <c r="IFF225" s="802"/>
      <c r="IFG225" s="800"/>
      <c r="IFH225" s="801"/>
      <c r="IFI225" s="801"/>
      <c r="IFJ225" s="801"/>
      <c r="IFK225" s="801"/>
      <c r="IFL225" s="802"/>
      <c r="IFM225" s="800"/>
      <c r="IFN225" s="801"/>
      <c r="IFO225" s="801"/>
      <c r="IFP225" s="801"/>
      <c r="IFQ225" s="801"/>
      <c r="IFR225" s="802"/>
      <c r="IFS225" s="800"/>
      <c r="IFT225" s="801"/>
      <c r="IFU225" s="801"/>
      <c r="IFV225" s="801"/>
      <c r="IFW225" s="801"/>
      <c r="IFX225" s="802"/>
      <c r="IFY225" s="800"/>
      <c r="IFZ225" s="801"/>
      <c r="IGA225" s="801"/>
      <c r="IGB225" s="801"/>
      <c r="IGC225" s="801"/>
      <c r="IGD225" s="802"/>
      <c r="IGE225" s="800"/>
      <c r="IGF225" s="801"/>
      <c r="IGG225" s="801"/>
      <c r="IGH225" s="801"/>
      <c r="IGI225" s="801"/>
      <c r="IGJ225" s="802"/>
      <c r="IGK225" s="800"/>
      <c r="IGL225" s="801"/>
      <c r="IGM225" s="801"/>
      <c r="IGN225" s="801"/>
      <c r="IGO225" s="801"/>
      <c r="IGP225" s="802"/>
      <c r="IGQ225" s="800"/>
      <c r="IGR225" s="801"/>
      <c r="IGS225" s="801"/>
      <c r="IGT225" s="801"/>
      <c r="IGU225" s="801"/>
      <c r="IGV225" s="802"/>
      <c r="IGW225" s="800"/>
      <c r="IGX225" s="801"/>
      <c r="IGY225" s="801"/>
      <c r="IGZ225" s="801"/>
      <c r="IHA225" s="801"/>
      <c r="IHB225" s="802"/>
      <c r="IHC225" s="800"/>
      <c r="IHD225" s="801"/>
      <c r="IHE225" s="801"/>
      <c r="IHF225" s="801"/>
      <c r="IHG225" s="801"/>
      <c r="IHH225" s="802"/>
      <c r="IHI225" s="800"/>
      <c r="IHJ225" s="801"/>
      <c r="IHK225" s="801"/>
      <c r="IHL225" s="801"/>
      <c r="IHM225" s="801"/>
      <c r="IHN225" s="802"/>
      <c r="IHO225" s="800"/>
      <c r="IHP225" s="801"/>
      <c r="IHQ225" s="801"/>
      <c r="IHR225" s="801"/>
      <c r="IHS225" s="801"/>
      <c r="IHT225" s="802"/>
      <c r="IHU225" s="800"/>
      <c r="IHV225" s="801"/>
      <c r="IHW225" s="801"/>
      <c r="IHX225" s="801"/>
      <c r="IHY225" s="801"/>
      <c r="IHZ225" s="802"/>
      <c r="IIA225" s="800"/>
      <c r="IIB225" s="801"/>
      <c r="IIC225" s="801"/>
      <c r="IID225" s="801"/>
      <c r="IIE225" s="801"/>
      <c r="IIF225" s="802"/>
      <c r="IIG225" s="800"/>
      <c r="IIH225" s="801"/>
      <c r="III225" s="801"/>
      <c r="IIJ225" s="801"/>
      <c r="IIK225" s="801"/>
      <c r="IIL225" s="802"/>
      <c r="IIM225" s="800"/>
      <c r="IIN225" s="801"/>
      <c r="IIO225" s="801"/>
      <c r="IIP225" s="801"/>
      <c r="IIQ225" s="801"/>
      <c r="IIR225" s="802"/>
      <c r="IIS225" s="800"/>
      <c r="IIT225" s="801"/>
      <c r="IIU225" s="801"/>
      <c r="IIV225" s="801"/>
      <c r="IIW225" s="801"/>
      <c r="IIX225" s="802"/>
      <c r="IIY225" s="800"/>
      <c r="IIZ225" s="801"/>
      <c r="IJA225" s="801"/>
      <c r="IJB225" s="801"/>
      <c r="IJC225" s="801"/>
      <c r="IJD225" s="802"/>
      <c r="IJE225" s="800"/>
      <c r="IJF225" s="801"/>
      <c r="IJG225" s="801"/>
      <c r="IJH225" s="801"/>
      <c r="IJI225" s="801"/>
      <c r="IJJ225" s="802"/>
      <c r="IJK225" s="800"/>
      <c r="IJL225" s="801"/>
      <c r="IJM225" s="801"/>
      <c r="IJN225" s="801"/>
      <c r="IJO225" s="801"/>
      <c r="IJP225" s="802"/>
      <c r="IJQ225" s="800"/>
      <c r="IJR225" s="801"/>
      <c r="IJS225" s="801"/>
      <c r="IJT225" s="801"/>
      <c r="IJU225" s="801"/>
      <c r="IJV225" s="802"/>
      <c r="IJW225" s="800"/>
      <c r="IJX225" s="801"/>
      <c r="IJY225" s="801"/>
      <c r="IJZ225" s="801"/>
      <c r="IKA225" s="801"/>
      <c r="IKB225" s="802"/>
      <c r="IKC225" s="800"/>
      <c r="IKD225" s="801"/>
      <c r="IKE225" s="801"/>
      <c r="IKF225" s="801"/>
      <c r="IKG225" s="801"/>
      <c r="IKH225" s="802"/>
      <c r="IKI225" s="800"/>
      <c r="IKJ225" s="801"/>
      <c r="IKK225" s="801"/>
      <c r="IKL225" s="801"/>
      <c r="IKM225" s="801"/>
      <c r="IKN225" s="802"/>
      <c r="IKO225" s="800"/>
      <c r="IKP225" s="801"/>
      <c r="IKQ225" s="801"/>
      <c r="IKR225" s="801"/>
      <c r="IKS225" s="801"/>
      <c r="IKT225" s="802"/>
      <c r="IKU225" s="800"/>
      <c r="IKV225" s="801"/>
      <c r="IKW225" s="801"/>
      <c r="IKX225" s="801"/>
      <c r="IKY225" s="801"/>
      <c r="IKZ225" s="802"/>
      <c r="ILA225" s="800"/>
      <c r="ILB225" s="801"/>
      <c r="ILC225" s="801"/>
      <c r="ILD225" s="801"/>
      <c r="ILE225" s="801"/>
      <c r="ILF225" s="802"/>
      <c r="ILG225" s="800"/>
      <c r="ILH225" s="801"/>
      <c r="ILI225" s="801"/>
      <c r="ILJ225" s="801"/>
      <c r="ILK225" s="801"/>
      <c r="ILL225" s="802"/>
      <c r="ILM225" s="800"/>
      <c r="ILN225" s="801"/>
      <c r="ILO225" s="801"/>
      <c r="ILP225" s="801"/>
      <c r="ILQ225" s="801"/>
      <c r="ILR225" s="802"/>
      <c r="ILS225" s="800"/>
      <c r="ILT225" s="801"/>
      <c r="ILU225" s="801"/>
      <c r="ILV225" s="801"/>
      <c r="ILW225" s="801"/>
      <c r="ILX225" s="802"/>
      <c r="ILY225" s="800"/>
      <c r="ILZ225" s="801"/>
      <c r="IMA225" s="801"/>
      <c r="IMB225" s="801"/>
      <c r="IMC225" s="801"/>
      <c r="IMD225" s="802"/>
      <c r="IME225" s="800"/>
      <c r="IMF225" s="801"/>
      <c r="IMG225" s="801"/>
      <c r="IMH225" s="801"/>
      <c r="IMI225" s="801"/>
      <c r="IMJ225" s="802"/>
      <c r="IMK225" s="800"/>
      <c r="IML225" s="801"/>
      <c r="IMM225" s="801"/>
      <c r="IMN225" s="801"/>
      <c r="IMO225" s="801"/>
      <c r="IMP225" s="802"/>
      <c r="IMQ225" s="800"/>
      <c r="IMR225" s="801"/>
      <c r="IMS225" s="801"/>
      <c r="IMT225" s="801"/>
      <c r="IMU225" s="801"/>
      <c r="IMV225" s="802"/>
      <c r="IMW225" s="800"/>
      <c r="IMX225" s="801"/>
      <c r="IMY225" s="801"/>
      <c r="IMZ225" s="801"/>
      <c r="INA225" s="801"/>
      <c r="INB225" s="802"/>
      <c r="INC225" s="800"/>
      <c r="IND225" s="801"/>
      <c r="INE225" s="801"/>
      <c r="INF225" s="801"/>
      <c r="ING225" s="801"/>
      <c r="INH225" s="802"/>
      <c r="INI225" s="800"/>
      <c r="INJ225" s="801"/>
      <c r="INK225" s="801"/>
      <c r="INL225" s="801"/>
      <c r="INM225" s="801"/>
      <c r="INN225" s="802"/>
      <c r="INO225" s="800"/>
      <c r="INP225" s="801"/>
      <c r="INQ225" s="801"/>
      <c r="INR225" s="801"/>
      <c r="INS225" s="801"/>
      <c r="INT225" s="802"/>
      <c r="INU225" s="800"/>
      <c r="INV225" s="801"/>
      <c r="INW225" s="801"/>
      <c r="INX225" s="801"/>
      <c r="INY225" s="801"/>
      <c r="INZ225" s="802"/>
      <c r="IOA225" s="800"/>
      <c r="IOB225" s="801"/>
      <c r="IOC225" s="801"/>
      <c r="IOD225" s="801"/>
      <c r="IOE225" s="801"/>
      <c r="IOF225" s="802"/>
      <c r="IOG225" s="800"/>
      <c r="IOH225" s="801"/>
      <c r="IOI225" s="801"/>
      <c r="IOJ225" s="801"/>
      <c r="IOK225" s="801"/>
      <c r="IOL225" s="802"/>
      <c r="IOM225" s="800"/>
      <c r="ION225" s="801"/>
      <c r="IOO225" s="801"/>
      <c r="IOP225" s="801"/>
      <c r="IOQ225" s="801"/>
      <c r="IOR225" s="802"/>
      <c r="IOS225" s="800"/>
      <c r="IOT225" s="801"/>
      <c r="IOU225" s="801"/>
      <c r="IOV225" s="801"/>
      <c r="IOW225" s="801"/>
      <c r="IOX225" s="802"/>
      <c r="IOY225" s="800"/>
      <c r="IOZ225" s="801"/>
      <c r="IPA225" s="801"/>
      <c r="IPB225" s="801"/>
      <c r="IPC225" s="801"/>
      <c r="IPD225" s="802"/>
      <c r="IPE225" s="800"/>
      <c r="IPF225" s="801"/>
      <c r="IPG225" s="801"/>
      <c r="IPH225" s="801"/>
      <c r="IPI225" s="801"/>
      <c r="IPJ225" s="802"/>
      <c r="IPK225" s="800"/>
      <c r="IPL225" s="801"/>
      <c r="IPM225" s="801"/>
      <c r="IPN225" s="801"/>
      <c r="IPO225" s="801"/>
      <c r="IPP225" s="802"/>
      <c r="IPQ225" s="800"/>
      <c r="IPR225" s="801"/>
      <c r="IPS225" s="801"/>
      <c r="IPT225" s="801"/>
      <c r="IPU225" s="801"/>
      <c r="IPV225" s="802"/>
      <c r="IPW225" s="800"/>
      <c r="IPX225" s="801"/>
      <c r="IPY225" s="801"/>
      <c r="IPZ225" s="801"/>
      <c r="IQA225" s="801"/>
      <c r="IQB225" s="802"/>
      <c r="IQC225" s="800"/>
      <c r="IQD225" s="801"/>
      <c r="IQE225" s="801"/>
      <c r="IQF225" s="801"/>
      <c r="IQG225" s="801"/>
      <c r="IQH225" s="802"/>
      <c r="IQI225" s="800"/>
      <c r="IQJ225" s="801"/>
      <c r="IQK225" s="801"/>
      <c r="IQL225" s="801"/>
      <c r="IQM225" s="801"/>
      <c r="IQN225" s="802"/>
      <c r="IQO225" s="800"/>
      <c r="IQP225" s="801"/>
      <c r="IQQ225" s="801"/>
      <c r="IQR225" s="801"/>
      <c r="IQS225" s="801"/>
      <c r="IQT225" s="802"/>
      <c r="IQU225" s="800"/>
      <c r="IQV225" s="801"/>
      <c r="IQW225" s="801"/>
      <c r="IQX225" s="801"/>
      <c r="IQY225" s="801"/>
      <c r="IQZ225" s="802"/>
      <c r="IRA225" s="800"/>
      <c r="IRB225" s="801"/>
      <c r="IRC225" s="801"/>
      <c r="IRD225" s="801"/>
      <c r="IRE225" s="801"/>
      <c r="IRF225" s="802"/>
      <c r="IRG225" s="800"/>
      <c r="IRH225" s="801"/>
      <c r="IRI225" s="801"/>
      <c r="IRJ225" s="801"/>
      <c r="IRK225" s="801"/>
      <c r="IRL225" s="802"/>
      <c r="IRM225" s="800"/>
      <c r="IRN225" s="801"/>
      <c r="IRO225" s="801"/>
      <c r="IRP225" s="801"/>
      <c r="IRQ225" s="801"/>
      <c r="IRR225" s="802"/>
      <c r="IRS225" s="800"/>
      <c r="IRT225" s="801"/>
      <c r="IRU225" s="801"/>
      <c r="IRV225" s="801"/>
      <c r="IRW225" s="801"/>
      <c r="IRX225" s="802"/>
      <c r="IRY225" s="800"/>
      <c r="IRZ225" s="801"/>
      <c r="ISA225" s="801"/>
      <c r="ISB225" s="801"/>
      <c r="ISC225" s="801"/>
      <c r="ISD225" s="802"/>
      <c r="ISE225" s="800"/>
      <c r="ISF225" s="801"/>
      <c r="ISG225" s="801"/>
      <c r="ISH225" s="801"/>
      <c r="ISI225" s="801"/>
      <c r="ISJ225" s="802"/>
      <c r="ISK225" s="800"/>
      <c r="ISL225" s="801"/>
      <c r="ISM225" s="801"/>
      <c r="ISN225" s="801"/>
      <c r="ISO225" s="801"/>
      <c r="ISP225" s="802"/>
      <c r="ISQ225" s="800"/>
      <c r="ISR225" s="801"/>
      <c r="ISS225" s="801"/>
      <c r="IST225" s="801"/>
      <c r="ISU225" s="801"/>
      <c r="ISV225" s="802"/>
      <c r="ISW225" s="800"/>
      <c r="ISX225" s="801"/>
      <c r="ISY225" s="801"/>
      <c r="ISZ225" s="801"/>
      <c r="ITA225" s="801"/>
      <c r="ITB225" s="802"/>
      <c r="ITC225" s="800"/>
      <c r="ITD225" s="801"/>
      <c r="ITE225" s="801"/>
      <c r="ITF225" s="801"/>
      <c r="ITG225" s="801"/>
      <c r="ITH225" s="802"/>
      <c r="ITI225" s="800"/>
      <c r="ITJ225" s="801"/>
      <c r="ITK225" s="801"/>
      <c r="ITL225" s="801"/>
      <c r="ITM225" s="801"/>
      <c r="ITN225" s="802"/>
      <c r="ITO225" s="800"/>
      <c r="ITP225" s="801"/>
      <c r="ITQ225" s="801"/>
      <c r="ITR225" s="801"/>
      <c r="ITS225" s="801"/>
      <c r="ITT225" s="802"/>
      <c r="ITU225" s="800"/>
      <c r="ITV225" s="801"/>
      <c r="ITW225" s="801"/>
      <c r="ITX225" s="801"/>
      <c r="ITY225" s="801"/>
      <c r="ITZ225" s="802"/>
      <c r="IUA225" s="800"/>
      <c r="IUB225" s="801"/>
      <c r="IUC225" s="801"/>
      <c r="IUD225" s="801"/>
      <c r="IUE225" s="801"/>
      <c r="IUF225" s="802"/>
      <c r="IUG225" s="800"/>
      <c r="IUH225" s="801"/>
      <c r="IUI225" s="801"/>
      <c r="IUJ225" s="801"/>
      <c r="IUK225" s="801"/>
      <c r="IUL225" s="802"/>
      <c r="IUM225" s="800"/>
      <c r="IUN225" s="801"/>
      <c r="IUO225" s="801"/>
      <c r="IUP225" s="801"/>
      <c r="IUQ225" s="801"/>
      <c r="IUR225" s="802"/>
      <c r="IUS225" s="800"/>
      <c r="IUT225" s="801"/>
      <c r="IUU225" s="801"/>
      <c r="IUV225" s="801"/>
      <c r="IUW225" s="801"/>
      <c r="IUX225" s="802"/>
      <c r="IUY225" s="800"/>
      <c r="IUZ225" s="801"/>
      <c r="IVA225" s="801"/>
      <c r="IVB225" s="801"/>
      <c r="IVC225" s="801"/>
      <c r="IVD225" s="802"/>
      <c r="IVE225" s="800"/>
      <c r="IVF225" s="801"/>
      <c r="IVG225" s="801"/>
      <c r="IVH225" s="801"/>
      <c r="IVI225" s="801"/>
      <c r="IVJ225" s="802"/>
      <c r="IVK225" s="800"/>
      <c r="IVL225" s="801"/>
      <c r="IVM225" s="801"/>
      <c r="IVN225" s="801"/>
      <c r="IVO225" s="801"/>
      <c r="IVP225" s="802"/>
      <c r="IVQ225" s="800"/>
      <c r="IVR225" s="801"/>
      <c r="IVS225" s="801"/>
      <c r="IVT225" s="801"/>
      <c r="IVU225" s="801"/>
      <c r="IVV225" s="802"/>
      <c r="IVW225" s="800"/>
      <c r="IVX225" s="801"/>
      <c r="IVY225" s="801"/>
      <c r="IVZ225" s="801"/>
      <c r="IWA225" s="801"/>
      <c r="IWB225" s="802"/>
      <c r="IWC225" s="800"/>
      <c r="IWD225" s="801"/>
      <c r="IWE225" s="801"/>
      <c r="IWF225" s="801"/>
      <c r="IWG225" s="801"/>
      <c r="IWH225" s="802"/>
      <c r="IWI225" s="800"/>
      <c r="IWJ225" s="801"/>
      <c r="IWK225" s="801"/>
      <c r="IWL225" s="801"/>
      <c r="IWM225" s="801"/>
      <c r="IWN225" s="802"/>
      <c r="IWO225" s="800"/>
      <c r="IWP225" s="801"/>
      <c r="IWQ225" s="801"/>
      <c r="IWR225" s="801"/>
      <c r="IWS225" s="801"/>
      <c r="IWT225" s="802"/>
      <c r="IWU225" s="800"/>
      <c r="IWV225" s="801"/>
      <c r="IWW225" s="801"/>
      <c r="IWX225" s="801"/>
      <c r="IWY225" s="801"/>
      <c r="IWZ225" s="802"/>
      <c r="IXA225" s="800"/>
      <c r="IXB225" s="801"/>
      <c r="IXC225" s="801"/>
      <c r="IXD225" s="801"/>
      <c r="IXE225" s="801"/>
      <c r="IXF225" s="802"/>
      <c r="IXG225" s="800"/>
      <c r="IXH225" s="801"/>
      <c r="IXI225" s="801"/>
      <c r="IXJ225" s="801"/>
      <c r="IXK225" s="801"/>
      <c r="IXL225" s="802"/>
      <c r="IXM225" s="800"/>
      <c r="IXN225" s="801"/>
      <c r="IXO225" s="801"/>
      <c r="IXP225" s="801"/>
      <c r="IXQ225" s="801"/>
      <c r="IXR225" s="802"/>
      <c r="IXS225" s="800"/>
      <c r="IXT225" s="801"/>
      <c r="IXU225" s="801"/>
      <c r="IXV225" s="801"/>
      <c r="IXW225" s="801"/>
      <c r="IXX225" s="802"/>
      <c r="IXY225" s="800"/>
      <c r="IXZ225" s="801"/>
      <c r="IYA225" s="801"/>
      <c r="IYB225" s="801"/>
      <c r="IYC225" s="801"/>
      <c r="IYD225" s="802"/>
      <c r="IYE225" s="800"/>
      <c r="IYF225" s="801"/>
      <c r="IYG225" s="801"/>
      <c r="IYH225" s="801"/>
      <c r="IYI225" s="801"/>
      <c r="IYJ225" s="802"/>
      <c r="IYK225" s="800"/>
      <c r="IYL225" s="801"/>
      <c r="IYM225" s="801"/>
      <c r="IYN225" s="801"/>
      <c r="IYO225" s="801"/>
      <c r="IYP225" s="802"/>
      <c r="IYQ225" s="800"/>
      <c r="IYR225" s="801"/>
      <c r="IYS225" s="801"/>
      <c r="IYT225" s="801"/>
      <c r="IYU225" s="801"/>
      <c r="IYV225" s="802"/>
      <c r="IYW225" s="800"/>
      <c r="IYX225" s="801"/>
      <c r="IYY225" s="801"/>
      <c r="IYZ225" s="801"/>
      <c r="IZA225" s="801"/>
      <c r="IZB225" s="802"/>
      <c r="IZC225" s="800"/>
      <c r="IZD225" s="801"/>
      <c r="IZE225" s="801"/>
      <c r="IZF225" s="801"/>
      <c r="IZG225" s="801"/>
      <c r="IZH225" s="802"/>
      <c r="IZI225" s="800"/>
      <c r="IZJ225" s="801"/>
      <c r="IZK225" s="801"/>
      <c r="IZL225" s="801"/>
      <c r="IZM225" s="801"/>
      <c r="IZN225" s="802"/>
      <c r="IZO225" s="800"/>
      <c r="IZP225" s="801"/>
      <c r="IZQ225" s="801"/>
      <c r="IZR225" s="801"/>
      <c r="IZS225" s="801"/>
      <c r="IZT225" s="802"/>
      <c r="IZU225" s="800"/>
      <c r="IZV225" s="801"/>
      <c r="IZW225" s="801"/>
      <c r="IZX225" s="801"/>
      <c r="IZY225" s="801"/>
      <c r="IZZ225" s="802"/>
      <c r="JAA225" s="800"/>
      <c r="JAB225" s="801"/>
      <c r="JAC225" s="801"/>
      <c r="JAD225" s="801"/>
      <c r="JAE225" s="801"/>
      <c r="JAF225" s="802"/>
      <c r="JAG225" s="800"/>
      <c r="JAH225" s="801"/>
      <c r="JAI225" s="801"/>
      <c r="JAJ225" s="801"/>
      <c r="JAK225" s="801"/>
      <c r="JAL225" s="802"/>
      <c r="JAM225" s="800"/>
      <c r="JAN225" s="801"/>
      <c r="JAO225" s="801"/>
      <c r="JAP225" s="801"/>
      <c r="JAQ225" s="801"/>
      <c r="JAR225" s="802"/>
      <c r="JAS225" s="800"/>
      <c r="JAT225" s="801"/>
      <c r="JAU225" s="801"/>
      <c r="JAV225" s="801"/>
      <c r="JAW225" s="801"/>
      <c r="JAX225" s="802"/>
      <c r="JAY225" s="800"/>
      <c r="JAZ225" s="801"/>
      <c r="JBA225" s="801"/>
      <c r="JBB225" s="801"/>
      <c r="JBC225" s="801"/>
      <c r="JBD225" s="802"/>
      <c r="JBE225" s="800"/>
      <c r="JBF225" s="801"/>
      <c r="JBG225" s="801"/>
      <c r="JBH225" s="801"/>
      <c r="JBI225" s="801"/>
      <c r="JBJ225" s="802"/>
      <c r="JBK225" s="800"/>
      <c r="JBL225" s="801"/>
      <c r="JBM225" s="801"/>
      <c r="JBN225" s="801"/>
      <c r="JBO225" s="801"/>
      <c r="JBP225" s="802"/>
      <c r="JBQ225" s="800"/>
      <c r="JBR225" s="801"/>
      <c r="JBS225" s="801"/>
      <c r="JBT225" s="801"/>
      <c r="JBU225" s="801"/>
      <c r="JBV225" s="802"/>
      <c r="JBW225" s="800"/>
      <c r="JBX225" s="801"/>
      <c r="JBY225" s="801"/>
      <c r="JBZ225" s="801"/>
      <c r="JCA225" s="801"/>
      <c r="JCB225" s="802"/>
      <c r="JCC225" s="800"/>
      <c r="JCD225" s="801"/>
      <c r="JCE225" s="801"/>
      <c r="JCF225" s="801"/>
      <c r="JCG225" s="801"/>
      <c r="JCH225" s="802"/>
      <c r="JCI225" s="800"/>
      <c r="JCJ225" s="801"/>
      <c r="JCK225" s="801"/>
      <c r="JCL225" s="801"/>
      <c r="JCM225" s="801"/>
      <c r="JCN225" s="802"/>
      <c r="JCO225" s="800"/>
      <c r="JCP225" s="801"/>
      <c r="JCQ225" s="801"/>
      <c r="JCR225" s="801"/>
      <c r="JCS225" s="801"/>
      <c r="JCT225" s="802"/>
      <c r="JCU225" s="800"/>
      <c r="JCV225" s="801"/>
      <c r="JCW225" s="801"/>
      <c r="JCX225" s="801"/>
      <c r="JCY225" s="801"/>
      <c r="JCZ225" s="802"/>
      <c r="JDA225" s="800"/>
      <c r="JDB225" s="801"/>
      <c r="JDC225" s="801"/>
      <c r="JDD225" s="801"/>
      <c r="JDE225" s="801"/>
      <c r="JDF225" s="802"/>
      <c r="JDG225" s="800"/>
      <c r="JDH225" s="801"/>
      <c r="JDI225" s="801"/>
      <c r="JDJ225" s="801"/>
      <c r="JDK225" s="801"/>
      <c r="JDL225" s="802"/>
      <c r="JDM225" s="800"/>
      <c r="JDN225" s="801"/>
      <c r="JDO225" s="801"/>
      <c r="JDP225" s="801"/>
      <c r="JDQ225" s="801"/>
      <c r="JDR225" s="802"/>
      <c r="JDS225" s="800"/>
      <c r="JDT225" s="801"/>
      <c r="JDU225" s="801"/>
      <c r="JDV225" s="801"/>
      <c r="JDW225" s="801"/>
      <c r="JDX225" s="802"/>
      <c r="JDY225" s="800"/>
      <c r="JDZ225" s="801"/>
      <c r="JEA225" s="801"/>
      <c r="JEB225" s="801"/>
      <c r="JEC225" s="801"/>
      <c r="JED225" s="802"/>
      <c r="JEE225" s="800"/>
      <c r="JEF225" s="801"/>
      <c r="JEG225" s="801"/>
      <c r="JEH225" s="801"/>
      <c r="JEI225" s="801"/>
      <c r="JEJ225" s="802"/>
      <c r="JEK225" s="800"/>
      <c r="JEL225" s="801"/>
      <c r="JEM225" s="801"/>
      <c r="JEN225" s="801"/>
      <c r="JEO225" s="801"/>
      <c r="JEP225" s="802"/>
      <c r="JEQ225" s="800"/>
      <c r="JER225" s="801"/>
      <c r="JES225" s="801"/>
      <c r="JET225" s="801"/>
      <c r="JEU225" s="801"/>
      <c r="JEV225" s="802"/>
      <c r="JEW225" s="800"/>
      <c r="JEX225" s="801"/>
      <c r="JEY225" s="801"/>
      <c r="JEZ225" s="801"/>
      <c r="JFA225" s="801"/>
      <c r="JFB225" s="802"/>
      <c r="JFC225" s="800"/>
      <c r="JFD225" s="801"/>
      <c r="JFE225" s="801"/>
      <c r="JFF225" s="801"/>
      <c r="JFG225" s="801"/>
      <c r="JFH225" s="802"/>
      <c r="JFI225" s="800"/>
      <c r="JFJ225" s="801"/>
      <c r="JFK225" s="801"/>
      <c r="JFL225" s="801"/>
      <c r="JFM225" s="801"/>
      <c r="JFN225" s="802"/>
      <c r="JFO225" s="800"/>
      <c r="JFP225" s="801"/>
      <c r="JFQ225" s="801"/>
      <c r="JFR225" s="801"/>
      <c r="JFS225" s="801"/>
      <c r="JFT225" s="802"/>
      <c r="JFU225" s="800"/>
      <c r="JFV225" s="801"/>
      <c r="JFW225" s="801"/>
      <c r="JFX225" s="801"/>
      <c r="JFY225" s="801"/>
      <c r="JFZ225" s="802"/>
      <c r="JGA225" s="800"/>
      <c r="JGB225" s="801"/>
      <c r="JGC225" s="801"/>
      <c r="JGD225" s="801"/>
      <c r="JGE225" s="801"/>
      <c r="JGF225" s="802"/>
      <c r="JGG225" s="800"/>
      <c r="JGH225" s="801"/>
      <c r="JGI225" s="801"/>
      <c r="JGJ225" s="801"/>
      <c r="JGK225" s="801"/>
      <c r="JGL225" s="802"/>
      <c r="JGM225" s="800"/>
      <c r="JGN225" s="801"/>
      <c r="JGO225" s="801"/>
      <c r="JGP225" s="801"/>
      <c r="JGQ225" s="801"/>
      <c r="JGR225" s="802"/>
      <c r="JGS225" s="800"/>
      <c r="JGT225" s="801"/>
      <c r="JGU225" s="801"/>
      <c r="JGV225" s="801"/>
      <c r="JGW225" s="801"/>
      <c r="JGX225" s="802"/>
      <c r="JGY225" s="800"/>
      <c r="JGZ225" s="801"/>
      <c r="JHA225" s="801"/>
      <c r="JHB225" s="801"/>
      <c r="JHC225" s="801"/>
      <c r="JHD225" s="802"/>
      <c r="JHE225" s="800"/>
      <c r="JHF225" s="801"/>
      <c r="JHG225" s="801"/>
      <c r="JHH225" s="801"/>
      <c r="JHI225" s="801"/>
      <c r="JHJ225" s="802"/>
      <c r="JHK225" s="800"/>
      <c r="JHL225" s="801"/>
      <c r="JHM225" s="801"/>
      <c r="JHN225" s="801"/>
      <c r="JHO225" s="801"/>
      <c r="JHP225" s="802"/>
      <c r="JHQ225" s="800"/>
      <c r="JHR225" s="801"/>
      <c r="JHS225" s="801"/>
      <c r="JHT225" s="801"/>
      <c r="JHU225" s="801"/>
      <c r="JHV225" s="802"/>
      <c r="JHW225" s="800"/>
      <c r="JHX225" s="801"/>
      <c r="JHY225" s="801"/>
      <c r="JHZ225" s="801"/>
      <c r="JIA225" s="801"/>
      <c r="JIB225" s="802"/>
      <c r="JIC225" s="800"/>
      <c r="JID225" s="801"/>
      <c r="JIE225" s="801"/>
      <c r="JIF225" s="801"/>
      <c r="JIG225" s="801"/>
      <c r="JIH225" s="802"/>
      <c r="JII225" s="800"/>
      <c r="JIJ225" s="801"/>
      <c r="JIK225" s="801"/>
      <c r="JIL225" s="801"/>
      <c r="JIM225" s="801"/>
      <c r="JIN225" s="802"/>
      <c r="JIO225" s="800"/>
      <c r="JIP225" s="801"/>
      <c r="JIQ225" s="801"/>
      <c r="JIR225" s="801"/>
      <c r="JIS225" s="801"/>
      <c r="JIT225" s="802"/>
      <c r="JIU225" s="800"/>
      <c r="JIV225" s="801"/>
      <c r="JIW225" s="801"/>
      <c r="JIX225" s="801"/>
      <c r="JIY225" s="801"/>
      <c r="JIZ225" s="802"/>
      <c r="JJA225" s="800"/>
      <c r="JJB225" s="801"/>
      <c r="JJC225" s="801"/>
      <c r="JJD225" s="801"/>
      <c r="JJE225" s="801"/>
      <c r="JJF225" s="802"/>
      <c r="JJG225" s="800"/>
      <c r="JJH225" s="801"/>
      <c r="JJI225" s="801"/>
      <c r="JJJ225" s="801"/>
      <c r="JJK225" s="801"/>
      <c r="JJL225" s="802"/>
      <c r="JJM225" s="800"/>
      <c r="JJN225" s="801"/>
      <c r="JJO225" s="801"/>
      <c r="JJP225" s="801"/>
      <c r="JJQ225" s="801"/>
      <c r="JJR225" s="802"/>
      <c r="JJS225" s="800"/>
      <c r="JJT225" s="801"/>
      <c r="JJU225" s="801"/>
      <c r="JJV225" s="801"/>
      <c r="JJW225" s="801"/>
      <c r="JJX225" s="802"/>
      <c r="JJY225" s="800"/>
      <c r="JJZ225" s="801"/>
      <c r="JKA225" s="801"/>
      <c r="JKB225" s="801"/>
      <c r="JKC225" s="801"/>
      <c r="JKD225" s="802"/>
      <c r="JKE225" s="800"/>
      <c r="JKF225" s="801"/>
      <c r="JKG225" s="801"/>
      <c r="JKH225" s="801"/>
      <c r="JKI225" s="801"/>
      <c r="JKJ225" s="802"/>
      <c r="JKK225" s="800"/>
      <c r="JKL225" s="801"/>
      <c r="JKM225" s="801"/>
      <c r="JKN225" s="801"/>
      <c r="JKO225" s="801"/>
      <c r="JKP225" s="802"/>
      <c r="JKQ225" s="800"/>
      <c r="JKR225" s="801"/>
      <c r="JKS225" s="801"/>
      <c r="JKT225" s="801"/>
      <c r="JKU225" s="801"/>
      <c r="JKV225" s="802"/>
      <c r="JKW225" s="800"/>
      <c r="JKX225" s="801"/>
      <c r="JKY225" s="801"/>
      <c r="JKZ225" s="801"/>
      <c r="JLA225" s="801"/>
      <c r="JLB225" s="802"/>
      <c r="JLC225" s="800"/>
      <c r="JLD225" s="801"/>
      <c r="JLE225" s="801"/>
      <c r="JLF225" s="801"/>
      <c r="JLG225" s="801"/>
      <c r="JLH225" s="802"/>
      <c r="JLI225" s="800"/>
      <c r="JLJ225" s="801"/>
      <c r="JLK225" s="801"/>
      <c r="JLL225" s="801"/>
      <c r="JLM225" s="801"/>
      <c r="JLN225" s="802"/>
      <c r="JLO225" s="800"/>
      <c r="JLP225" s="801"/>
      <c r="JLQ225" s="801"/>
      <c r="JLR225" s="801"/>
      <c r="JLS225" s="801"/>
      <c r="JLT225" s="802"/>
      <c r="JLU225" s="800"/>
      <c r="JLV225" s="801"/>
      <c r="JLW225" s="801"/>
      <c r="JLX225" s="801"/>
      <c r="JLY225" s="801"/>
      <c r="JLZ225" s="802"/>
      <c r="JMA225" s="800"/>
      <c r="JMB225" s="801"/>
      <c r="JMC225" s="801"/>
      <c r="JMD225" s="801"/>
      <c r="JME225" s="801"/>
      <c r="JMF225" s="802"/>
      <c r="JMG225" s="800"/>
      <c r="JMH225" s="801"/>
      <c r="JMI225" s="801"/>
      <c r="JMJ225" s="801"/>
      <c r="JMK225" s="801"/>
      <c r="JML225" s="802"/>
      <c r="JMM225" s="800"/>
      <c r="JMN225" s="801"/>
      <c r="JMO225" s="801"/>
      <c r="JMP225" s="801"/>
      <c r="JMQ225" s="801"/>
      <c r="JMR225" s="802"/>
      <c r="JMS225" s="800"/>
      <c r="JMT225" s="801"/>
      <c r="JMU225" s="801"/>
      <c r="JMV225" s="801"/>
      <c r="JMW225" s="801"/>
      <c r="JMX225" s="802"/>
      <c r="JMY225" s="800"/>
      <c r="JMZ225" s="801"/>
      <c r="JNA225" s="801"/>
      <c r="JNB225" s="801"/>
      <c r="JNC225" s="801"/>
      <c r="JND225" s="802"/>
      <c r="JNE225" s="800"/>
      <c r="JNF225" s="801"/>
      <c r="JNG225" s="801"/>
      <c r="JNH225" s="801"/>
      <c r="JNI225" s="801"/>
      <c r="JNJ225" s="802"/>
      <c r="JNK225" s="800"/>
      <c r="JNL225" s="801"/>
      <c r="JNM225" s="801"/>
      <c r="JNN225" s="801"/>
      <c r="JNO225" s="801"/>
      <c r="JNP225" s="802"/>
      <c r="JNQ225" s="800"/>
      <c r="JNR225" s="801"/>
      <c r="JNS225" s="801"/>
      <c r="JNT225" s="801"/>
      <c r="JNU225" s="801"/>
      <c r="JNV225" s="802"/>
      <c r="JNW225" s="800"/>
      <c r="JNX225" s="801"/>
      <c r="JNY225" s="801"/>
      <c r="JNZ225" s="801"/>
      <c r="JOA225" s="801"/>
      <c r="JOB225" s="802"/>
      <c r="JOC225" s="800"/>
      <c r="JOD225" s="801"/>
      <c r="JOE225" s="801"/>
      <c r="JOF225" s="801"/>
      <c r="JOG225" s="801"/>
      <c r="JOH225" s="802"/>
      <c r="JOI225" s="800"/>
      <c r="JOJ225" s="801"/>
      <c r="JOK225" s="801"/>
      <c r="JOL225" s="801"/>
      <c r="JOM225" s="801"/>
      <c r="JON225" s="802"/>
      <c r="JOO225" s="800"/>
      <c r="JOP225" s="801"/>
      <c r="JOQ225" s="801"/>
      <c r="JOR225" s="801"/>
      <c r="JOS225" s="801"/>
      <c r="JOT225" s="802"/>
      <c r="JOU225" s="800"/>
      <c r="JOV225" s="801"/>
      <c r="JOW225" s="801"/>
      <c r="JOX225" s="801"/>
      <c r="JOY225" s="801"/>
      <c r="JOZ225" s="802"/>
      <c r="JPA225" s="800"/>
      <c r="JPB225" s="801"/>
      <c r="JPC225" s="801"/>
      <c r="JPD225" s="801"/>
      <c r="JPE225" s="801"/>
      <c r="JPF225" s="802"/>
      <c r="JPG225" s="800"/>
      <c r="JPH225" s="801"/>
      <c r="JPI225" s="801"/>
      <c r="JPJ225" s="801"/>
      <c r="JPK225" s="801"/>
      <c r="JPL225" s="802"/>
      <c r="JPM225" s="800"/>
      <c r="JPN225" s="801"/>
      <c r="JPO225" s="801"/>
      <c r="JPP225" s="801"/>
      <c r="JPQ225" s="801"/>
      <c r="JPR225" s="802"/>
      <c r="JPS225" s="800"/>
      <c r="JPT225" s="801"/>
      <c r="JPU225" s="801"/>
      <c r="JPV225" s="801"/>
      <c r="JPW225" s="801"/>
      <c r="JPX225" s="802"/>
      <c r="JPY225" s="800"/>
      <c r="JPZ225" s="801"/>
      <c r="JQA225" s="801"/>
      <c r="JQB225" s="801"/>
      <c r="JQC225" s="801"/>
      <c r="JQD225" s="802"/>
      <c r="JQE225" s="800"/>
      <c r="JQF225" s="801"/>
      <c r="JQG225" s="801"/>
      <c r="JQH225" s="801"/>
      <c r="JQI225" s="801"/>
      <c r="JQJ225" s="802"/>
      <c r="JQK225" s="800"/>
      <c r="JQL225" s="801"/>
      <c r="JQM225" s="801"/>
      <c r="JQN225" s="801"/>
      <c r="JQO225" s="801"/>
      <c r="JQP225" s="802"/>
      <c r="JQQ225" s="800"/>
      <c r="JQR225" s="801"/>
      <c r="JQS225" s="801"/>
      <c r="JQT225" s="801"/>
      <c r="JQU225" s="801"/>
      <c r="JQV225" s="802"/>
      <c r="JQW225" s="800"/>
      <c r="JQX225" s="801"/>
      <c r="JQY225" s="801"/>
      <c r="JQZ225" s="801"/>
      <c r="JRA225" s="801"/>
      <c r="JRB225" s="802"/>
      <c r="JRC225" s="800"/>
      <c r="JRD225" s="801"/>
      <c r="JRE225" s="801"/>
      <c r="JRF225" s="801"/>
      <c r="JRG225" s="801"/>
      <c r="JRH225" s="802"/>
      <c r="JRI225" s="800"/>
      <c r="JRJ225" s="801"/>
      <c r="JRK225" s="801"/>
      <c r="JRL225" s="801"/>
      <c r="JRM225" s="801"/>
      <c r="JRN225" s="802"/>
      <c r="JRO225" s="800"/>
      <c r="JRP225" s="801"/>
      <c r="JRQ225" s="801"/>
      <c r="JRR225" s="801"/>
      <c r="JRS225" s="801"/>
      <c r="JRT225" s="802"/>
      <c r="JRU225" s="800"/>
      <c r="JRV225" s="801"/>
      <c r="JRW225" s="801"/>
      <c r="JRX225" s="801"/>
      <c r="JRY225" s="801"/>
      <c r="JRZ225" s="802"/>
      <c r="JSA225" s="800"/>
      <c r="JSB225" s="801"/>
      <c r="JSC225" s="801"/>
      <c r="JSD225" s="801"/>
      <c r="JSE225" s="801"/>
      <c r="JSF225" s="802"/>
      <c r="JSG225" s="800"/>
      <c r="JSH225" s="801"/>
      <c r="JSI225" s="801"/>
      <c r="JSJ225" s="801"/>
      <c r="JSK225" s="801"/>
      <c r="JSL225" s="802"/>
      <c r="JSM225" s="800"/>
      <c r="JSN225" s="801"/>
      <c r="JSO225" s="801"/>
      <c r="JSP225" s="801"/>
      <c r="JSQ225" s="801"/>
      <c r="JSR225" s="802"/>
      <c r="JSS225" s="800"/>
      <c r="JST225" s="801"/>
      <c r="JSU225" s="801"/>
      <c r="JSV225" s="801"/>
      <c r="JSW225" s="801"/>
      <c r="JSX225" s="802"/>
      <c r="JSY225" s="800"/>
      <c r="JSZ225" s="801"/>
      <c r="JTA225" s="801"/>
      <c r="JTB225" s="801"/>
      <c r="JTC225" s="801"/>
      <c r="JTD225" s="802"/>
      <c r="JTE225" s="800"/>
      <c r="JTF225" s="801"/>
      <c r="JTG225" s="801"/>
      <c r="JTH225" s="801"/>
      <c r="JTI225" s="801"/>
      <c r="JTJ225" s="802"/>
      <c r="JTK225" s="800"/>
      <c r="JTL225" s="801"/>
      <c r="JTM225" s="801"/>
      <c r="JTN225" s="801"/>
      <c r="JTO225" s="801"/>
      <c r="JTP225" s="802"/>
      <c r="JTQ225" s="800"/>
      <c r="JTR225" s="801"/>
      <c r="JTS225" s="801"/>
      <c r="JTT225" s="801"/>
      <c r="JTU225" s="801"/>
      <c r="JTV225" s="802"/>
      <c r="JTW225" s="800"/>
      <c r="JTX225" s="801"/>
      <c r="JTY225" s="801"/>
      <c r="JTZ225" s="801"/>
      <c r="JUA225" s="801"/>
      <c r="JUB225" s="802"/>
      <c r="JUC225" s="800"/>
      <c r="JUD225" s="801"/>
      <c r="JUE225" s="801"/>
      <c r="JUF225" s="801"/>
      <c r="JUG225" s="801"/>
      <c r="JUH225" s="802"/>
      <c r="JUI225" s="800"/>
      <c r="JUJ225" s="801"/>
      <c r="JUK225" s="801"/>
      <c r="JUL225" s="801"/>
      <c r="JUM225" s="801"/>
      <c r="JUN225" s="802"/>
      <c r="JUO225" s="800"/>
      <c r="JUP225" s="801"/>
      <c r="JUQ225" s="801"/>
      <c r="JUR225" s="801"/>
      <c r="JUS225" s="801"/>
      <c r="JUT225" s="802"/>
      <c r="JUU225" s="800"/>
      <c r="JUV225" s="801"/>
      <c r="JUW225" s="801"/>
      <c r="JUX225" s="801"/>
      <c r="JUY225" s="801"/>
      <c r="JUZ225" s="802"/>
      <c r="JVA225" s="800"/>
      <c r="JVB225" s="801"/>
      <c r="JVC225" s="801"/>
      <c r="JVD225" s="801"/>
      <c r="JVE225" s="801"/>
      <c r="JVF225" s="802"/>
      <c r="JVG225" s="800"/>
      <c r="JVH225" s="801"/>
      <c r="JVI225" s="801"/>
      <c r="JVJ225" s="801"/>
      <c r="JVK225" s="801"/>
      <c r="JVL225" s="802"/>
      <c r="JVM225" s="800"/>
      <c r="JVN225" s="801"/>
      <c r="JVO225" s="801"/>
      <c r="JVP225" s="801"/>
      <c r="JVQ225" s="801"/>
      <c r="JVR225" s="802"/>
      <c r="JVS225" s="800"/>
      <c r="JVT225" s="801"/>
      <c r="JVU225" s="801"/>
      <c r="JVV225" s="801"/>
      <c r="JVW225" s="801"/>
      <c r="JVX225" s="802"/>
      <c r="JVY225" s="800"/>
      <c r="JVZ225" s="801"/>
      <c r="JWA225" s="801"/>
      <c r="JWB225" s="801"/>
      <c r="JWC225" s="801"/>
      <c r="JWD225" s="802"/>
      <c r="JWE225" s="800"/>
      <c r="JWF225" s="801"/>
      <c r="JWG225" s="801"/>
      <c r="JWH225" s="801"/>
      <c r="JWI225" s="801"/>
      <c r="JWJ225" s="802"/>
      <c r="JWK225" s="800"/>
      <c r="JWL225" s="801"/>
      <c r="JWM225" s="801"/>
      <c r="JWN225" s="801"/>
      <c r="JWO225" s="801"/>
      <c r="JWP225" s="802"/>
      <c r="JWQ225" s="800"/>
      <c r="JWR225" s="801"/>
      <c r="JWS225" s="801"/>
      <c r="JWT225" s="801"/>
      <c r="JWU225" s="801"/>
      <c r="JWV225" s="802"/>
      <c r="JWW225" s="800"/>
      <c r="JWX225" s="801"/>
      <c r="JWY225" s="801"/>
      <c r="JWZ225" s="801"/>
      <c r="JXA225" s="801"/>
      <c r="JXB225" s="802"/>
      <c r="JXC225" s="800"/>
      <c r="JXD225" s="801"/>
      <c r="JXE225" s="801"/>
      <c r="JXF225" s="801"/>
      <c r="JXG225" s="801"/>
      <c r="JXH225" s="802"/>
      <c r="JXI225" s="800"/>
      <c r="JXJ225" s="801"/>
      <c r="JXK225" s="801"/>
      <c r="JXL225" s="801"/>
      <c r="JXM225" s="801"/>
      <c r="JXN225" s="802"/>
      <c r="JXO225" s="800"/>
      <c r="JXP225" s="801"/>
      <c r="JXQ225" s="801"/>
      <c r="JXR225" s="801"/>
      <c r="JXS225" s="801"/>
      <c r="JXT225" s="802"/>
      <c r="JXU225" s="800"/>
      <c r="JXV225" s="801"/>
      <c r="JXW225" s="801"/>
      <c r="JXX225" s="801"/>
      <c r="JXY225" s="801"/>
      <c r="JXZ225" s="802"/>
      <c r="JYA225" s="800"/>
      <c r="JYB225" s="801"/>
      <c r="JYC225" s="801"/>
      <c r="JYD225" s="801"/>
      <c r="JYE225" s="801"/>
      <c r="JYF225" s="802"/>
      <c r="JYG225" s="800"/>
      <c r="JYH225" s="801"/>
      <c r="JYI225" s="801"/>
      <c r="JYJ225" s="801"/>
      <c r="JYK225" s="801"/>
      <c r="JYL225" s="802"/>
      <c r="JYM225" s="800"/>
      <c r="JYN225" s="801"/>
      <c r="JYO225" s="801"/>
      <c r="JYP225" s="801"/>
      <c r="JYQ225" s="801"/>
      <c r="JYR225" s="802"/>
      <c r="JYS225" s="800"/>
      <c r="JYT225" s="801"/>
      <c r="JYU225" s="801"/>
      <c r="JYV225" s="801"/>
      <c r="JYW225" s="801"/>
      <c r="JYX225" s="802"/>
      <c r="JYY225" s="800"/>
      <c r="JYZ225" s="801"/>
      <c r="JZA225" s="801"/>
      <c r="JZB225" s="801"/>
      <c r="JZC225" s="801"/>
      <c r="JZD225" s="802"/>
      <c r="JZE225" s="800"/>
      <c r="JZF225" s="801"/>
      <c r="JZG225" s="801"/>
      <c r="JZH225" s="801"/>
      <c r="JZI225" s="801"/>
      <c r="JZJ225" s="802"/>
      <c r="JZK225" s="800"/>
      <c r="JZL225" s="801"/>
      <c r="JZM225" s="801"/>
      <c r="JZN225" s="801"/>
      <c r="JZO225" s="801"/>
      <c r="JZP225" s="802"/>
      <c r="JZQ225" s="800"/>
      <c r="JZR225" s="801"/>
      <c r="JZS225" s="801"/>
      <c r="JZT225" s="801"/>
      <c r="JZU225" s="801"/>
      <c r="JZV225" s="802"/>
      <c r="JZW225" s="800"/>
      <c r="JZX225" s="801"/>
      <c r="JZY225" s="801"/>
      <c r="JZZ225" s="801"/>
      <c r="KAA225" s="801"/>
      <c r="KAB225" s="802"/>
      <c r="KAC225" s="800"/>
      <c r="KAD225" s="801"/>
      <c r="KAE225" s="801"/>
      <c r="KAF225" s="801"/>
      <c r="KAG225" s="801"/>
      <c r="KAH225" s="802"/>
      <c r="KAI225" s="800"/>
      <c r="KAJ225" s="801"/>
      <c r="KAK225" s="801"/>
      <c r="KAL225" s="801"/>
      <c r="KAM225" s="801"/>
      <c r="KAN225" s="802"/>
      <c r="KAO225" s="800"/>
      <c r="KAP225" s="801"/>
      <c r="KAQ225" s="801"/>
      <c r="KAR225" s="801"/>
      <c r="KAS225" s="801"/>
      <c r="KAT225" s="802"/>
      <c r="KAU225" s="800"/>
      <c r="KAV225" s="801"/>
      <c r="KAW225" s="801"/>
      <c r="KAX225" s="801"/>
      <c r="KAY225" s="801"/>
      <c r="KAZ225" s="802"/>
      <c r="KBA225" s="800"/>
      <c r="KBB225" s="801"/>
      <c r="KBC225" s="801"/>
      <c r="KBD225" s="801"/>
      <c r="KBE225" s="801"/>
      <c r="KBF225" s="802"/>
      <c r="KBG225" s="800"/>
      <c r="KBH225" s="801"/>
      <c r="KBI225" s="801"/>
      <c r="KBJ225" s="801"/>
      <c r="KBK225" s="801"/>
      <c r="KBL225" s="802"/>
      <c r="KBM225" s="800"/>
      <c r="KBN225" s="801"/>
      <c r="KBO225" s="801"/>
      <c r="KBP225" s="801"/>
      <c r="KBQ225" s="801"/>
      <c r="KBR225" s="802"/>
      <c r="KBS225" s="800"/>
      <c r="KBT225" s="801"/>
      <c r="KBU225" s="801"/>
      <c r="KBV225" s="801"/>
      <c r="KBW225" s="801"/>
      <c r="KBX225" s="802"/>
      <c r="KBY225" s="800"/>
      <c r="KBZ225" s="801"/>
      <c r="KCA225" s="801"/>
      <c r="KCB225" s="801"/>
      <c r="KCC225" s="801"/>
      <c r="KCD225" s="802"/>
      <c r="KCE225" s="800"/>
      <c r="KCF225" s="801"/>
      <c r="KCG225" s="801"/>
      <c r="KCH225" s="801"/>
      <c r="KCI225" s="801"/>
      <c r="KCJ225" s="802"/>
      <c r="KCK225" s="800"/>
      <c r="KCL225" s="801"/>
      <c r="KCM225" s="801"/>
      <c r="KCN225" s="801"/>
      <c r="KCO225" s="801"/>
      <c r="KCP225" s="802"/>
      <c r="KCQ225" s="800"/>
      <c r="KCR225" s="801"/>
      <c r="KCS225" s="801"/>
      <c r="KCT225" s="801"/>
      <c r="KCU225" s="801"/>
      <c r="KCV225" s="802"/>
      <c r="KCW225" s="800"/>
      <c r="KCX225" s="801"/>
      <c r="KCY225" s="801"/>
      <c r="KCZ225" s="801"/>
      <c r="KDA225" s="801"/>
      <c r="KDB225" s="802"/>
      <c r="KDC225" s="800"/>
      <c r="KDD225" s="801"/>
      <c r="KDE225" s="801"/>
      <c r="KDF225" s="801"/>
      <c r="KDG225" s="801"/>
      <c r="KDH225" s="802"/>
      <c r="KDI225" s="800"/>
      <c r="KDJ225" s="801"/>
      <c r="KDK225" s="801"/>
      <c r="KDL225" s="801"/>
      <c r="KDM225" s="801"/>
      <c r="KDN225" s="802"/>
      <c r="KDO225" s="800"/>
      <c r="KDP225" s="801"/>
      <c r="KDQ225" s="801"/>
      <c r="KDR225" s="801"/>
      <c r="KDS225" s="801"/>
      <c r="KDT225" s="802"/>
      <c r="KDU225" s="800"/>
      <c r="KDV225" s="801"/>
      <c r="KDW225" s="801"/>
      <c r="KDX225" s="801"/>
      <c r="KDY225" s="801"/>
      <c r="KDZ225" s="802"/>
      <c r="KEA225" s="800"/>
      <c r="KEB225" s="801"/>
      <c r="KEC225" s="801"/>
      <c r="KED225" s="801"/>
      <c r="KEE225" s="801"/>
      <c r="KEF225" s="802"/>
      <c r="KEG225" s="800"/>
      <c r="KEH225" s="801"/>
      <c r="KEI225" s="801"/>
      <c r="KEJ225" s="801"/>
      <c r="KEK225" s="801"/>
      <c r="KEL225" s="802"/>
      <c r="KEM225" s="800"/>
      <c r="KEN225" s="801"/>
      <c r="KEO225" s="801"/>
      <c r="KEP225" s="801"/>
      <c r="KEQ225" s="801"/>
      <c r="KER225" s="802"/>
      <c r="KES225" s="800"/>
      <c r="KET225" s="801"/>
      <c r="KEU225" s="801"/>
      <c r="KEV225" s="801"/>
      <c r="KEW225" s="801"/>
      <c r="KEX225" s="802"/>
      <c r="KEY225" s="800"/>
      <c r="KEZ225" s="801"/>
      <c r="KFA225" s="801"/>
      <c r="KFB225" s="801"/>
      <c r="KFC225" s="801"/>
      <c r="KFD225" s="802"/>
      <c r="KFE225" s="800"/>
      <c r="KFF225" s="801"/>
      <c r="KFG225" s="801"/>
      <c r="KFH225" s="801"/>
      <c r="KFI225" s="801"/>
      <c r="KFJ225" s="802"/>
      <c r="KFK225" s="800"/>
      <c r="KFL225" s="801"/>
      <c r="KFM225" s="801"/>
      <c r="KFN225" s="801"/>
      <c r="KFO225" s="801"/>
      <c r="KFP225" s="802"/>
      <c r="KFQ225" s="800"/>
      <c r="KFR225" s="801"/>
      <c r="KFS225" s="801"/>
      <c r="KFT225" s="801"/>
      <c r="KFU225" s="801"/>
      <c r="KFV225" s="802"/>
      <c r="KFW225" s="800"/>
      <c r="KFX225" s="801"/>
      <c r="KFY225" s="801"/>
      <c r="KFZ225" s="801"/>
      <c r="KGA225" s="801"/>
      <c r="KGB225" s="802"/>
      <c r="KGC225" s="800"/>
      <c r="KGD225" s="801"/>
      <c r="KGE225" s="801"/>
      <c r="KGF225" s="801"/>
      <c r="KGG225" s="801"/>
      <c r="KGH225" s="802"/>
      <c r="KGI225" s="800"/>
      <c r="KGJ225" s="801"/>
      <c r="KGK225" s="801"/>
      <c r="KGL225" s="801"/>
      <c r="KGM225" s="801"/>
      <c r="KGN225" s="802"/>
      <c r="KGO225" s="800"/>
      <c r="KGP225" s="801"/>
      <c r="KGQ225" s="801"/>
      <c r="KGR225" s="801"/>
      <c r="KGS225" s="801"/>
      <c r="KGT225" s="802"/>
      <c r="KGU225" s="800"/>
      <c r="KGV225" s="801"/>
      <c r="KGW225" s="801"/>
      <c r="KGX225" s="801"/>
      <c r="KGY225" s="801"/>
      <c r="KGZ225" s="802"/>
      <c r="KHA225" s="800"/>
      <c r="KHB225" s="801"/>
      <c r="KHC225" s="801"/>
      <c r="KHD225" s="801"/>
      <c r="KHE225" s="801"/>
      <c r="KHF225" s="802"/>
      <c r="KHG225" s="800"/>
      <c r="KHH225" s="801"/>
      <c r="KHI225" s="801"/>
      <c r="KHJ225" s="801"/>
      <c r="KHK225" s="801"/>
      <c r="KHL225" s="802"/>
      <c r="KHM225" s="800"/>
      <c r="KHN225" s="801"/>
      <c r="KHO225" s="801"/>
      <c r="KHP225" s="801"/>
      <c r="KHQ225" s="801"/>
      <c r="KHR225" s="802"/>
      <c r="KHS225" s="800"/>
      <c r="KHT225" s="801"/>
      <c r="KHU225" s="801"/>
      <c r="KHV225" s="801"/>
      <c r="KHW225" s="801"/>
      <c r="KHX225" s="802"/>
      <c r="KHY225" s="800"/>
      <c r="KHZ225" s="801"/>
      <c r="KIA225" s="801"/>
      <c r="KIB225" s="801"/>
      <c r="KIC225" s="801"/>
      <c r="KID225" s="802"/>
      <c r="KIE225" s="800"/>
      <c r="KIF225" s="801"/>
      <c r="KIG225" s="801"/>
      <c r="KIH225" s="801"/>
      <c r="KII225" s="801"/>
      <c r="KIJ225" s="802"/>
      <c r="KIK225" s="800"/>
      <c r="KIL225" s="801"/>
      <c r="KIM225" s="801"/>
      <c r="KIN225" s="801"/>
      <c r="KIO225" s="801"/>
      <c r="KIP225" s="802"/>
      <c r="KIQ225" s="800"/>
      <c r="KIR225" s="801"/>
      <c r="KIS225" s="801"/>
      <c r="KIT225" s="801"/>
      <c r="KIU225" s="801"/>
      <c r="KIV225" s="802"/>
      <c r="KIW225" s="800"/>
      <c r="KIX225" s="801"/>
      <c r="KIY225" s="801"/>
      <c r="KIZ225" s="801"/>
      <c r="KJA225" s="801"/>
      <c r="KJB225" s="802"/>
      <c r="KJC225" s="800"/>
      <c r="KJD225" s="801"/>
      <c r="KJE225" s="801"/>
      <c r="KJF225" s="801"/>
      <c r="KJG225" s="801"/>
      <c r="KJH225" s="802"/>
      <c r="KJI225" s="800"/>
      <c r="KJJ225" s="801"/>
      <c r="KJK225" s="801"/>
      <c r="KJL225" s="801"/>
      <c r="KJM225" s="801"/>
      <c r="KJN225" s="802"/>
      <c r="KJO225" s="800"/>
      <c r="KJP225" s="801"/>
      <c r="KJQ225" s="801"/>
      <c r="KJR225" s="801"/>
      <c r="KJS225" s="801"/>
      <c r="KJT225" s="802"/>
      <c r="KJU225" s="800"/>
      <c r="KJV225" s="801"/>
      <c r="KJW225" s="801"/>
      <c r="KJX225" s="801"/>
      <c r="KJY225" s="801"/>
      <c r="KJZ225" s="802"/>
      <c r="KKA225" s="800"/>
      <c r="KKB225" s="801"/>
      <c r="KKC225" s="801"/>
      <c r="KKD225" s="801"/>
      <c r="KKE225" s="801"/>
      <c r="KKF225" s="802"/>
      <c r="KKG225" s="800"/>
      <c r="KKH225" s="801"/>
      <c r="KKI225" s="801"/>
      <c r="KKJ225" s="801"/>
      <c r="KKK225" s="801"/>
      <c r="KKL225" s="802"/>
      <c r="KKM225" s="800"/>
      <c r="KKN225" s="801"/>
      <c r="KKO225" s="801"/>
      <c r="KKP225" s="801"/>
      <c r="KKQ225" s="801"/>
      <c r="KKR225" s="802"/>
      <c r="KKS225" s="800"/>
      <c r="KKT225" s="801"/>
      <c r="KKU225" s="801"/>
      <c r="KKV225" s="801"/>
      <c r="KKW225" s="801"/>
      <c r="KKX225" s="802"/>
      <c r="KKY225" s="800"/>
      <c r="KKZ225" s="801"/>
      <c r="KLA225" s="801"/>
      <c r="KLB225" s="801"/>
      <c r="KLC225" s="801"/>
      <c r="KLD225" s="802"/>
      <c r="KLE225" s="800"/>
      <c r="KLF225" s="801"/>
      <c r="KLG225" s="801"/>
      <c r="KLH225" s="801"/>
      <c r="KLI225" s="801"/>
      <c r="KLJ225" s="802"/>
      <c r="KLK225" s="800"/>
      <c r="KLL225" s="801"/>
      <c r="KLM225" s="801"/>
      <c r="KLN225" s="801"/>
      <c r="KLO225" s="801"/>
      <c r="KLP225" s="802"/>
      <c r="KLQ225" s="800"/>
      <c r="KLR225" s="801"/>
      <c r="KLS225" s="801"/>
      <c r="KLT225" s="801"/>
      <c r="KLU225" s="801"/>
      <c r="KLV225" s="802"/>
      <c r="KLW225" s="800"/>
      <c r="KLX225" s="801"/>
      <c r="KLY225" s="801"/>
      <c r="KLZ225" s="801"/>
      <c r="KMA225" s="801"/>
      <c r="KMB225" s="802"/>
      <c r="KMC225" s="800"/>
      <c r="KMD225" s="801"/>
      <c r="KME225" s="801"/>
      <c r="KMF225" s="801"/>
      <c r="KMG225" s="801"/>
      <c r="KMH225" s="802"/>
      <c r="KMI225" s="800"/>
      <c r="KMJ225" s="801"/>
      <c r="KMK225" s="801"/>
      <c r="KML225" s="801"/>
      <c r="KMM225" s="801"/>
      <c r="KMN225" s="802"/>
      <c r="KMO225" s="800"/>
      <c r="KMP225" s="801"/>
      <c r="KMQ225" s="801"/>
      <c r="KMR225" s="801"/>
      <c r="KMS225" s="801"/>
      <c r="KMT225" s="802"/>
      <c r="KMU225" s="800"/>
      <c r="KMV225" s="801"/>
      <c r="KMW225" s="801"/>
      <c r="KMX225" s="801"/>
      <c r="KMY225" s="801"/>
      <c r="KMZ225" s="802"/>
      <c r="KNA225" s="800"/>
      <c r="KNB225" s="801"/>
      <c r="KNC225" s="801"/>
      <c r="KND225" s="801"/>
      <c r="KNE225" s="801"/>
      <c r="KNF225" s="802"/>
      <c r="KNG225" s="800"/>
      <c r="KNH225" s="801"/>
      <c r="KNI225" s="801"/>
      <c r="KNJ225" s="801"/>
      <c r="KNK225" s="801"/>
      <c r="KNL225" s="802"/>
      <c r="KNM225" s="800"/>
      <c r="KNN225" s="801"/>
      <c r="KNO225" s="801"/>
      <c r="KNP225" s="801"/>
      <c r="KNQ225" s="801"/>
      <c r="KNR225" s="802"/>
      <c r="KNS225" s="800"/>
      <c r="KNT225" s="801"/>
      <c r="KNU225" s="801"/>
      <c r="KNV225" s="801"/>
      <c r="KNW225" s="801"/>
      <c r="KNX225" s="802"/>
      <c r="KNY225" s="800"/>
      <c r="KNZ225" s="801"/>
      <c r="KOA225" s="801"/>
      <c r="KOB225" s="801"/>
      <c r="KOC225" s="801"/>
      <c r="KOD225" s="802"/>
      <c r="KOE225" s="800"/>
      <c r="KOF225" s="801"/>
      <c r="KOG225" s="801"/>
      <c r="KOH225" s="801"/>
      <c r="KOI225" s="801"/>
      <c r="KOJ225" s="802"/>
      <c r="KOK225" s="800"/>
      <c r="KOL225" s="801"/>
      <c r="KOM225" s="801"/>
      <c r="KON225" s="801"/>
      <c r="KOO225" s="801"/>
      <c r="KOP225" s="802"/>
      <c r="KOQ225" s="800"/>
      <c r="KOR225" s="801"/>
      <c r="KOS225" s="801"/>
      <c r="KOT225" s="801"/>
      <c r="KOU225" s="801"/>
      <c r="KOV225" s="802"/>
      <c r="KOW225" s="800"/>
      <c r="KOX225" s="801"/>
      <c r="KOY225" s="801"/>
      <c r="KOZ225" s="801"/>
      <c r="KPA225" s="801"/>
      <c r="KPB225" s="802"/>
      <c r="KPC225" s="800"/>
      <c r="KPD225" s="801"/>
      <c r="KPE225" s="801"/>
      <c r="KPF225" s="801"/>
      <c r="KPG225" s="801"/>
      <c r="KPH225" s="802"/>
      <c r="KPI225" s="800"/>
      <c r="KPJ225" s="801"/>
      <c r="KPK225" s="801"/>
      <c r="KPL225" s="801"/>
      <c r="KPM225" s="801"/>
      <c r="KPN225" s="802"/>
      <c r="KPO225" s="800"/>
      <c r="KPP225" s="801"/>
      <c r="KPQ225" s="801"/>
      <c r="KPR225" s="801"/>
      <c r="KPS225" s="801"/>
      <c r="KPT225" s="802"/>
      <c r="KPU225" s="800"/>
      <c r="KPV225" s="801"/>
      <c r="KPW225" s="801"/>
      <c r="KPX225" s="801"/>
      <c r="KPY225" s="801"/>
      <c r="KPZ225" s="802"/>
      <c r="KQA225" s="800"/>
      <c r="KQB225" s="801"/>
      <c r="KQC225" s="801"/>
      <c r="KQD225" s="801"/>
      <c r="KQE225" s="801"/>
      <c r="KQF225" s="802"/>
      <c r="KQG225" s="800"/>
      <c r="KQH225" s="801"/>
      <c r="KQI225" s="801"/>
      <c r="KQJ225" s="801"/>
      <c r="KQK225" s="801"/>
      <c r="KQL225" s="802"/>
      <c r="KQM225" s="800"/>
      <c r="KQN225" s="801"/>
      <c r="KQO225" s="801"/>
      <c r="KQP225" s="801"/>
      <c r="KQQ225" s="801"/>
      <c r="KQR225" s="802"/>
      <c r="KQS225" s="800"/>
      <c r="KQT225" s="801"/>
      <c r="KQU225" s="801"/>
      <c r="KQV225" s="801"/>
      <c r="KQW225" s="801"/>
      <c r="KQX225" s="802"/>
      <c r="KQY225" s="800"/>
      <c r="KQZ225" s="801"/>
      <c r="KRA225" s="801"/>
      <c r="KRB225" s="801"/>
      <c r="KRC225" s="801"/>
      <c r="KRD225" s="802"/>
      <c r="KRE225" s="800"/>
      <c r="KRF225" s="801"/>
      <c r="KRG225" s="801"/>
      <c r="KRH225" s="801"/>
      <c r="KRI225" s="801"/>
      <c r="KRJ225" s="802"/>
      <c r="KRK225" s="800"/>
      <c r="KRL225" s="801"/>
      <c r="KRM225" s="801"/>
      <c r="KRN225" s="801"/>
      <c r="KRO225" s="801"/>
      <c r="KRP225" s="802"/>
      <c r="KRQ225" s="800"/>
      <c r="KRR225" s="801"/>
      <c r="KRS225" s="801"/>
      <c r="KRT225" s="801"/>
      <c r="KRU225" s="801"/>
      <c r="KRV225" s="802"/>
      <c r="KRW225" s="800"/>
      <c r="KRX225" s="801"/>
      <c r="KRY225" s="801"/>
      <c r="KRZ225" s="801"/>
      <c r="KSA225" s="801"/>
      <c r="KSB225" s="802"/>
      <c r="KSC225" s="800"/>
      <c r="KSD225" s="801"/>
      <c r="KSE225" s="801"/>
      <c r="KSF225" s="801"/>
      <c r="KSG225" s="801"/>
      <c r="KSH225" s="802"/>
      <c r="KSI225" s="800"/>
      <c r="KSJ225" s="801"/>
      <c r="KSK225" s="801"/>
      <c r="KSL225" s="801"/>
      <c r="KSM225" s="801"/>
      <c r="KSN225" s="802"/>
      <c r="KSO225" s="800"/>
      <c r="KSP225" s="801"/>
      <c r="KSQ225" s="801"/>
      <c r="KSR225" s="801"/>
      <c r="KSS225" s="801"/>
      <c r="KST225" s="802"/>
      <c r="KSU225" s="800"/>
      <c r="KSV225" s="801"/>
      <c r="KSW225" s="801"/>
      <c r="KSX225" s="801"/>
      <c r="KSY225" s="801"/>
      <c r="KSZ225" s="802"/>
      <c r="KTA225" s="800"/>
      <c r="KTB225" s="801"/>
      <c r="KTC225" s="801"/>
      <c r="KTD225" s="801"/>
      <c r="KTE225" s="801"/>
      <c r="KTF225" s="802"/>
      <c r="KTG225" s="800"/>
      <c r="KTH225" s="801"/>
      <c r="KTI225" s="801"/>
      <c r="KTJ225" s="801"/>
      <c r="KTK225" s="801"/>
      <c r="KTL225" s="802"/>
      <c r="KTM225" s="800"/>
      <c r="KTN225" s="801"/>
      <c r="KTO225" s="801"/>
      <c r="KTP225" s="801"/>
      <c r="KTQ225" s="801"/>
      <c r="KTR225" s="802"/>
      <c r="KTS225" s="800"/>
      <c r="KTT225" s="801"/>
      <c r="KTU225" s="801"/>
      <c r="KTV225" s="801"/>
      <c r="KTW225" s="801"/>
      <c r="KTX225" s="802"/>
      <c r="KTY225" s="800"/>
      <c r="KTZ225" s="801"/>
      <c r="KUA225" s="801"/>
      <c r="KUB225" s="801"/>
      <c r="KUC225" s="801"/>
      <c r="KUD225" s="802"/>
      <c r="KUE225" s="800"/>
      <c r="KUF225" s="801"/>
      <c r="KUG225" s="801"/>
      <c r="KUH225" s="801"/>
      <c r="KUI225" s="801"/>
      <c r="KUJ225" s="802"/>
      <c r="KUK225" s="800"/>
      <c r="KUL225" s="801"/>
      <c r="KUM225" s="801"/>
      <c r="KUN225" s="801"/>
      <c r="KUO225" s="801"/>
      <c r="KUP225" s="802"/>
      <c r="KUQ225" s="800"/>
      <c r="KUR225" s="801"/>
      <c r="KUS225" s="801"/>
      <c r="KUT225" s="801"/>
      <c r="KUU225" s="801"/>
      <c r="KUV225" s="802"/>
      <c r="KUW225" s="800"/>
      <c r="KUX225" s="801"/>
      <c r="KUY225" s="801"/>
      <c r="KUZ225" s="801"/>
      <c r="KVA225" s="801"/>
      <c r="KVB225" s="802"/>
      <c r="KVC225" s="800"/>
      <c r="KVD225" s="801"/>
      <c r="KVE225" s="801"/>
      <c r="KVF225" s="801"/>
      <c r="KVG225" s="801"/>
      <c r="KVH225" s="802"/>
      <c r="KVI225" s="800"/>
      <c r="KVJ225" s="801"/>
      <c r="KVK225" s="801"/>
      <c r="KVL225" s="801"/>
      <c r="KVM225" s="801"/>
      <c r="KVN225" s="802"/>
      <c r="KVO225" s="800"/>
      <c r="KVP225" s="801"/>
      <c r="KVQ225" s="801"/>
      <c r="KVR225" s="801"/>
      <c r="KVS225" s="801"/>
      <c r="KVT225" s="802"/>
      <c r="KVU225" s="800"/>
      <c r="KVV225" s="801"/>
      <c r="KVW225" s="801"/>
      <c r="KVX225" s="801"/>
      <c r="KVY225" s="801"/>
      <c r="KVZ225" s="802"/>
      <c r="KWA225" s="800"/>
      <c r="KWB225" s="801"/>
      <c r="KWC225" s="801"/>
      <c r="KWD225" s="801"/>
      <c r="KWE225" s="801"/>
      <c r="KWF225" s="802"/>
      <c r="KWG225" s="800"/>
      <c r="KWH225" s="801"/>
      <c r="KWI225" s="801"/>
      <c r="KWJ225" s="801"/>
      <c r="KWK225" s="801"/>
      <c r="KWL225" s="802"/>
      <c r="KWM225" s="800"/>
      <c r="KWN225" s="801"/>
      <c r="KWO225" s="801"/>
      <c r="KWP225" s="801"/>
      <c r="KWQ225" s="801"/>
      <c r="KWR225" s="802"/>
      <c r="KWS225" s="800"/>
      <c r="KWT225" s="801"/>
      <c r="KWU225" s="801"/>
      <c r="KWV225" s="801"/>
      <c r="KWW225" s="801"/>
      <c r="KWX225" s="802"/>
      <c r="KWY225" s="800"/>
      <c r="KWZ225" s="801"/>
      <c r="KXA225" s="801"/>
      <c r="KXB225" s="801"/>
      <c r="KXC225" s="801"/>
      <c r="KXD225" s="802"/>
      <c r="KXE225" s="800"/>
      <c r="KXF225" s="801"/>
      <c r="KXG225" s="801"/>
      <c r="KXH225" s="801"/>
      <c r="KXI225" s="801"/>
      <c r="KXJ225" s="802"/>
      <c r="KXK225" s="800"/>
      <c r="KXL225" s="801"/>
      <c r="KXM225" s="801"/>
      <c r="KXN225" s="801"/>
      <c r="KXO225" s="801"/>
      <c r="KXP225" s="802"/>
      <c r="KXQ225" s="800"/>
      <c r="KXR225" s="801"/>
      <c r="KXS225" s="801"/>
      <c r="KXT225" s="801"/>
      <c r="KXU225" s="801"/>
      <c r="KXV225" s="802"/>
      <c r="KXW225" s="800"/>
      <c r="KXX225" s="801"/>
      <c r="KXY225" s="801"/>
      <c r="KXZ225" s="801"/>
      <c r="KYA225" s="801"/>
      <c r="KYB225" s="802"/>
      <c r="KYC225" s="800"/>
      <c r="KYD225" s="801"/>
      <c r="KYE225" s="801"/>
      <c r="KYF225" s="801"/>
      <c r="KYG225" s="801"/>
      <c r="KYH225" s="802"/>
      <c r="KYI225" s="800"/>
      <c r="KYJ225" s="801"/>
      <c r="KYK225" s="801"/>
      <c r="KYL225" s="801"/>
      <c r="KYM225" s="801"/>
      <c r="KYN225" s="802"/>
      <c r="KYO225" s="800"/>
      <c r="KYP225" s="801"/>
      <c r="KYQ225" s="801"/>
      <c r="KYR225" s="801"/>
      <c r="KYS225" s="801"/>
      <c r="KYT225" s="802"/>
      <c r="KYU225" s="800"/>
      <c r="KYV225" s="801"/>
      <c r="KYW225" s="801"/>
      <c r="KYX225" s="801"/>
      <c r="KYY225" s="801"/>
      <c r="KYZ225" s="802"/>
      <c r="KZA225" s="800"/>
      <c r="KZB225" s="801"/>
      <c r="KZC225" s="801"/>
      <c r="KZD225" s="801"/>
      <c r="KZE225" s="801"/>
      <c r="KZF225" s="802"/>
      <c r="KZG225" s="800"/>
      <c r="KZH225" s="801"/>
      <c r="KZI225" s="801"/>
      <c r="KZJ225" s="801"/>
      <c r="KZK225" s="801"/>
      <c r="KZL225" s="802"/>
      <c r="KZM225" s="800"/>
      <c r="KZN225" s="801"/>
      <c r="KZO225" s="801"/>
      <c r="KZP225" s="801"/>
      <c r="KZQ225" s="801"/>
      <c r="KZR225" s="802"/>
      <c r="KZS225" s="800"/>
      <c r="KZT225" s="801"/>
      <c r="KZU225" s="801"/>
      <c r="KZV225" s="801"/>
      <c r="KZW225" s="801"/>
      <c r="KZX225" s="802"/>
      <c r="KZY225" s="800"/>
      <c r="KZZ225" s="801"/>
      <c r="LAA225" s="801"/>
      <c r="LAB225" s="801"/>
      <c r="LAC225" s="801"/>
      <c r="LAD225" s="802"/>
      <c r="LAE225" s="800"/>
      <c r="LAF225" s="801"/>
      <c r="LAG225" s="801"/>
      <c r="LAH225" s="801"/>
      <c r="LAI225" s="801"/>
      <c r="LAJ225" s="802"/>
      <c r="LAK225" s="800"/>
      <c r="LAL225" s="801"/>
      <c r="LAM225" s="801"/>
      <c r="LAN225" s="801"/>
      <c r="LAO225" s="801"/>
      <c r="LAP225" s="802"/>
      <c r="LAQ225" s="800"/>
      <c r="LAR225" s="801"/>
      <c r="LAS225" s="801"/>
      <c r="LAT225" s="801"/>
      <c r="LAU225" s="801"/>
      <c r="LAV225" s="802"/>
      <c r="LAW225" s="800"/>
      <c r="LAX225" s="801"/>
      <c r="LAY225" s="801"/>
      <c r="LAZ225" s="801"/>
      <c r="LBA225" s="801"/>
      <c r="LBB225" s="802"/>
      <c r="LBC225" s="800"/>
      <c r="LBD225" s="801"/>
      <c r="LBE225" s="801"/>
      <c r="LBF225" s="801"/>
      <c r="LBG225" s="801"/>
      <c r="LBH225" s="802"/>
      <c r="LBI225" s="800"/>
      <c r="LBJ225" s="801"/>
      <c r="LBK225" s="801"/>
      <c r="LBL225" s="801"/>
      <c r="LBM225" s="801"/>
      <c r="LBN225" s="802"/>
      <c r="LBO225" s="800"/>
      <c r="LBP225" s="801"/>
      <c r="LBQ225" s="801"/>
      <c r="LBR225" s="801"/>
      <c r="LBS225" s="801"/>
      <c r="LBT225" s="802"/>
      <c r="LBU225" s="800"/>
      <c r="LBV225" s="801"/>
      <c r="LBW225" s="801"/>
      <c r="LBX225" s="801"/>
      <c r="LBY225" s="801"/>
      <c r="LBZ225" s="802"/>
      <c r="LCA225" s="800"/>
      <c r="LCB225" s="801"/>
      <c r="LCC225" s="801"/>
      <c r="LCD225" s="801"/>
      <c r="LCE225" s="801"/>
      <c r="LCF225" s="802"/>
      <c r="LCG225" s="800"/>
      <c r="LCH225" s="801"/>
      <c r="LCI225" s="801"/>
      <c r="LCJ225" s="801"/>
      <c r="LCK225" s="801"/>
      <c r="LCL225" s="802"/>
      <c r="LCM225" s="800"/>
      <c r="LCN225" s="801"/>
      <c r="LCO225" s="801"/>
      <c r="LCP225" s="801"/>
      <c r="LCQ225" s="801"/>
      <c r="LCR225" s="802"/>
      <c r="LCS225" s="800"/>
      <c r="LCT225" s="801"/>
      <c r="LCU225" s="801"/>
      <c r="LCV225" s="801"/>
      <c r="LCW225" s="801"/>
      <c r="LCX225" s="802"/>
      <c r="LCY225" s="800"/>
      <c r="LCZ225" s="801"/>
      <c r="LDA225" s="801"/>
      <c r="LDB225" s="801"/>
      <c r="LDC225" s="801"/>
      <c r="LDD225" s="802"/>
      <c r="LDE225" s="800"/>
      <c r="LDF225" s="801"/>
      <c r="LDG225" s="801"/>
      <c r="LDH225" s="801"/>
      <c r="LDI225" s="801"/>
      <c r="LDJ225" s="802"/>
      <c r="LDK225" s="800"/>
      <c r="LDL225" s="801"/>
      <c r="LDM225" s="801"/>
      <c r="LDN225" s="801"/>
      <c r="LDO225" s="801"/>
      <c r="LDP225" s="802"/>
      <c r="LDQ225" s="800"/>
      <c r="LDR225" s="801"/>
      <c r="LDS225" s="801"/>
      <c r="LDT225" s="801"/>
      <c r="LDU225" s="801"/>
      <c r="LDV225" s="802"/>
      <c r="LDW225" s="800"/>
      <c r="LDX225" s="801"/>
      <c r="LDY225" s="801"/>
      <c r="LDZ225" s="801"/>
      <c r="LEA225" s="801"/>
      <c r="LEB225" s="802"/>
      <c r="LEC225" s="800"/>
      <c r="LED225" s="801"/>
      <c r="LEE225" s="801"/>
      <c r="LEF225" s="801"/>
      <c r="LEG225" s="801"/>
      <c r="LEH225" s="802"/>
      <c r="LEI225" s="800"/>
      <c r="LEJ225" s="801"/>
      <c r="LEK225" s="801"/>
      <c r="LEL225" s="801"/>
      <c r="LEM225" s="801"/>
      <c r="LEN225" s="802"/>
      <c r="LEO225" s="800"/>
      <c r="LEP225" s="801"/>
      <c r="LEQ225" s="801"/>
      <c r="LER225" s="801"/>
      <c r="LES225" s="801"/>
      <c r="LET225" s="802"/>
      <c r="LEU225" s="800"/>
      <c r="LEV225" s="801"/>
      <c r="LEW225" s="801"/>
      <c r="LEX225" s="801"/>
      <c r="LEY225" s="801"/>
      <c r="LEZ225" s="802"/>
      <c r="LFA225" s="800"/>
      <c r="LFB225" s="801"/>
      <c r="LFC225" s="801"/>
      <c r="LFD225" s="801"/>
      <c r="LFE225" s="801"/>
      <c r="LFF225" s="802"/>
      <c r="LFG225" s="800"/>
      <c r="LFH225" s="801"/>
      <c r="LFI225" s="801"/>
      <c r="LFJ225" s="801"/>
      <c r="LFK225" s="801"/>
      <c r="LFL225" s="802"/>
      <c r="LFM225" s="800"/>
      <c r="LFN225" s="801"/>
      <c r="LFO225" s="801"/>
      <c r="LFP225" s="801"/>
      <c r="LFQ225" s="801"/>
      <c r="LFR225" s="802"/>
      <c r="LFS225" s="800"/>
      <c r="LFT225" s="801"/>
      <c r="LFU225" s="801"/>
      <c r="LFV225" s="801"/>
      <c r="LFW225" s="801"/>
      <c r="LFX225" s="802"/>
      <c r="LFY225" s="800"/>
      <c r="LFZ225" s="801"/>
      <c r="LGA225" s="801"/>
      <c r="LGB225" s="801"/>
      <c r="LGC225" s="801"/>
      <c r="LGD225" s="802"/>
      <c r="LGE225" s="800"/>
      <c r="LGF225" s="801"/>
      <c r="LGG225" s="801"/>
      <c r="LGH225" s="801"/>
      <c r="LGI225" s="801"/>
      <c r="LGJ225" s="802"/>
      <c r="LGK225" s="800"/>
      <c r="LGL225" s="801"/>
      <c r="LGM225" s="801"/>
      <c r="LGN225" s="801"/>
      <c r="LGO225" s="801"/>
      <c r="LGP225" s="802"/>
      <c r="LGQ225" s="800"/>
      <c r="LGR225" s="801"/>
      <c r="LGS225" s="801"/>
      <c r="LGT225" s="801"/>
      <c r="LGU225" s="801"/>
      <c r="LGV225" s="802"/>
      <c r="LGW225" s="800"/>
      <c r="LGX225" s="801"/>
      <c r="LGY225" s="801"/>
      <c r="LGZ225" s="801"/>
      <c r="LHA225" s="801"/>
      <c r="LHB225" s="802"/>
      <c r="LHC225" s="800"/>
      <c r="LHD225" s="801"/>
      <c r="LHE225" s="801"/>
      <c r="LHF225" s="801"/>
      <c r="LHG225" s="801"/>
      <c r="LHH225" s="802"/>
      <c r="LHI225" s="800"/>
      <c r="LHJ225" s="801"/>
      <c r="LHK225" s="801"/>
      <c r="LHL225" s="801"/>
      <c r="LHM225" s="801"/>
      <c r="LHN225" s="802"/>
      <c r="LHO225" s="800"/>
      <c r="LHP225" s="801"/>
      <c r="LHQ225" s="801"/>
      <c r="LHR225" s="801"/>
      <c r="LHS225" s="801"/>
      <c r="LHT225" s="802"/>
      <c r="LHU225" s="800"/>
      <c r="LHV225" s="801"/>
      <c r="LHW225" s="801"/>
      <c r="LHX225" s="801"/>
      <c r="LHY225" s="801"/>
      <c r="LHZ225" s="802"/>
      <c r="LIA225" s="800"/>
      <c r="LIB225" s="801"/>
      <c r="LIC225" s="801"/>
      <c r="LID225" s="801"/>
      <c r="LIE225" s="801"/>
      <c r="LIF225" s="802"/>
      <c r="LIG225" s="800"/>
      <c r="LIH225" s="801"/>
      <c r="LII225" s="801"/>
      <c r="LIJ225" s="801"/>
      <c r="LIK225" s="801"/>
      <c r="LIL225" s="802"/>
      <c r="LIM225" s="800"/>
      <c r="LIN225" s="801"/>
      <c r="LIO225" s="801"/>
      <c r="LIP225" s="801"/>
      <c r="LIQ225" s="801"/>
      <c r="LIR225" s="802"/>
      <c r="LIS225" s="800"/>
      <c r="LIT225" s="801"/>
      <c r="LIU225" s="801"/>
      <c r="LIV225" s="801"/>
      <c r="LIW225" s="801"/>
      <c r="LIX225" s="802"/>
      <c r="LIY225" s="800"/>
      <c r="LIZ225" s="801"/>
      <c r="LJA225" s="801"/>
      <c r="LJB225" s="801"/>
      <c r="LJC225" s="801"/>
      <c r="LJD225" s="802"/>
      <c r="LJE225" s="800"/>
      <c r="LJF225" s="801"/>
      <c r="LJG225" s="801"/>
      <c r="LJH225" s="801"/>
      <c r="LJI225" s="801"/>
      <c r="LJJ225" s="802"/>
      <c r="LJK225" s="800"/>
      <c r="LJL225" s="801"/>
      <c r="LJM225" s="801"/>
      <c r="LJN225" s="801"/>
      <c r="LJO225" s="801"/>
      <c r="LJP225" s="802"/>
      <c r="LJQ225" s="800"/>
      <c r="LJR225" s="801"/>
      <c r="LJS225" s="801"/>
      <c r="LJT225" s="801"/>
      <c r="LJU225" s="801"/>
      <c r="LJV225" s="802"/>
      <c r="LJW225" s="800"/>
      <c r="LJX225" s="801"/>
      <c r="LJY225" s="801"/>
      <c r="LJZ225" s="801"/>
      <c r="LKA225" s="801"/>
      <c r="LKB225" s="802"/>
      <c r="LKC225" s="800"/>
      <c r="LKD225" s="801"/>
      <c r="LKE225" s="801"/>
      <c r="LKF225" s="801"/>
      <c r="LKG225" s="801"/>
      <c r="LKH225" s="802"/>
      <c r="LKI225" s="800"/>
      <c r="LKJ225" s="801"/>
      <c r="LKK225" s="801"/>
      <c r="LKL225" s="801"/>
      <c r="LKM225" s="801"/>
      <c r="LKN225" s="802"/>
      <c r="LKO225" s="800"/>
      <c r="LKP225" s="801"/>
      <c r="LKQ225" s="801"/>
      <c r="LKR225" s="801"/>
      <c r="LKS225" s="801"/>
      <c r="LKT225" s="802"/>
      <c r="LKU225" s="800"/>
      <c r="LKV225" s="801"/>
      <c r="LKW225" s="801"/>
      <c r="LKX225" s="801"/>
      <c r="LKY225" s="801"/>
      <c r="LKZ225" s="802"/>
      <c r="LLA225" s="800"/>
      <c r="LLB225" s="801"/>
      <c r="LLC225" s="801"/>
      <c r="LLD225" s="801"/>
      <c r="LLE225" s="801"/>
      <c r="LLF225" s="802"/>
      <c r="LLG225" s="800"/>
      <c r="LLH225" s="801"/>
      <c r="LLI225" s="801"/>
      <c r="LLJ225" s="801"/>
      <c r="LLK225" s="801"/>
      <c r="LLL225" s="802"/>
      <c r="LLM225" s="800"/>
      <c r="LLN225" s="801"/>
      <c r="LLO225" s="801"/>
      <c r="LLP225" s="801"/>
      <c r="LLQ225" s="801"/>
      <c r="LLR225" s="802"/>
      <c r="LLS225" s="800"/>
      <c r="LLT225" s="801"/>
      <c r="LLU225" s="801"/>
      <c r="LLV225" s="801"/>
      <c r="LLW225" s="801"/>
      <c r="LLX225" s="802"/>
      <c r="LLY225" s="800"/>
      <c r="LLZ225" s="801"/>
      <c r="LMA225" s="801"/>
      <c r="LMB225" s="801"/>
      <c r="LMC225" s="801"/>
      <c r="LMD225" s="802"/>
      <c r="LME225" s="800"/>
      <c r="LMF225" s="801"/>
      <c r="LMG225" s="801"/>
      <c r="LMH225" s="801"/>
      <c r="LMI225" s="801"/>
      <c r="LMJ225" s="802"/>
      <c r="LMK225" s="800"/>
      <c r="LML225" s="801"/>
      <c r="LMM225" s="801"/>
      <c r="LMN225" s="801"/>
      <c r="LMO225" s="801"/>
      <c r="LMP225" s="802"/>
      <c r="LMQ225" s="800"/>
      <c r="LMR225" s="801"/>
      <c r="LMS225" s="801"/>
      <c r="LMT225" s="801"/>
      <c r="LMU225" s="801"/>
      <c r="LMV225" s="802"/>
      <c r="LMW225" s="800"/>
      <c r="LMX225" s="801"/>
      <c r="LMY225" s="801"/>
      <c r="LMZ225" s="801"/>
      <c r="LNA225" s="801"/>
      <c r="LNB225" s="802"/>
      <c r="LNC225" s="800"/>
      <c r="LND225" s="801"/>
      <c r="LNE225" s="801"/>
      <c r="LNF225" s="801"/>
      <c r="LNG225" s="801"/>
      <c r="LNH225" s="802"/>
      <c r="LNI225" s="800"/>
      <c r="LNJ225" s="801"/>
      <c r="LNK225" s="801"/>
      <c r="LNL225" s="801"/>
      <c r="LNM225" s="801"/>
      <c r="LNN225" s="802"/>
      <c r="LNO225" s="800"/>
      <c r="LNP225" s="801"/>
      <c r="LNQ225" s="801"/>
      <c r="LNR225" s="801"/>
      <c r="LNS225" s="801"/>
      <c r="LNT225" s="802"/>
      <c r="LNU225" s="800"/>
      <c r="LNV225" s="801"/>
      <c r="LNW225" s="801"/>
      <c r="LNX225" s="801"/>
      <c r="LNY225" s="801"/>
      <c r="LNZ225" s="802"/>
      <c r="LOA225" s="800"/>
      <c r="LOB225" s="801"/>
      <c r="LOC225" s="801"/>
      <c r="LOD225" s="801"/>
      <c r="LOE225" s="801"/>
      <c r="LOF225" s="802"/>
      <c r="LOG225" s="800"/>
      <c r="LOH225" s="801"/>
      <c r="LOI225" s="801"/>
      <c r="LOJ225" s="801"/>
      <c r="LOK225" s="801"/>
      <c r="LOL225" s="802"/>
      <c r="LOM225" s="800"/>
      <c r="LON225" s="801"/>
      <c r="LOO225" s="801"/>
      <c r="LOP225" s="801"/>
      <c r="LOQ225" s="801"/>
      <c r="LOR225" s="802"/>
      <c r="LOS225" s="800"/>
      <c r="LOT225" s="801"/>
      <c r="LOU225" s="801"/>
      <c r="LOV225" s="801"/>
      <c r="LOW225" s="801"/>
      <c r="LOX225" s="802"/>
      <c r="LOY225" s="800"/>
      <c r="LOZ225" s="801"/>
      <c r="LPA225" s="801"/>
      <c r="LPB225" s="801"/>
      <c r="LPC225" s="801"/>
      <c r="LPD225" s="802"/>
      <c r="LPE225" s="800"/>
      <c r="LPF225" s="801"/>
      <c r="LPG225" s="801"/>
      <c r="LPH225" s="801"/>
      <c r="LPI225" s="801"/>
      <c r="LPJ225" s="802"/>
      <c r="LPK225" s="800"/>
      <c r="LPL225" s="801"/>
      <c r="LPM225" s="801"/>
      <c r="LPN225" s="801"/>
      <c r="LPO225" s="801"/>
      <c r="LPP225" s="802"/>
      <c r="LPQ225" s="800"/>
      <c r="LPR225" s="801"/>
      <c r="LPS225" s="801"/>
      <c r="LPT225" s="801"/>
      <c r="LPU225" s="801"/>
      <c r="LPV225" s="802"/>
      <c r="LPW225" s="800"/>
      <c r="LPX225" s="801"/>
      <c r="LPY225" s="801"/>
      <c r="LPZ225" s="801"/>
      <c r="LQA225" s="801"/>
      <c r="LQB225" s="802"/>
      <c r="LQC225" s="800"/>
      <c r="LQD225" s="801"/>
      <c r="LQE225" s="801"/>
      <c r="LQF225" s="801"/>
      <c r="LQG225" s="801"/>
      <c r="LQH225" s="802"/>
      <c r="LQI225" s="800"/>
      <c r="LQJ225" s="801"/>
      <c r="LQK225" s="801"/>
      <c r="LQL225" s="801"/>
      <c r="LQM225" s="801"/>
      <c r="LQN225" s="802"/>
      <c r="LQO225" s="800"/>
      <c r="LQP225" s="801"/>
      <c r="LQQ225" s="801"/>
      <c r="LQR225" s="801"/>
      <c r="LQS225" s="801"/>
      <c r="LQT225" s="802"/>
      <c r="LQU225" s="800"/>
      <c r="LQV225" s="801"/>
      <c r="LQW225" s="801"/>
      <c r="LQX225" s="801"/>
      <c r="LQY225" s="801"/>
      <c r="LQZ225" s="802"/>
      <c r="LRA225" s="800"/>
      <c r="LRB225" s="801"/>
      <c r="LRC225" s="801"/>
      <c r="LRD225" s="801"/>
      <c r="LRE225" s="801"/>
      <c r="LRF225" s="802"/>
      <c r="LRG225" s="800"/>
      <c r="LRH225" s="801"/>
      <c r="LRI225" s="801"/>
      <c r="LRJ225" s="801"/>
      <c r="LRK225" s="801"/>
      <c r="LRL225" s="802"/>
      <c r="LRM225" s="800"/>
      <c r="LRN225" s="801"/>
      <c r="LRO225" s="801"/>
      <c r="LRP225" s="801"/>
      <c r="LRQ225" s="801"/>
      <c r="LRR225" s="802"/>
      <c r="LRS225" s="800"/>
      <c r="LRT225" s="801"/>
      <c r="LRU225" s="801"/>
      <c r="LRV225" s="801"/>
      <c r="LRW225" s="801"/>
      <c r="LRX225" s="802"/>
      <c r="LRY225" s="800"/>
      <c r="LRZ225" s="801"/>
      <c r="LSA225" s="801"/>
      <c r="LSB225" s="801"/>
      <c r="LSC225" s="801"/>
      <c r="LSD225" s="802"/>
      <c r="LSE225" s="800"/>
      <c r="LSF225" s="801"/>
      <c r="LSG225" s="801"/>
      <c r="LSH225" s="801"/>
      <c r="LSI225" s="801"/>
      <c r="LSJ225" s="802"/>
      <c r="LSK225" s="800"/>
      <c r="LSL225" s="801"/>
      <c r="LSM225" s="801"/>
      <c r="LSN225" s="801"/>
      <c r="LSO225" s="801"/>
      <c r="LSP225" s="802"/>
      <c r="LSQ225" s="800"/>
      <c r="LSR225" s="801"/>
      <c r="LSS225" s="801"/>
      <c r="LST225" s="801"/>
      <c r="LSU225" s="801"/>
      <c r="LSV225" s="802"/>
      <c r="LSW225" s="800"/>
      <c r="LSX225" s="801"/>
      <c r="LSY225" s="801"/>
      <c r="LSZ225" s="801"/>
      <c r="LTA225" s="801"/>
      <c r="LTB225" s="802"/>
      <c r="LTC225" s="800"/>
      <c r="LTD225" s="801"/>
      <c r="LTE225" s="801"/>
      <c r="LTF225" s="801"/>
      <c r="LTG225" s="801"/>
      <c r="LTH225" s="802"/>
      <c r="LTI225" s="800"/>
      <c r="LTJ225" s="801"/>
      <c r="LTK225" s="801"/>
      <c r="LTL225" s="801"/>
      <c r="LTM225" s="801"/>
      <c r="LTN225" s="802"/>
      <c r="LTO225" s="800"/>
      <c r="LTP225" s="801"/>
      <c r="LTQ225" s="801"/>
      <c r="LTR225" s="801"/>
      <c r="LTS225" s="801"/>
      <c r="LTT225" s="802"/>
      <c r="LTU225" s="800"/>
      <c r="LTV225" s="801"/>
      <c r="LTW225" s="801"/>
      <c r="LTX225" s="801"/>
      <c r="LTY225" s="801"/>
      <c r="LTZ225" s="802"/>
      <c r="LUA225" s="800"/>
      <c r="LUB225" s="801"/>
      <c r="LUC225" s="801"/>
      <c r="LUD225" s="801"/>
      <c r="LUE225" s="801"/>
      <c r="LUF225" s="802"/>
      <c r="LUG225" s="800"/>
      <c r="LUH225" s="801"/>
      <c r="LUI225" s="801"/>
      <c r="LUJ225" s="801"/>
      <c r="LUK225" s="801"/>
      <c r="LUL225" s="802"/>
      <c r="LUM225" s="800"/>
      <c r="LUN225" s="801"/>
      <c r="LUO225" s="801"/>
      <c r="LUP225" s="801"/>
      <c r="LUQ225" s="801"/>
      <c r="LUR225" s="802"/>
      <c r="LUS225" s="800"/>
      <c r="LUT225" s="801"/>
      <c r="LUU225" s="801"/>
      <c r="LUV225" s="801"/>
      <c r="LUW225" s="801"/>
      <c r="LUX225" s="802"/>
      <c r="LUY225" s="800"/>
      <c r="LUZ225" s="801"/>
      <c r="LVA225" s="801"/>
      <c r="LVB225" s="801"/>
      <c r="LVC225" s="801"/>
      <c r="LVD225" s="802"/>
      <c r="LVE225" s="800"/>
      <c r="LVF225" s="801"/>
      <c r="LVG225" s="801"/>
      <c r="LVH225" s="801"/>
      <c r="LVI225" s="801"/>
      <c r="LVJ225" s="802"/>
      <c r="LVK225" s="800"/>
      <c r="LVL225" s="801"/>
      <c r="LVM225" s="801"/>
      <c r="LVN225" s="801"/>
      <c r="LVO225" s="801"/>
      <c r="LVP225" s="802"/>
      <c r="LVQ225" s="800"/>
      <c r="LVR225" s="801"/>
      <c r="LVS225" s="801"/>
      <c r="LVT225" s="801"/>
      <c r="LVU225" s="801"/>
      <c r="LVV225" s="802"/>
      <c r="LVW225" s="800"/>
      <c r="LVX225" s="801"/>
      <c r="LVY225" s="801"/>
      <c r="LVZ225" s="801"/>
      <c r="LWA225" s="801"/>
      <c r="LWB225" s="802"/>
      <c r="LWC225" s="800"/>
      <c r="LWD225" s="801"/>
      <c r="LWE225" s="801"/>
      <c r="LWF225" s="801"/>
      <c r="LWG225" s="801"/>
      <c r="LWH225" s="802"/>
      <c r="LWI225" s="800"/>
      <c r="LWJ225" s="801"/>
      <c r="LWK225" s="801"/>
      <c r="LWL225" s="801"/>
      <c r="LWM225" s="801"/>
      <c r="LWN225" s="802"/>
      <c r="LWO225" s="800"/>
      <c r="LWP225" s="801"/>
      <c r="LWQ225" s="801"/>
      <c r="LWR225" s="801"/>
      <c r="LWS225" s="801"/>
      <c r="LWT225" s="802"/>
      <c r="LWU225" s="800"/>
      <c r="LWV225" s="801"/>
      <c r="LWW225" s="801"/>
      <c r="LWX225" s="801"/>
      <c r="LWY225" s="801"/>
      <c r="LWZ225" s="802"/>
      <c r="LXA225" s="800"/>
      <c r="LXB225" s="801"/>
      <c r="LXC225" s="801"/>
      <c r="LXD225" s="801"/>
      <c r="LXE225" s="801"/>
      <c r="LXF225" s="802"/>
      <c r="LXG225" s="800"/>
      <c r="LXH225" s="801"/>
      <c r="LXI225" s="801"/>
      <c r="LXJ225" s="801"/>
      <c r="LXK225" s="801"/>
      <c r="LXL225" s="802"/>
      <c r="LXM225" s="800"/>
      <c r="LXN225" s="801"/>
      <c r="LXO225" s="801"/>
      <c r="LXP225" s="801"/>
      <c r="LXQ225" s="801"/>
      <c r="LXR225" s="802"/>
      <c r="LXS225" s="800"/>
      <c r="LXT225" s="801"/>
      <c r="LXU225" s="801"/>
      <c r="LXV225" s="801"/>
      <c r="LXW225" s="801"/>
      <c r="LXX225" s="802"/>
      <c r="LXY225" s="800"/>
      <c r="LXZ225" s="801"/>
      <c r="LYA225" s="801"/>
      <c r="LYB225" s="801"/>
      <c r="LYC225" s="801"/>
      <c r="LYD225" s="802"/>
      <c r="LYE225" s="800"/>
      <c r="LYF225" s="801"/>
      <c r="LYG225" s="801"/>
      <c r="LYH225" s="801"/>
      <c r="LYI225" s="801"/>
      <c r="LYJ225" s="802"/>
      <c r="LYK225" s="800"/>
      <c r="LYL225" s="801"/>
      <c r="LYM225" s="801"/>
      <c r="LYN225" s="801"/>
      <c r="LYO225" s="801"/>
      <c r="LYP225" s="802"/>
      <c r="LYQ225" s="800"/>
      <c r="LYR225" s="801"/>
      <c r="LYS225" s="801"/>
      <c r="LYT225" s="801"/>
      <c r="LYU225" s="801"/>
      <c r="LYV225" s="802"/>
      <c r="LYW225" s="800"/>
      <c r="LYX225" s="801"/>
      <c r="LYY225" s="801"/>
      <c r="LYZ225" s="801"/>
      <c r="LZA225" s="801"/>
      <c r="LZB225" s="802"/>
      <c r="LZC225" s="800"/>
      <c r="LZD225" s="801"/>
      <c r="LZE225" s="801"/>
      <c r="LZF225" s="801"/>
      <c r="LZG225" s="801"/>
      <c r="LZH225" s="802"/>
      <c r="LZI225" s="800"/>
      <c r="LZJ225" s="801"/>
      <c r="LZK225" s="801"/>
      <c r="LZL225" s="801"/>
      <c r="LZM225" s="801"/>
      <c r="LZN225" s="802"/>
      <c r="LZO225" s="800"/>
      <c r="LZP225" s="801"/>
      <c r="LZQ225" s="801"/>
      <c r="LZR225" s="801"/>
      <c r="LZS225" s="801"/>
      <c r="LZT225" s="802"/>
      <c r="LZU225" s="800"/>
      <c r="LZV225" s="801"/>
      <c r="LZW225" s="801"/>
      <c r="LZX225" s="801"/>
      <c r="LZY225" s="801"/>
      <c r="LZZ225" s="802"/>
      <c r="MAA225" s="800"/>
      <c r="MAB225" s="801"/>
      <c r="MAC225" s="801"/>
      <c r="MAD225" s="801"/>
      <c r="MAE225" s="801"/>
      <c r="MAF225" s="802"/>
      <c r="MAG225" s="800"/>
      <c r="MAH225" s="801"/>
      <c r="MAI225" s="801"/>
      <c r="MAJ225" s="801"/>
      <c r="MAK225" s="801"/>
      <c r="MAL225" s="802"/>
      <c r="MAM225" s="800"/>
      <c r="MAN225" s="801"/>
      <c r="MAO225" s="801"/>
      <c r="MAP225" s="801"/>
      <c r="MAQ225" s="801"/>
      <c r="MAR225" s="802"/>
      <c r="MAS225" s="800"/>
      <c r="MAT225" s="801"/>
      <c r="MAU225" s="801"/>
      <c r="MAV225" s="801"/>
      <c r="MAW225" s="801"/>
      <c r="MAX225" s="802"/>
      <c r="MAY225" s="800"/>
      <c r="MAZ225" s="801"/>
      <c r="MBA225" s="801"/>
      <c r="MBB225" s="801"/>
      <c r="MBC225" s="801"/>
      <c r="MBD225" s="802"/>
      <c r="MBE225" s="800"/>
      <c r="MBF225" s="801"/>
      <c r="MBG225" s="801"/>
      <c r="MBH225" s="801"/>
      <c r="MBI225" s="801"/>
      <c r="MBJ225" s="802"/>
      <c r="MBK225" s="800"/>
      <c r="MBL225" s="801"/>
      <c r="MBM225" s="801"/>
      <c r="MBN225" s="801"/>
      <c r="MBO225" s="801"/>
      <c r="MBP225" s="802"/>
      <c r="MBQ225" s="800"/>
      <c r="MBR225" s="801"/>
      <c r="MBS225" s="801"/>
      <c r="MBT225" s="801"/>
      <c r="MBU225" s="801"/>
      <c r="MBV225" s="802"/>
      <c r="MBW225" s="800"/>
      <c r="MBX225" s="801"/>
      <c r="MBY225" s="801"/>
      <c r="MBZ225" s="801"/>
      <c r="MCA225" s="801"/>
      <c r="MCB225" s="802"/>
      <c r="MCC225" s="800"/>
      <c r="MCD225" s="801"/>
      <c r="MCE225" s="801"/>
      <c r="MCF225" s="801"/>
      <c r="MCG225" s="801"/>
      <c r="MCH225" s="802"/>
      <c r="MCI225" s="800"/>
      <c r="MCJ225" s="801"/>
      <c r="MCK225" s="801"/>
      <c r="MCL225" s="801"/>
      <c r="MCM225" s="801"/>
      <c r="MCN225" s="802"/>
      <c r="MCO225" s="800"/>
      <c r="MCP225" s="801"/>
      <c r="MCQ225" s="801"/>
      <c r="MCR225" s="801"/>
      <c r="MCS225" s="801"/>
      <c r="MCT225" s="802"/>
      <c r="MCU225" s="800"/>
      <c r="MCV225" s="801"/>
      <c r="MCW225" s="801"/>
      <c r="MCX225" s="801"/>
      <c r="MCY225" s="801"/>
      <c r="MCZ225" s="802"/>
      <c r="MDA225" s="800"/>
      <c r="MDB225" s="801"/>
      <c r="MDC225" s="801"/>
      <c r="MDD225" s="801"/>
      <c r="MDE225" s="801"/>
      <c r="MDF225" s="802"/>
      <c r="MDG225" s="800"/>
      <c r="MDH225" s="801"/>
      <c r="MDI225" s="801"/>
      <c r="MDJ225" s="801"/>
      <c r="MDK225" s="801"/>
      <c r="MDL225" s="802"/>
      <c r="MDM225" s="800"/>
      <c r="MDN225" s="801"/>
      <c r="MDO225" s="801"/>
      <c r="MDP225" s="801"/>
      <c r="MDQ225" s="801"/>
      <c r="MDR225" s="802"/>
      <c r="MDS225" s="800"/>
      <c r="MDT225" s="801"/>
      <c r="MDU225" s="801"/>
      <c r="MDV225" s="801"/>
      <c r="MDW225" s="801"/>
      <c r="MDX225" s="802"/>
      <c r="MDY225" s="800"/>
      <c r="MDZ225" s="801"/>
      <c r="MEA225" s="801"/>
      <c r="MEB225" s="801"/>
      <c r="MEC225" s="801"/>
      <c r="MED225" s="802"/>
      <c r="MEE225" s="800"/>
      <c r="MEF225" s="801"/>
      <c r="MEG225" s="801"/>
      <c r="MEH225" s="801"/>
      <c r="MEI225" s="801"/>
      <c r="MEJ225" s="802"/>
      <c r="MEK225" s="800"/>
      <c r="MEL225" s="801"/>
      <c r="MEM225" s="801"/>
      <c r="MEN225" s="801"/>
      <c r="MEO225" s="801"/>
      <c r="MEP225" s="802"/>
      <c r="MEQ225" s="800"/>
      <c r="MER225" s="801"/>
      <c r="MES225" s="801"/>
      <c r="MET225" s="801"/>
      <c r="MEU225" s="801"/>
      <c r="MEV225" s="802"/>
      <c r="MEW225" s="800"/>
      <c r="MEX225" s="801"/>
      <c r="MEY225" s="801"/>
      <c r="MEZ225" s="801"/>
      <c r="MFA225" s="801"/>
      <c r="MFB225" s="802"/>
      <c r="MFC225" s="800"/>
      <c r="MFD225" s="801"/>
      <c r="MFE225" s="801"/>
      <c r="MFF225" s="801"/>
      <c r="MFG225" s="801"/>
      <c r="MFH225" s="802"/>
      <c r="MFI225" s="800"/>
      <c r="MFJ225" s="801"/>
      <c r="MFK225" s="801"/>
      <c r="MFL225" s="801"/>
      <c r="MFM225" s="801"/>
      <c r="MFN225" s="802"/>
      <c r="MFO225" s="800"/>
      <c r="MFP225" s="801"/>
      <c r="MFQ225" s="801"/>
      <c r="MFR225" s="801"/>
      <c r="MFS225" s="801"/>
      <c r="MFT225" s="802"/>
      <c r="MFU225" s="800"/>
      <c r="MFV225" s="801"/>
      <c r="MFW225" s="801"/>
      <c r="MFX225" s="801"/>
      <c r="MFY225" s="801"/>
      <c r="MFZ225" s="802"/>
      <c r="MGA225" s="800"/>
      <c r="MGB225" s="801"/>
      <c r="MGC225" s="801"/>
      <c r="MGD225" s="801"/>
      <c r="MGE225" s="801"/>
      <c r="MGF225" s="802"/>
      <c r="MGG225" s="800"/>
      <c r="MGH225" s="801"/>
      <c r="MGI225" s="801"/>
      <c r="MGJ225" s="801"/>
      <c r="MGK225" s="801"/>
      <c r="MGL225" s="802"/>
      <c r="MGM225" s="800"/>
      <c r="MGN225" s="801"/>
      <c r="MGO225" s="801"/>
      <c r="MGP225" s="801"/>
      <c r="MGQ225" s="801"/>
      <c r="MGR225" s="802"/>
      <c r="MGS225" s="800"/>
      <c r="MGT225" s="801"/>
      <c r="MGU225" s="801"/>
      <c r="MGV225" s="801"/>
      <c r="MGW225" s="801"/>
      <c r="MGX225" s="802"/>
      <c r="MGY225" s="800"/>
      <c r="MGZ225" s="801"/>
      <c r="MHA225" s="801"/>
      <c r="MHB225" s="801"/>
      <c r="MHC225" s="801"/>
      <c r="MHD225" s="802"/>
      <c r="MHE225" s="800"/>
      <c r="MHF225" s="801"/>
      <c r="MHG225" s="801"/>
      <c r="MHH225" s="801"/>
      <c r="MHI225" s="801"/>
      <c r="MHJ225" s="802"/>
      <c r="MHK225" s="800"/>
      <c r="MHL225" s="801"/>
      <c r="MHM225" s="801"/>
      <c r="MHN225" s="801"/>
      <c r="MHO225" s="801"/>
      <c r="MHP225" s="802"/>
      <c r="MHQ225" s="800"/>
      <c r="MHR225" s="801"/>
      <c r="MHS225" s="801"/>
      <c r="MHT225" s="801"/>
      <c r="MHU225" s="801"/>
      <c r="MHV225" s="802"/>
      <c r="MHW225" s="800"/>
      <c r="MHX225" s="801"/>
      <c r="MHY225" s="801"/>
      <c r="MHZ225" s="801"/>
      <c r="MIA225" s="801"/>
      <c r="MIB225" s="802"/>
      <c r="MIC225" s="800"/>
      <c r="MID225" s="801"/>
      <c r="MIE225" s="801"/>
      <c r="MIF225" s="801"/>
      <c r="MIG225" s="801"/>
      <c r="MIH225" s="802"/>
      <c r="MII225" s="800"/>
      <c r="MIJ225" s="801"/>
      <c r="MIK225" s="801"/>
      <c r="MIL225" s="801"/>
      <c r="MIM225" s="801"/>
      <c r="MIN225" s="802"/>
      <c r="MIO225" s="800"/>
      <c r="MIP225" s="801"/>
      <c r="MIQ225" s="801"/>
      <c r="MIR225" s="801"/>
      <c r="MIS225" s="801"/>
      <c r="MIT225" s="802"/>
      <c r="MIU225" s="800"/>
      <c r="MIV225" s="801"/>
      <c r="MIW225" s="801"/>
      <c r="MIX225" s="801"/>
      <c r="MIY225" s="801"/>
      <c r="MIZ225" s="802"/>
      <c r="MJA225" s="800"/>
      <c r="MJB225" s="801"/>
      <c r="MJC225" s="801"/>
      <c r="MJD225" s="801"/>
      <c r="MJE225" s="801"/>
      <c r="MJF225" s="802"/>
      <c r="MJG225" s="800"/>
      <c r="MJH225" s="801"/>
      <c r="MJI225" s="801"/>
      <c r="MJJ225" s="801"/>
      <c r="MJK225" s="801"/>
      <c r="MJL225" s="802"/>
      <c r="MJM225" s="800"/>
      <c r="MJN225" s="801"/>
      <c r="MJO225" s="801"/>
      <c r="MJP225" s="801"/>
      <c r="MJQ225" s="801"/>
      <c r="MJR225" s="802"/>
      <c r="MJS225" s="800"/>
      <c r="MJT225" s="801"/>
      <c r="MJU225" s="801"/>
      <c r="MJV225" s="801"/>
      <c r="MJW225" s="801"/>
      <c r="MJX225" s="802"/>
      <c r="MJY225" s="800"/>
      <c r="MJZ225" s="801"/>
      <c r="MKA225" s="801"/>
      <c r="MKB225" s="801"/>
      <c r="MKC225" s="801"/>
      <c r="MKD225" s="802"/>
      <c r="MKE225" s="800"/>
      <c r="MKF225" s="801"/>
      <c r="MKG225" s="801"/>
      <c r="MKH225" s="801"/>
      <c r="MKI225" s="801"/>
      <c r="MKJ225" s="802"/>
      <c r="MKK225" s="800"/>
      <c r="MKL225" s="801"/>
      <c r="MKM225" s="801"/>
      <c r="MKN225" s="801"/>
      <c r="MKO225" s="801"/>
      <c r="MKP225" s="802"/>
      <c r="MKQ225" s="800"/>
      <c r="MKR225" s="801"/>
      <c r="MKS225" s="801"/>
      <c r="MKT225" s="801"/>
      <c r="MKU225" s="801"/>
      <c r="MKV225" s="802"/>
      <c r="MKW225" s="800"/>
      <c r="MKX225" s="801"/>
      <c r="MKY225" s="801"/>
      <c r="MKZ225" s="801"/>
      <c r="MLA225" s="801"/>
      <c r="MLB225" s="802"/>
      <c r="MLC225" s="800"/>
      <c r="MLD225" s="801"/>
      <c r="MLE225" s="801"/>
      <c r="MLF225" s="801"/>
      <c r="MLG225" s="801"/>
      <c r="MLH225" s="802"/>
      <c r="MLI225" s="800"/>
      <c r="MLJ225" s="801"/>
      <c r="MLK225" s="801"/>
      <c r="MLL225" s="801"/>
      <c r="MLM225" s="801"/>
      <c r="MLN225" s="802"/>
      <c r="MLO225" s="800"/>
      <c r="MLP225" s="801"/>
      <c r="MLQ225" s="801"/>
      <c r="MLR225" s="801"/>
      <c r="MLS225" s="801"/>
      <c r="MLT225" s="802"/>
      <c r="MLU225" s="800"/>
      <c r="MLV225" s="801"/>
      <c r="MLW225" s="801"/>
      <c r="MLX225" s="801"/>
      <c r="MLY225" s="801"/>
      <c r="MLZ225" s="802"/>
      <c r="MMA225" s="800"/>
      <c r="MMB225" s="801"/>
      <c r="MMC225" s="801"/>
      <c r="MMD225" s="801"/>
      <c r="MME225" s="801"/>
      <c r="MMF225" s="802"/>
      <c r="MMG225" s="800"/>
      <c r="MMH225" s="801"/>
      <c r="MMI225" s="801"/>
      <c r="MMJ225" s="801"/>
      <c r="MMK225" s="801"/>
      <c r="MML225" s="802"/>
      <c r="MMM225" s="800"/>
      <c r="MMN225" s="801"/>
      <c r="MMO225" s="801"/>
      <c r="MMP225" s="801"/>
      <c r="MMQ225" s="801"/>
      <c r="MMR225" s="802"/>
      <c r="MMS225" s="800"/>
      <c r="MMT225" s="801"/>
      <c r="MMU225" s="801"/>
      <c r="MMV225" s="801"/>
      <c r="MMW225" s="801"/>
      <c r="MMX225" s="802"/>
      <c r="MMY225" s="800"/>
      <c r="MMZ225" s="801"/>
      <c r="MNA225" s="801"/>
      <c r="MNB225" s="801"/>
      <c r="MNC225" s="801"/>
      <c r="MND225" s="802"/>
      <c r="MNE225" s="800"/>
      <c r="MNF225" s="801"/>
      <c r="MNG225" s="801"/>
      <c r="MNH225" s="801"/>
      <c r="MNI225" s="801"/>
      <c r="MNJ225" s="802"/>
      <c r="MNK225" s="800"/>
      <c r="MNL225" s="801"/>
      <c r="MNM225" s="801"/>
      <c r="MNN225" s="801"/>
      <c r="MNO225" s="801"/>
      <c r="MNP225" s="802"/>
      <c r="MNQ225" s="800"/>
      <c r="MNR225" s="801"/>
      <c r="MNS225" s="801"/>
      <c r="MNT225" s="801"/>
      <c r="MNU225" s="801"/>
      <c r="MNV225" s="802"/>
      <c r="MNW225" s="800"/>
      <c r="MNX225" s="801"/>
      <c r="MNY225" s="801"/>
      <c r="MNZ225" s="801"/>
      <c r="MOA225" s="801"/>
      <c r="MOB225" s="802"/>
      <c r="MOC225" s="800"/>
      <c r="MOD225" s="801"/>
      <c r="MOE225" s="801"/>
      <c r="MOF225" s="801"/>
      <c r="MOG225" s="801"/>
      <c r="MOH225" s="802"/>
      <c r="MOI225" s="800"/>
      <c r="MOJ225" s="801"/>
      <c r="MOK225" s="801"/>
      <c r="MOL225" s="801"/>
      <c r="MOM225" s="801"/>
      <c r="MON225" s="802"/>
      <c r="MOO225" s="800"/>
      <c r="MOP225" s="801"/>
      <c r="MOQ225" s="801"/>
      <c r="MOR225" s="801"/>
      <c r="MOS225" s="801"/>
      <c r="MOT225" s="802"/>
      <c r="MOU225" s="800"/>
      <c r="MOV225" s="801"/>
      <c r="MOW225" s="801"/>
      <c r="MOX225" s="801"/>
      <c r="MOY225" s="801"/>
      <c r="MOZ225" s="802"/>
      <c r="MPA225" s="800"/>
      <c r="MPB225" s="801"/>
      <c r="MPC225" s="801"/>
      <c r="MPD225" s="801"/>
      <c r="MPE225" s="801"/>
      <c r="MPF225" s="802"/>
      <c r="MPG225" s="800"/>
      <c r="MPH225" s="801"/>
      <c r="MPI225" s="801"/>
      <c r="MPJ225" s="801"/>
      <c r="MPK225" s="801"/>
      <c r="MPL225" s="802"/>
      <c r="MPM225" s="800"/>
      <c r="MPN225" s="801"/>
      <c r="MPO225" s="801"/>
      <c r="MPP225" s="801"/>
      <c r="MPQ225" s="801"/>
      <c r="MPR225" s="802"/>
      <c r="MPS225" s="800"/>
      <c r="MPT225" s="801"/>
      <c r="MPU225" s="801"/>
      <c r="MPV225" s="801"/>
      <c r="MPW225" s="801"/>
      <c r="MPX225" s="802"/>
      <c r="MPY225" s="800"/>
      <c r="MPZ225" s="801"/>
      <c r="MQA225" s="801"/>
      <c r="MQB225" s="801"/>
      <c r="MQC225" s="801"/>
      <c r="MQD225" s="802"/>
      <c r="MQE225" s="800"/>
      <c r="MQF225" s="801"/>
      <c r="MQG225" s="801"/>
      <c r="MQH225" s="801"/>
      <c r="MQI225" s="801"/>
      <c r="MQJ225" s="802"/>
      <c r="MQK225" s="800"/>
      <c r="MQL225" s="801"/>
      <c r="MQM225" s="801"/>
      <c r="MQN225" s="801"/>
      <c r="MQO225" s="801"/>
      <c r="MQP225" s="802"/>
      <c r="MQQ225" s="800"/>
      <c r="MQR225" s="801"/>
      <c r="MQS225" s="801"/>
      <c r="MQT225" s="801"/>
      <c r="MQU225" s="801"/>
      <c r="MQV225" s="802"/>
      <c r="MQW225" s="800"/>
      <c r="MQX225" s="801"/>
      <c r="MQY225" s="801"/>
      <c r="MQZ225" s="801"/>
      <c r="MRA225" s="801"/>
      <c r="MRB225" s="802"/>
      <c r="MRC225" s="800"/>
      <c r="MRD225" s="801"/>
      <c r="MRE225" s="801"/>
      <c r="MRF225" s="801"/>
      <c r="MRG225" s="801"/>
      <c r="MRH225" s="802"/>
      <c r="MRI225" s="800"/>
      <c r="MRJ225" s="801"/>
      <c r="MRK225" s="801"/>
      <c r="MRL225" s="801"/>
      <c r="MRM225" s="801"/>
      <c r="MRN225" s="802"/>
      <c r="MRO225" s="800"/>
      <c r="MRP225" s="801"/>
      <c r="MRQ225" s="801"/>
      <c r="MRR225" s="801"/>
      <c r="MRS225" s="801"/>
      <c r="MRT225" s="802"/>
      <c r="MRU225" s="800"/>
      <c r="MRV225" s="801"/>
      <c r="MRW225" s="801"/>
      <c r="MRX225" s="801"/>
      <c r="MRY225" s="801"/>
      <c r="MRZ225" s="802"/>
      <c r="MSA225" s="800"/>
      <c r="MSB225" s="801"/>
      <c r="MSC225" s="801"/>
      <c r="MSD225" s="801"/>
      <c r="MSE225" s="801"/>
      <c r="MSF225" s="802"/>
      <c r="MSG225" s="800"/>
      <c r="MSH225" s="801"/>
      <c r="MSI225" s="801"/>
      <c r="MSJ225" s="801"/>
      <c r="MSK225" s="801"/>
      <c r="MSL225" s="802"/>
      <c r="MSM225" s="800"/>
      <c r="MSN225" s="801"/>
      <c r="MSO225" s="801"/>
      <c r="MSP225" s="801"/>
      <c r="MSQ225" s="801"/>
      <c r="MSR225" s="802"/>
      <c r="MSS225" s="800"/>
      <c r="MST225" s="801"/>
      <c r="MSU225" s="801"/>
      <c r="MSV225" s="801"/>
      <c r="MSW225" s="801"/>
      <c r="MSX225" s="802"/>
      <c r="MSY225" s="800"/>
      <c r="MSZ225" s="801"/>
      <c r="MTA225" s="801"/>
      <c r="MTB225" s="801"/>
      <c r="MTC225" s="801"/>
      <c r="MTD225" s="802"/>
      <c r="MTE225" s="800"/>
      <c r="MTF225" s="801"/>
      <c r="MTG225" s="801"/>
      <c r="MTH225" s="801"/>
      <c r="MTI225" s="801"/>
      <c r="MTJ225" s="802"/>
      <c r="MTK225" s="800"/>
      <c r="MTL225" s="801"/>
      <c r="MTM225" s="801"/>
      <c r="MTN225" s="801"/>
      <c r="MTO225" s="801"/>
      <c r="MTP225" s="802"/>
      <c r="MTQ225" s="800"/>
      <c r="MTR225" s="801"/>
      <c r="MTS225" s="801"/>
      <c r="MTT225" s="801"/>
      <c r="MTU225" s="801"/>
      <c r="MTV225" s="802"/>
      <c r="MTW225" s="800"/>
      <c r="MTX225" s="801"/>
      <c r="MTY225" s="801"/>
      <c r="MTZ225" s="801"/>
      <c r="MUA225" s="801"/>
      <c r="MUB225" s="802"/>
      <c r="MUC225" s="800"/>
      <c r="MUD225" s="801"/>
      <c r="MUE225" s="801"/>
      <c r="MUF225" s="801"/>
      <c r="MUG225" s="801"/>
      <c r="MUH225" s="802"/>
      <c r="MUI225" s="800"/>
      <c r="MUJ225" s="801"/>
      <c r="MUK225" s="801"/>
      <c r="MUL225" s="801"/>
      <c r="MUM225" s="801"/>
      <c r="MUN225" s="802"/>
      <c r="MUO225" s="800"/>
      <c r="MUP225" s="801"/>
      <c r="MUQ225" s="801"/>
      <c r="MUR225" s="801"/>
      <c r="MUS225" s="801"/>
      <c r="MUT225" s="802"/>
      <c r="MUU225" s="800"/>
      <c r="MUV225" s="801"/>
      <c r="MUW225" s="801"/>
      <c r="MUX225" s="801"/>
      <c r="MUY225" s="801"/>
      <c r="MUZ225" s="802"/>
      <c r="MVA225" s="800"/>
      <c r="MVB225" s="801"/>
      <c r="MVC225" s="801"/>
      <c r="MVD225" s="801"/>
      <c r="MVE225" s="801"/>
      <c r="MVF225" s="802"/>
      <c r="MVG225" s="800"/>
      <c r="MVH225" s="801"/>
      <c r="MVI225" s="801"/>
      <c r="MVJ225" s="801"/>
      <c r="MVK225" s="801"/>
      <c r="MVL225" s="802"/>
      <c r="MVM225" s="800"/>
      <c r="MVN225" s="801"/>
      <c r="MVO225" s="801"/>
      <c r="MVP225" s="801"/>
      <c r="MVQ225" s="801"/>
      <c r="MVR225" s="802"/>
      <c r="MVS225" s="800"/>
      <c r="MVT225" s="801"/>
      <c r="MVU225" s="801"/>
      <c r="MVV225" s="801"/>
      <c r="MVW225" s="801"/>
      <c r="MVX225" s="802"/>
      <c r="MVY225" s="800"/>
      <c r="MVZ225" s="801"/>
      <c r="MWA225" s="801"/>
      <c r="MWB225" s="801"/>
      <c r="MWC225" s="801"/>
      <c r="MWD225" s="802"/>
      <c r="MWE225" s="800"/>
      <c r="MWF225" s="801"/>
      <c r="MWG225" s="801"/>
      <c r="MWH225" s="801"/>
      <c r="MWI225" s="801"/>
      <c r="MWJ225" s="802"/>
      <c r="MWK225" s="800"/>
      <c r="MWL225" s="801"/>
      <c r="MWM225" s="801"/>
      <c r="MWN225" s="801"/>
      <c r="MWO225" s="801"/>
      <c r="MWP225" s="802"/>
      <c r="MWQ225" s="800"/>
      <c r="MWR225" s="801"/>
      <c r="MWS225" s="801"/>
      <c r="MWT225" s="801"/>
      <c r="MWU225" s="801"/>
      <c r="MWV225" s="802"/>
      <c r="MWW225" s="800"/>
      <c r="MWX225" s="801"/>
      <c r="MWY225" s="801"/>
      <c r="MWZ225" s="801"/>
      <c r="MXA225" s="801"/>
      <c r="MXB225" s="802"/>
      <c r="MXC225" s="800"/>
      <c r="MXD225" s="801"/>
      <c r="MXE225" s="801"/>
      <c r="MXF225" s="801"/>
      <c r="MXG225" s="801"/>
      <c r="MXH225" s="802"/>
      <c r="MXI225" s="800"/>
      <c r="MXJ225" s="801"/>
      <c r="MXK225" s="801"/>
      <c r="MXL225" s="801"/>
      <c r="MXM225" s="801"/>
      <c r="MXN225" s="802"/>
      <c r="MXO225" s="800"/>
      <c r="MXP225" s="801"/>
      <c r="MXQ225" s="801"/>
      <c r="MXR225" s="801"/>
      <c r="MXS225" s="801"/>
      <c r="MXT225" s="802"/>
      <c r="MXU225" s="800"/>
      <c r="MXV225" s="801"/>
      <c r="MXW225" s="801"/>
      <c r="MXX225" s="801"/>
      <c r="MXY225" s="801"/>
      <c r="MXZ225" s="802"/>
      <c r="MYA225" s="800"/>
      <c r="MYB225" s="801"/>
      <c r="MYC225" s="801"/>
      <c r="MYD225" s="801"/>
      <c r="MYE225" s="801"/>
      <c r="MYF225" s="802"/>
      <c r="MYG225" s="800"/>
      <c r="MYH225" s="801"/>
      <c r="MYI225" s="801"/>
      <c r="MYJ225" s="801"/>
      <c r="MYK225" s="801"/>
      <c r="MYL225" s="802"/>
      <c r="MYM225" s="800"/>
      <c r="MYN225" s="801"/>
      <c r="MYO225" s="801"/>
      <c r="MYP225" s="801"/>
      <c r="MYQ225" s="801"/>
      <c r="MYR225" s="802"/>
      <c r="MYS225" s="800"/>
      <c r="MYT225" s="801"/>
      <c r="MYU225" s="801"/>
      <c r="MYV225" s="801"/>
      <c r="MYW225" s="801"/>
      <c r="MYX225" s="802"/>
      <c r="MYY225" s="800"/>
      <c r="MYZ225" s="801"/>
      <c r="MZA225" s="801"/>
      <c r="MZB225" s="801"/>
      <c r="MZC225" s="801"/>
      <c r="MZD225" s="802"/>
      <c r="MZE225" s="800"/>
      <c r="MZF225" s="801"/>
      <c r="MZG225" s="801"/>
      <c r="MZH225" s="801"/>
      <c r="MZI225" s="801"/>
      <c r="MZJ225" s="802"/>
      <c r="MZK225" s="800"/>
      <c r="MZL225" s="801"/>
      <c r="MZM225" s="801"/>
      <c r="MZN225" s="801"/>
      <c r="MZO225" s="801"/>
      <c r="MZP225" s="802"/>
      <c r="MZQ225" s="800"/>
      <c r="MZR225" s="801"/>
      <c r="MZS225" s="801"/>
      <c r="MZT225" s="801"/>
      <c r="MZU225" s="801"/>
      <c r="MZV225" s="802"/>
      <c r="MZW225" s="800"/>
      <c r="MZX225" s="801"/>
      <c r="MZY225" s="801"/>
      <c r="MZZ225" s="801"/>
      <c r="NAA225" s="801"/>
      <c r="NAB225" s="802"/>
      <c r="NAC225" s="800"/>
      <c r="NAD225" s="801"/>
      <c r="NAE225" s="801"/>
      <c r="NAF225" s="801"/>
      <c r="NAG225" s="801"/>
      <c r="NAH225" s="802"/>
      <c r="NAI225" s="800"/>
      <c r="NAJ225" s="801"/>
      <c r="NAK225" s="801"/>
      <c r="NAL225" s="801"/>
      <c r="NAM225" s="801"/>
      <c r="NAN225" s="802"/>
      <c r="NAO225" s="800"/>
      <c r="NAP225" s="801"/>
      <c r="NAQ225" s="801"/>
      <c r="NAR225" s="801"/>
      <c r="NAS225" s="801"/>
      <c r="NAT225" s="802"/>
      <c r="NAU225" s="800"/>
      <c r="NAV225" s="801"/>
      <c r="NAW225" s="801"/>
      <c r="NAX225" s="801"/>
      <c r="NAY225" s="801"/>
      <c r="NAZ225" s="802"/>
      <c r="NBA225" s="800"/>
      <c r="NBB225" s="801"/>
      <c r="NBC225" s="801"/>
      <c r="NBD225" s="801"/>
      <c r="NBE225" s="801"/>
      <c r="NBF225" s="802"/>
      <c r="NBG225" s="800"/>
      <c r="NBH225" s="801"/>
      <c r="NBI225" s="801"/>
      <c r="NBJ225" s="801"/>
      <c r="NBK225" s="801"/>
      <c r="NBL225" s="802"/>
      <c r="NBM225" s="800"/>
      <c r="NBN225" s="801"/>
      <c r="NBO225" s="801"/>
      <c r="NBP225" s="801"/>
      <c r="NBQ225" s="801"/>
      <c r="NBR225" s="802"/>
      <c r="NBS225" s="800"/>
      <c r="NBT225" s="801"/>
      <c r="NBU225" s="801"/>
      <c r="NBV225" s="801"/>
      <c r="NBW225" s="801"/>
      <c r="NBX225" s="802"/>
      <c r="NBY225" s="800"/>
      <c r="NBZ225" s="801"/>
      <c r="NCA225" s="801"/>
      <c r="NCB225" s="801"/>
      <c r="NCC225" s="801"/>
      <c r="NCD225" s="802"/>
      <c r="NCE225" s="800"/>
      <c r="NCF225" s="801"/>
      <c r="NCG225" s="801"/>
      <c r="NCH225" s="801"/>
      <c r="NCI225" s="801"/>
      <c r="NCJ225" s="802"/>
      <c r="NCK225" s="800"/>
      <c r="NCL225" s="801"/>
      <c r="NCM225" s="801"/>
      <c r="NCN225" s="801"/>
      <c r="NCO225" s="801"/>
      <c r="NCP225" s="802"/>
      <c r="NCQ225" s="800"/>
      <c r="NCR225" s="801"/>
      <c r="NCS225" s="801"/>
      <c r="NCT225" s="801"/>
      <c r="NCU225" s="801"/>
      <c r="NCV225" s="802"/>
      <c r="NCW225" s="800"/>
      <c r="NCX225" s="801"/>
      <c r="NCY225" s="801"/>
      <c r="NCZ225" s="801"/>
      <c r="NDA225" s="801"/>
      <c r="NDB225" s="802"/>
      <c r="NDC225" s="800"/>
      <c r="NDD225" s="801"/>
      <c r="NDE225" s="801"/>
      <c r="NDF225" s="801"/>
      <c r="NDG225" s="801"/>
      <c r="NDH225" s="802"/>
      <c r="NDI225" s="800"/>
      <c r="NDJ225" s="801"/>
      <c r="NDK225" s="801"/>
      <c r="NDL225" s="801"/>
      <c r="NDM225" s="801"/>
      <c r="NDN225" s="802"/>
      <c r="NDO225" s="800"/>
      <c r="NDP225" s="801"/>
      <c r="NDQ225" s="801"/>
      <c r="NDR225" s="801"/>
      <c r="NDS225" s="801"/>
      <c r="NDT225" s="802"/>
      <c r="NDU225" s="800"/>
      <c r="NDV225" s="801"/>
      <c r="NDW225" s="801"/>
      <c r="NDX225" s="801"/>
      <c r="NDY225" s="801"/>
      <c r="NDZ225" s="802"/>
      <c r="NEA225" s="800"/>
      <c r="NEB225" s="801"/>
      <c r="NEC225" s="801"/>
      <c r="NED225" s="801"/>
      <c r="NEE225" s="801"/>
      <c r="NEF225" s="802"/>
      <c r="NEG225" s="800"/>
      <c r="NEH225" s="801"/>
      <c r="NEI225" s="801"/>
      <c r="NEJ225" s="801"/>
      <c r="NEK225" s="801"/>
      <c r="NEL225" s="802"/>
      <c r="NEM225" s="800"/>
      <c r="NEN225" s="801"/>
      <c r="NEO225" s="801"/>
      <c r="NEP225" s="801"/>
      <c r="NEQ225" s="801"/>
      <c r="NER225" s="802"/>
      <c r="NES225" s="800"/>
      <c r="NET225" s="801"/>
      <c r="NEU225" s="801"/>
      <c r="NEV225" s="801"/>
      <c r="NEW225" s="801"/>
      <c r="NEX225" s="802"/>
      <c r="NEY225" s="800"/>
      <c r="NEZ225" s="801"/>
      <c r="NFA225" s="801"/>
      <c r="NFB225" s="801"/>
      <c r="NFC225" s="801"/>
      <c r="NFD225" s="802"/>
      <c r="NFE225" s="800"/>
      <c r="NFF225" s="801"/>
      <c r="NFG225" s="801"/>
      <c r="NFH225" s="801"/>
      <c r="NFI225" s="801"/>
      <c r="NFJ225" s="802"/>
      <c r="NFK225" s="800"/>
      <c r="NFL225" s="801"/>
      <c r="NFM225" s="801"/>
      <c r="NFN225" s="801"/>
      <c r="NFO225" s="801"/>
      <c r="NFP225" s="802"/>
      <c r="NFQ225" s="800"/>
      <c r="NFR225" s="801"/>
      <c r="NFS225" s="801"/>
      <c r="NFT225" s="801"/>
      <c r="NFU225" s="801"/>
      <c r="NFV225" s="802"/>
      <c r="NFW225" s="800"/>
      <c r="NFX225" s="801"/>
      <c r="NFY225" s="801"/>
      <c r="NFZ225" s="801"/>
      <c r="NGA225" s="801"/>
      <c r="NGB225" s="802"/>
      <c r="NGC225" s="800"/>
      <c r="NGD225" s="801"/>
      <c r="NGE225" s="801"/>
      <c r="NGF225" s="801"/>
      <c r="NGG225" s="801"/>
      <c r="NGH225" s="802"/>
      <c r="NGI225" s="800"/>
      <c r="NGJ225" s="801"/>
      <c r="NGK225" s="801"/>
      <c r="NGL225" s="801"/>
      <c r="NGM225" s="801"/>
      <c r="NGN225" s="802"/>
      <c r="NGO225" s="800"/>
      <c r="NGP225" s="801"/>
      <c r="NGQ225" s="801"/>
      <c r="NGR225" s="801"/>
      <c r="NGS225" s="801"/>
      <c r="NGT225" s="802"/>
      <c r="NGU225" s="800"/>
      <c r="NGV225" s="801"/>
      <c r="NGW225" s="801"/>
      <c r="NGX225" s="801"/>
      <c r="NGY225" s="801"/>
      <c r="NGZ225" s="802"/>
      <c r="NHA225" s="800"/>
      <c r="NHB225" s="801"/>
      <c r="NHC225" s="801"/>
      <c r="NHD225" s="801"/>
      <c r="NHE225" s="801"/>
      <c r="NHF225" s="802"/>
      <c r="NHG225" s="800"/>
      <c r="NHH225" s="801"/>
      <c r="NHI225" s="801"/>
      <c r="NHJ225" s="801"/>
      <c r="NHK225" s="801"/>
      <c r="NHL225" s="802"/>
      <c r="NHM225" s="800"/>
      <c r="NHN225" s="801"/>
      <c r="NHO225" s="801"/>
      <c r="NHP225" s="801"/>
      <c r="NHQ225" s="801"/>
      <c r="NHR225" s="802"/>
      <c r="NHS225" s="800"/>
      <c r="NHT225" s="801"/>
      <c r="NHU225" s="801"/>
      <c r="NHV225" s="801"/>
      <c r="NHW225" s="801"/>
      <c r="NHX225" s="802"/>
      <c r="NHY225" s="800"/>
      <c r="NHZ225" s="801"/>
      <c r="NIA225" s="801"/>
      <c r="NIB225" s="801"/>
      <c r="NIC225" s="801"/>
      <c r="NID225" s="802"/>
      <c r="NIE225" s="800"/>
      <c r="NIF225" s="801"/>
      <c r="NIG225" s="801"/>
      <c r="NIH225" s="801"/>
      <c r="NII225" s="801"/>
      <c r="NIJ225" s="802"/>
      <c r="NIK225" s="800"/>
      <c r="NIL225" s="801"/>
      <c r="NIM225" s="801"/>
      <c r="NIN225" s="801"/>
      <c r="NIO225" s="801"/>
      <c r="NIP225" s="802"/>
      <c r="NIQ225" s="800"/>
      <c r="NIR225" s="801"/>
      <c r="NIS225" s="801"/>
      <c r="NIT225" s="801"/>
      <c r="NIU225" s="801"/>
      <c r="NIV225" s="802"/>
      <c r="NIW225" s="800"/>
      <c r="NIX225" s="801"/>
      <c r="NIY225" s="801"/>
      <c r="NIZ225" s="801"/>
      <c r="NJA225" s="801"/>
      <c r="NJB225" s="802"/>
      <c r="NJC225" s="800"/>
      <c r="NJD225" s="801"/>
      <c r="NJE225" s="801"/>
      <c r="NJF225" s="801"/>
      <c r="NJG225" s="801"/>
      <c r="NJH225" s="802"/>
      <c r="NJI225" s="800"/>
      <c r="NJJ225" s="801"/>
      <c r="NJK225" s="801"/>
      <c r="NJL225" s="801"/>
      <c r="NJM225" s="801"/>
      <c r="NJN225" s="802"/>
      <c r="NJO225" s="800"/>
      <c r="NJP225" s="801"/>
      <c r="NJQ225" s="801"/>
      <c r="NJR225" s="801"/>
      <c r="NJS225" s="801"/>
      <c r="NJT225" s="802"/>
      <c r="NJU225" s="800"/>
      <c r="NJV225" s="801"/>
      <c r="NJW225" s="801"/>
      <c r="NJX225" s="801"/>
      <c r="NJY225" s="801"/>
      <c r="NJZ225" s="802"/>
      <c r="NKA225" s="800"/>
      <c r="NKB225" s="801"/>
      <c r="NKC225" s="801"/>
      <c r="NKD225" s="801"/>
      <c r="NKE225" s="801"/>
      <c r="NKF225" s="802"/>
      <c r="NKG225" s="800"/>
      <c r="NKH225" s="801"/>
      <c r="NKI225" s="801"/>
      <c r="NKJ225" s="801"/>
      <c r="NKK225" s="801"/>
      <c r="NKL225" s="802"/>
      <c r="NKM225" s="800"/>
      <c r="NKN225" s="801"/>
      <c r="NKO225" s="801"/>
      <c r="NKP225" s="801"/>
      <c r="NKQ225" s="801"/>
      <c r="NKR225" s="802"/>
      <c r="NKS225" s="800"/>
      <c r="NKT225" s="801"/>
      <c r="NKU225" s="801"/>
      <c r="NKV225" s="801"/>
      <c r="NKW225" s="801"/>
      <c r="NKX225" s="802"/>
      <c r="NKY225" s="800"/>
      <c r="NKZ225" s="801"/>
      <c r="NLA225" s="801"/>
      <c r="NLB225" s="801"/>
      <c r="NLC225" s="801"/>
      <c r="NLD225" s="802"/>
      <c r="NLE225" s="800"/>
      <c r="NLF225" s="801"/>
      <c r="NLG225" s="801"/>
      <c r="NLH225" s="801"/>
      <c r="NLI225" s="801"/>
      <c r="NLJ225" s="802"/>
      <c r="NLK225" s="800"/>
      <c r="NLL225" s="801"/>
      <c r="NLM225" s="801"/>
      <c r="NLN225" s="801"/>
      <c r="NLO225" s="801"/>
      <c r="NLP225" s="802"/>
      <c r="NLQ225" s="800"/>
      <c r="NLR225" s="801"/>
      <c r="NLS225" s="801"/>
      <c r="NLT225" s="801"/>
      <c r="NLU225" s="801"/>
      <c r="NLV225" s="802"/>
      <c r="NLW225" s="800"/>
      <c r="NLX225" s="801"/>
      <c r="NLY225" s="801"/>
      <c r="NLZ225" s="801"/>
      <c r="NMA225" s="801"/>
      <c r="NMB225" s="802"/>
      <c r="NMC225" s="800"/>
      <c r="NMD225" s="801"/>
      <c r="NME225" s="801"/>
      <c r="NMF225" s="801"/>
      <c r="NMG225" s="801"/>
      <c r="NMH225" s="802"/>
      <c r="NMI225" s="800"/>
      <c r="NMJ225" s="801"/>
      <c r="NMK225" s="801"/>
      <c r="NML225" s="801"/>
      <c r="NMM225" s="801"/>
      <c r="NMN225" s="802"/>
      <c r="NMO225" s="800"/>
      <c r="NMP225" s="801"/>
      <c r="NMQ225" s="801"/>
      <c r="NMR225" s="801"/>
      <c r="NMS225" s="801"/>
      <c r="NMT225" s="802"/>
      <c r="NMU225" s="800"/>
      <c r="NMV225" s="801"/>
      <c r="NMW225" s="801"/>
      <c r="NMX225" s="801"/>
      <c r="NMY225" s="801"/>
      <c r="NMZ225" s="802"/>
      <c r="NNA225" s="800"/>
      <c r="NNB225" s="801"/>
      <c r="NNC225" s="801"/>
      <c r="NND225" s="801"/>
      <c r="NNE225" s="801"/>
      <c r="NNF225" s="802"/>
      <c r="NNG225" s="800"/>
      <c r="NNH225" s="801"/>
      <c r="NNI225" s="801"/>
      <c r="NNJ225" s="801"/>
      <c r="NNK225" s="801"/>
      <c r="NNL225" s="802"/>
      <c r="NNM225" s="800"/>
      <c r="NNN225" s="801"/>
      <c r="NNO225" s="801"/>
      <c r="NNP225" s="801"/>
      <c r="NNQ225" s="801"/>
      <c r="NNR225" s="802"/>
      <c r="NNS225" s="800"/>
      <c r="NNT225" s="801"/>
      <c r="NNU225" s="801"/>
      <c r="NNV225" s="801"/>
      <c r="NNW225" s="801"/>
      <c r="NNX225" s="802"/>
      <c r="NNY225" s="800"/>
      <c r="NNZ225" s="801"/>
      <c r="NOA225" s="801"/>
      <c r="NOB225" s="801"/>
      <c r="NOC225" s="801"/>
      <c r="NOD225" s="802"/>
      <c r="NOE225" s="800"/>
      <c r="NOF225" s="801"/>
      <c r="NOG225" s="801"/>
      <c r="NOH225" s="801"/>
      <c r="NOI225" s="801"/>
      <c r="NOJ225" s="802"/>
      <c r="NOK225" s="800"/>
      <c r="NOL225" s="801"/>
      <c r="NOM225" s="801"/>
      <c r="NON225" s="801"/>
      <c r="NOO225" s="801"/>
      <c r="NOP225" s="802"/>
      <c r="NOQ225" s="800"/>
      <c r="NOR225" s="801"/>
      <c r="NOS225" s="801"/>
      <c r="NOT225" s="801"/>
      <c r="NOU225" s="801"/>
      <c r="NOV225" s="802"/>
      <c r="NOW225" s="800"/>
      <c r="NOX225" s="801"/>
      <c r="NOY225" s="801"/>
      <c r="NOZ225" s="801"/>
      <c r="NPA225" s="801"/>
      <c r="NPB225" s="802"/>
      <c r="NPC225" s="800"/>
      <c r="NPD225" s="801"/>
      <c r="NPE225" s="801"/>
      <c r="NPF225" s="801"/>
      <c r="NPG225" s="801"/>
      <c r="NPH225" s="802"/>
      <c r="NPI225" s="800"/>
      <c r="NPJ225" s="801"/>
      <c r="NPK225" s="801"/>
      <c r="NPL225" s="801"/>
      <c r="NPM225" s="801"/>
      <c r="NPN225" s="802"/>
      <c r="NPO225" s="800"/>
      <c r="NPP225" s="801"/>
      <c r="NPQ225" s="801"/>
      <c r="NPR225" s="801"/>
      <c r="NPS225" s="801"/>
      <c r="NPT225" s="802"/>
      <c r="NPU225" s="800"/>
      <c r="NPV225" s="801"/>
      <c r="NPW225" s="801"/>
      <c r="NPX225" s="801"/>
      <c r="NPY225" s="801"/>
      <c r="NPZ225" s="802"/>
      <c r="NQA225" s="800"/>
      <c r="NQB225" s="801"/>
      <c r="NQC225" s="801"/>
      <c r="NQD225" s="801"/>
      <c r="NQE225" s="801"/>
      <c r="NQF225" s="802"/>
      <c r="NQG225" s="800"/>
      <c r="NQH225" s="801"/>
      <c r="NQI225" s="801"/>
      <c r="NQJ225" s="801"/>
      <c r="NQK225" s="801"/>
      <c r="NQL225" s="802"/>
      <c r="NQM225" s="800"/>
      <c r="NQN225" s="801"/>
      <c r="NQO225" s="801"/>
      <c r="NQP225" s="801"/>
      <c r="NQQ225" s="801"/>
      <c r="NQR225" s="802"/>
      <c r="NQS225" s="800"/>
      <c r="NQT225" s="801"/>
      <c r="NQU225" s="801"/>
      <c r="NQV225" s="801"/>
      <c r="NQW225" s="801"/>
      <c r="NQX225" s="802"/>
      <c r="NQY225" s="800"/>
      <c r="NQZ225" s="801"/>
      <c r="NRA225" s="801"/>
      <c r="NRB225" s="801"/>
      <c r="NRC225" s="801"/>
      <c r="NRD225" s="802"/>
      <c r="NRE225" s="800"/>
      <c r="NRF225" s="801"/>
      <c r="NRG225" s="801"/>
      <c r="NRH225" s="801"/>
      <c r="NRI225" s="801"/>
      <c r="NRJ225" s="802"/>
      <c r="NRK225" s="800"/>
      <c r="NRL225" s="801"/>
      <c r="NRM225" s="801"/>
      <c r="NRN225" s="801"/>
      <c r="NRO225" s="801"/>
      <c r="NRP225" s="802"/>
      <c r="NRQ225" s="800"/>
      <c r="NRR225" s="801"/>
      <c r="NRS225" s="801"/>
      <c r="NRT225" s="801"/>
      <c r="NRU225" s="801"/>
      <c r="NRV225" s="802"/>
      <c r="NRW225" s="800"/>
      <c r="NRX225" s="801"/>
      <c r="NRY225" s="801"/>
      <c r="NRZ225" s="801"/>
      <c r="NSA225" s="801"/>
      <c r="NSB225" s="802"/>
      <c r="NSC225" s="800"/>
      <c r="NSD225" s="801"/>
      <c r="NSE225" s="801"/>
      <c r="NSF225" s="801"/>
      <c r="NSG225" s="801"/>
      <c r="NSH225" s="802"/>
      <c r="NSI225" s="800"/>
      <c r="NSJ225" s="801"/>
      <c r="NSK225" s="801"/>
      <c r="NSL225" s="801"/>
      <c r="NSM225" s="801"/>
      <c r="NSN225" s="802"/>
      <c r="NSO225" s="800"/>
      <c r="NSP225" s="801"/>
      <c r="NSQ225" s="801"/>
      <c r="NSR225" s="801"/>
      <c r="NSS225" s="801"/>
      <c r="NST225" s="802"/>
      <c r="NSU225" s="800"/>
      <c r="NSV225" s="801"/>
      <c r="NSW225" s="801"/>
      <c r="NSX225" s="801"/>
      <c r="NSY225" s="801"/>
      <c r="NSZ225" s="802"/>
      <c r="NTA225" s="800"/>
      <c r="NTB225" s="801"/>
      <c r="NTC225" s="801"/>
      <c r="NTD225" s="801"/>
      <c r="NTE225" s="801"/>
      <c r="NTF225" s="802"/>
      <c r="NTG225" s="800"/>
      <c r="NTH225" s="801"/>
      <c r="NTI225" s="801"/>
      <c r="NTJ225" s="801"/>
      <c r="NTK225" s="801"/>
      <c r="NTL225" s="802"/>
      <c r="NTM225" s="800"/>
      <c r="NTN225" s="801"/>
      <c r="NTO225" s="801"/>
      <c r="NTP225" s="801"/>
      <c r="NTQ225" s="801"/>
      <c r="NTR225" s="802"/>
      <c r="NTS225" s="800"/>
      <c r="NTT225" s="801"/>
      <c r="NTU225" s="801"/>
      <c r="NTV225" s="801"/>
      <c r="NTW225" s="801"/>
      <c r="NTX225" s="802"/>
      <c r="NTY225" s="800"/>
      <c r="NTZ225" s="801"/>
      <c r="NUA225" s="801"/>
      <c r="NUB225" s="801"/>
      <c r="NUC225" s="801"/>
      <c r="NUD225" s="802"/>
      <c r="NUE225" s="800"/>
      <c r="NUF225" s="801"/>
      <c r="NUG225" s="801"/>
      <c r="NUH225" s="801"/>
      <c r="NUI225" s="801"/>
      <c r="NUJ225" s="802"/>
      <c r="NUK225" s="800"/>
      <c r="NUL225" s="801"/>
      <c r="NUM225" s="801"/>
      <c r="NUN225" s="801"/>
      <c r="NUO225" s="801"/>
      <c r="NUP225" s="802"/>
      <c r="NUQ225" s="800"/>
      <c r="NUR225" s="801"/>
      <c r="NUS225" s="801"/>
      <c r="NUT225" s="801"/>
      <c r="NUU225" s="801"/>
      <c r="NUV225" s="802"/>
      <c r="NUW225" s="800"/>
      <c r="NUX225" s="801"/>
      <c r="NUY225" s="801"/>
      <c r="NUZ225" s="801"/>
      <c r="NVA225" s="801"/>
      <c r="NVB225" s="802"/>
      <c r="NVC225" s="800"/>
      <c r="NVD225" s="801"/>
      <c r="NVE225" s="801"/>
      <c r="NVF225" s="801"/>
      <c r="NVG225" s="801"/>
      <c r="NVH225" s="802"/>
      <c r="NVI225" s="800"/>
      <c r="NVJ225" s="801"/>
      <c r="NVK225" s="801"/>
      <c r="NVL225" s="801"/>
      <c r="NVM225" s="801"/>
      <c r="NVN225" s="802"/>
      <c r="NVO225" s="800"/>
      <c r="NVP225" s="801"/>
      <c r="NVQ225" s="801"/>
      <c r="NVR225" s="801"/>
      <c r="NVS225" s="801"/>
      <c r="NVT225" s="802"/>
      <c r="NVU225" s="800"/>
      <c r="NVV225" s="801"/>
      <c r="NVW225" s="801"/>
      <c r="NVX225" s="801"/>
      <c r="NVY225" s="801"/>
      <c r="NVZ225" s="802"/>
      <c r="NWA225" s="800"/>
      <c r="NWB225" s="801"/>
      <c r="NWC225" s="801"/>
      <c r="NWD225" s="801"/>
      <c r="NWE225" s="801"/>
      <c r="NWF225" s="802"/>
      <c r="NWG225" s="800"/>
      <c r="NWH225" s="801"/>
      <c r="NWI225" s="801"/>
      <c r="NWJ225" s="801"/>
      <c r="NWK225" s="801"/>
      <c r="NWL225" s="802"/>
      <c r="NWM225" s="800"/>
      <c r="NWN225" s="801"/>
      <c r="NWO225" s="801"/>
      <c r="NWP225" s="801"/>
      <c r="NWQ225" s="801"/>
      <c r="NWR225" s="802"/>
      <c r="NWS225" s="800"/>
      <c r="NWT225" s="801"/>
      <c r="NWU225" s="801"/>
      <c r="NWV225" s="801"/>
      <c r="NWW225" s="801"/>
      <c r="NWX225" s="802"/>
      <c r="NWY225" s="800"/>
      <c r="NWZ225" s="801"/>
      <c r="NXA225" s="801"/>
      <c r="NXB225" s="801"/>
      <c r="NXC225" s="801"/>
      <c r="NXD225" s="802"/>
      <c r="NXE225" s="800"/>
      <c r="NXF225" s="801"/>
      <c r="NXG225" s="801"/>
      <c r="NXH225" s="801"/>
      <c r="NXI225" s="801"/>
      <c r="NXJ225" s="802"/>
      <c r="NXK225" s="800"/>
      <c r="NXL225" s="801"/>
      <c r="NXM225" s="801"/>
      <c r="NXN225" s="801"/>
      <c r="NXO225" s="801"/>
      <c r="NXP225" s="802"/>
      <c r="NXQ225" s="800"/>
      <c r="NXR225" s="801"/>
      <c r="NXS225" s="801"/>
      <c r="NXT225" s="801"/>
      <c r="NXU225" s="801"/>
      <c r="NXV225" s="802"/>
      <c r="NXW225" s="800"/>
      <c r="NXX225" s="801"/>
      <c r="NXY225" s="801"/>
      <c r="NXZ225" s="801"/>
      <c r="NYA225" s="801"/>
      <c r="NYB225" s="802"/>
      <c r="NYC225" s="800"/>
      <c r="NYD225" s="801"/>
      <c r="NYE225" s="801"/>
      <c r="NYF225" s="801"/>
      <c r="NYG225" s="801"/>
      <c r="NYH225" s="802"/>
      <c r="NYI225" s="800"/>
      <c r="NYJ225" s="801"/>
      <c r="NYK225" s="801"/>
      <c r="NYL225" s="801"/>
      <c r="NYM225" s="801"/>
      <c r="NYN225" s="802"/>
      <c r="NYO225" s="800"/>
      <c r="NYP225" s="801"/>
      <c r="NYQ225" s="801"/>
      <c r="NYR225" s="801"/>
      <c r="NYS225" s="801"/>
      <c r="NYT225" s="802"/>
      <c r="NYU225" s="800"/>
      <c r="NYV225" s="801"/>
      <c r="NYW225" s="801"/>
      <c r="NYX225" s="801"/>
      <c r="NYY225" s="801"/>
      <c r="NYZ225" s="802"/>
      <c r="NZA225" s="800"/>
      <c r="NZB225" s="801"/>
      <c r="NZC225" s="801"/>
      <c r="NZD225" s="801"/>
      <c r="NZE225" s="801"/>
      <c r="NZF225" s="802"/>
      <c r="NZG225" s="800"/>
      <c r="NZH225" s="801"/>
      <c r="NZI225" s="801"/>
      <c r="NZJ225" s="801"/>
      <c r="NZK225" s="801"/>
      <c r="NZL225" s="802"/>
      <c r="NZM225" s="800"/>
      <c r="NZN225" s="801"/>
      <c r="NZO225" s="801"/>
      <c r="NZP225" s="801"/>
      <c r="NZQ225" s="801"/>
      <c r="NZR225" s="802"/>
      <c r="NZS225" s="800"/>
      <c r="NZT225" s="801"/>
      <c r="NZU225" s="801"/>
      <c r="NZV225" s="801"/>
      <c r="NZW225" s="801"/>
      <c r="NZX225" s="802"/>
      <c r="NZY225" s="800"/>
      <c r="NZZ225" s="801"/>
      <c r="OAA225" s="801"/>
      <c r="OAB225" s="801"/>
      <c r="OAC225" s="801"/>
      <c r="OAD225" s="802"/>
      <c r="OAE225" s="800"/>
      <c r="OAF225" s="801"/>
      <c r="OAG225" s="801"/>
      <c r="OAH225" s="801"/>
      <c r="OAI225" s="801"/>
      <c r="OAJ225" s="802"/>
      <c r="OAK225" s="800"/>
      <c r="OAL225" s="801"/>
      <c r="OAM225" s="801"/>
      <c r="OAN225" s="801"/>
      <c r="OAO225" s="801"/>
      <c r="OAP225" s="802"/>
      <c r="OAQ225" s="800"/>
      <c r="OAR225" s="801"/>
      <c r="OAS225" s="801"/>
      <c r="OAT225" s="801"/>
      <c r="OAU225" s="801"/>
      <c r="OAV225" s="802"/>
      <c r="OAW225" s="800"/>
      <c r="OAX225" s="801"/>
      <c r="OAY225" s="801"/>
      <c r="OAZ225" s="801"/>
      <c r="OBA225" s="801"/>
      <c r="OBB225" s="802"/>
      <c r="OBC225" s="800"/>
      <c r="OBD225" s="801"/>
      <c r="OBE225" s="801"/>
      <c r="OBF225" s="801"/>
      <c r="OBG225" s="801"/>
      <c r="OBH225" s="802"/>
      <c r="OBI225" s="800"/>
      <c r="OBJ225" s="801"/>
      <c r="OBK225" s="801"/>
      <c r="OBL225" s="801"/>
      <c r="OBM225" s="801"/>
      <c r="OBN225" s="802"/>
      <c r="OBO225" s="800"/>
      <c r="OBP225" s="801"/>
      <c r="OBQ225" s="801"/>
      <c r="OBR225" s="801"/>
      <c r="OBS225" s="801"/>
      <c r="OBT225" s="802"/>
      <c r="OBU225" s="800"/>
      <c r="OBV225" s="801"/>
      <c r="OBW225" s="801"/>
      <c r="OBX225" s="801"/>
      <c r="OBY225" s="801"/>
      <c r="OBZ225" s="802"/>
      <c r="OCA225" s="800"/>
      <c r="OCB225" s="801"/>
      <c r="OCC225" s="801"/>
      <c r="OCD225" s="801"/>
      <c r="OCE225" s="801"/>
      <c r="OCF225" s="802"/>
      <c r="OCG225" s="800"/>
      <c r="OCH225" s="801"/>
      <c r="OCI225" s="801"/>
      <c r="OCJ225" s="801"/>
      <c r="OCK225" s="801"/>
      <c r="OCL225" s="802"/>
      <c r="OCM225" s="800"/>
      <c r="OCN225" s="801"/>
      <c r="OCO225" s="801"/>
      <c r="OCP225" s="801"/>
      <c r="OCQ225" s="801"/>
      <c r="OCR225" s="802"/>
      <c r="OCS225" s="800"/>
      <c r="OCT225" s="801"/>
      <c r="OCU225" s="801"/>
      <c r="OCV225" s="801"/>
      <c r="OCW225" s="801"/>
      <c r="OCX225" s="802"/>
      <c r="OCY225" s="800"/>
      <c r="OCZ225" s="801"/>
      <c r="ODA225" s="801"/>
      <c r="ODB225" s="801"/>
      <c r="ODC225" s="801"/>
      <c r="ODD225" s="802"/>
      <c r="ODE225" s="800"/>
      <c r="ODF225" s="801"/>
      <c r="ODG225" s="801"/>
      <c r="ODH225" s="801"/>
      <c r="ODI225" s="801"/>
      <c r="ODJ225" s="802"/>
      <c r="ODK225" s="800"/>
      <c r="ODL225" s="801"/>
      <c r="ODM225" s="801"/>
      <c r="ODN225" s="801"/>
      <c r="ODO225" s="801"/>
      <c r="ODP225" s="802"/>
      <c r="ODQ225" s="800"/>
      <c r="ODR225" s="801"/>
      <c r="ODS225" s="801"/>
      <c r="ODT225" s="801"/>
      <c r="ODU225" s="801"/>
      <c r="ODV225" s="802"/>
      <c r="ODW225" s="800"/>
      <c r="ODX225" s="801"/>
      <c r="ODY225" s="801"/>
      <c r="ODZ225" s="801"/>
      <c r="OEA225" s="801"/>
      <c r="OEB225" s="802"/>
      <c r="OEC225" s="800"/>
      <c r="OED225" s="801"/>
      <c r="OEE225" s="801"/>
      <c r="OEF225" s="801"/>
      <c r="OEG225" s="801"/>
      <c r="OEH225" s="802"/>
      <c r="OEI225" s="800"/>
      <c r="OEJ225" s="801"/>
      <c r="OEK225" s="801"/>
      <c r="OEL225" s="801"/>
      <c r="OEM225" s="801"/>
      <c r="OEN225" s="802"/>
      <c r="OEO225" s="800"/>
      <c r="OEP225" s="801"/>
      <c r="OEQ225" s="801"/>
      <c r="OER225" s="801"/>
      <c r="OES225" s="801"/>
      <c r="OET225" s="802"/>
      <c r="OEU225" s="800"/>
      <c r="OEV225" s="801"/>
      <c r="OEW225" s="801"/>
      <c r="OEX225" s="801"/>
      <c r="OEY225" s="801"/>
      <c r="OEZ225" s="802"/>
      <c r="OFA225" s="800"/>
      <c r="OFB225" s="801"/>
      <c r="OFC225" s="801"/>
      <c r="OFD225" s="801"/>
      <c r="OFE225" s="801"/>
      <c r="OFF225" s="802"/>
      <c r="OFG225" s="800"/>
      <c r="OFH225" s="801"/>
      <c r="OFI225" s="801"/>
      <c r="OFJ225" s="801"/>
      <c r="OFK225" s="801"/>
      <c r="OFL225" s="802"/>
      <c r="OFM225" s="800"/>
      <c r="OFN225" s="801"/>
      <c r="OFO225" s="801"/>
      <c r="OFP225" s="801"/>
      <c r="OFQ225" s="801"/>
      <c r="OFR225" s="802"/>
      <c r="OFS225" s="800"/>
      <c r="OFT225" s="801"/>
      <c r="OFU225" s="801"/>
      <c r="OFV225" s="801"/>
      <c r="OFW225" s="801"/>
      <c r="OFX225" s="802"/>
      <c r="OFY225" s="800"/>
      <c r="OFZ225" s="801"/>
      <c r="OGA225" s="801"/>
      <c r="OGB225" s="801"/>
      <c r="OGC225" s="801"/>
      <c r="OGD225" s="802"/>
      <c r="OGE225" s="800"/>
      <c r="OGF225" s="801"/>
      <c r="OGG225" s="801"/>
      <c r="OGH225" s="801"/>
      <c r="OGI225" s="801"/>
      <c r="OGJ225" s="802"/>
      <c r="OGK225" s="800"/>
      <c r="OGL225" s="801"/>
      <c r="OGM225" s="801"/>
      <c r="OGN225" s="801"/>
      <c r="OGO225" s="801"/>
      <c r="OGP225" s="802"/>
      <c r="OGQ225" s="800"/>
      <c r="OGR225" s="801"/>
      <c r="OGS225" s="801"/>
      <c r="OGT225" s="801"/>
      <c r="OGU225" s="801"/>
      <c r="OGV225" s="802"/>
      <c r="OGW225" s="800"/>
      <c r="OGX225" s="801"/>
      <c r="OGY225" s="801"/>
      <c r="OGZ225" s="801"/>
      <c r="OHA225" s="801"/>
      <c r="OHB225" s="802"/>
      <c r="OHC225" s="800"/>
      <c r="OHD225" s="801"/>
      <c r="OHE225" s="801"/>
      <c r="OHF225" s="801"/>
      <c r="OHG225" s="801"/>
      <c r="OHH225" s="802"/>
      <c r="OHI225" s="800"/>
      <c r="OHJ225" s="801"/>
      <c r="OHK225" s="801"/>
      <c r="OHL225" s="801"/>
      <c r="OHM225" s="801"/>
      <c r="OHN225" s="802"/>
      <c r="OHO225" s="800"/>
      <c r="OHP225" s="801"/>
      <c r="OHQ225" s="801"/>
      <c r="OHR225" s="801"/>
      <c r="OHS225" s="801"/>
      <c r="OHT225" s="802"/>
      <c r="OHU225" s="800"/>
      <c r="OHV225" s="801"/>
      <c r="OHW225" s="801"/>
      <c r="OHX225" s="801"/>
      <c r="OHY225" s="801"/>
      <c r="OHZ225" s="802"/>
      <c r="OIA225" s="800"/>
      <c r="OIB225" s="801"/>
      <c r="OIC225" s="801"/>
      <c r="OID225" s="801"/>
      <c r="OIE225" s="801"/>
      <c r="OIF225" s="802"/>
      <c r="OIG225" s="800"/>
      <c r="OIH225" s="801"/>
      <c r="OII225" s="801"/>
      <c r="OIJ225" s="801"/>
      <c r="OIK225" s="801"/>
      <c r="OIL225" s="802"/>
      <c r="OIM225" s="800"/>
      <c r="OIN225" s="801"/>
      <c r="OIO225" s="801"/>
      <c r="OIP225" s="801"/>
      <c r="OIQ225" s="801"/>
      <c r="OIR225" s="802"/>
      <c r="OIS225" s="800"/>
      <c r="OIT225" s="801"/>
      <c r="OIU225" s="801"/>
      <c r="OIV225" s="801"/>
      <c r="OIW225" s="801"/>
      <c r="OIX225" s="802"/>
      <c r="OIY225" s="800"/>
      <c r="OIZ225" s="801"/>
      <c r="OJA225" s="801"/>
      <c r="OJB225" s="801"/>
      <c r="OJC225" s="801"/>
      <c r="OJD225" s="802"/>
      <c r="OJE225" s="800"/>
      <c r="OJF225" s="801"/>
      <c r="OJG225" s="801"/>
      <c r="OJH225" s="801"/>
      <c r="OJI225" s="801"/>
      <c r="OJJ225" s="802"/>
      <c r="OJK225" s="800"/>
      <c r="OJL225" s="801"/>
      <c r="OJM225" s="801"/>
      <c r="OJN225" s="801"/>
      <c r="OJO225" s="801"/>
      <c r="OJP225" s="802"/>
      <c r="OJQ225" s="800"/>
      <c r="OJR225" s="801"/>
      <c r="OJS225" s="801"/>
      <c r="OJT225" s="801"/>
      <c r="OJU225" s="801"/>
      <c r="OJV225" s="802"/>
      <c r="OJW225" s="800"/>
      <c r="OJX225" s="801"/>
      <c r="OJY225" s="801"/>
      <c r="OJZ225" s="801"/>
      <c r="OKA225" s="801"/>
      <c r="OKB225" s="802"/>
      <c r="OKC225" s="800"/>
      <c r="OKD225" s="801"/>
      <c r="OKE225" s="801"/>
      <c r="OKF225" s="801"/>
      <c r="OKG225" s="801"/>
      <c r="OKH225" s="802"/>
      <c r="OKI225" s="800"/>
      <c r="OKJ225" s="801"/>
      <c r="OKK225" s="801"/>
      <c r="OKL225" s="801"/>
      <c r="OKM225" s="801"/>
      <c r="OKN225" s="802"/>
      <c r="OKO225" s="800"/>
      <c r="OKP225" s="801"/>
      <c r="OKQ225" s="801"/>
      <c r="OKR225" s="801"/>
      <c r="OKS225" s="801"/>
      <c r="OKT225" s="802"/>
      <c r="OKU225" s="800"/>
      <c r="OKV225" s="801"/>
      <c r="OKW225" s="801"/>
      <c r="OKX225" s="801"/>
      <c r="OKY225" s="801"/>
      <c r="OKZ225" s="802"/>
      <c r="OLA225" s="800"/>
      <c r="OLB225" s="801"/>
      <c r="OLC225" s="801"/>
      <c r="OLD225" s="801"/>
      <c r="OLE225" s="801"/>
      <c r="OLF225" s="802"/>
      <c r="OLG225" s="800"/>
      <c r="OLH225" s="801"/>
      <c r="OLI225" s="801"/>
      <c r="OLJ225" s="801"/>
      <c r="OLK225" s="801"/>
      <c r="OLL225" s="802"/>
      <c r="OLM225" s="800"/>
      <c r="OLN225" s="801"/>
      <c r="OLO225" s="801"/>
      <c r="OLP225" s="801"/>
      <c r="OLQ225" s="801"/>
      <c r="OLR225" s="802"/>
      <c r="OLS225" s="800"/>
      <c r="OLT225" s="801"/>
      <c r="OLU225" s="801"/>
      <c r="OLV225" s="801"/>
      <c r="OLW225" s="801"/>
      <c r="OLX225" s="802"/>
      <c r="OLY225" s="800"/>
      <c r="OLZ225" s="801"/>
      <c r="OMA225" s="801"/>
      <c r="OMB225" s="801"/>
      <c r="OMC225" s="801"/>
      <c r="OMD225" s="802"/>
      <c r="OME225" s="800"/>
      <c r="OMF225" s="801"/>
      <c r="OMG225" s="801"/>
      <c r="OMH225" s="801"/>
      <c r="OMI225" s="801"/>
      <c r="OMJ225" s="802"/>
      <c r="OMK225" s="800"/>
      <c r="OML225" s="801"/>
      <c r="OMM225" s="801"/>
      <c r="OMN225" s="801"/>
      <c r="OMO225" s="801"/>
      <c r="OMP225" s="802"/>
      <c r="OMQ225" s="800"/>
      <c r="OMR225" s="801"/>
      <c r="OMS225" s="801"/>
      <c r="OMT225" s="801"/>
      <c r="OMU225" s="801"/>
      <c r="OMV225" s="802"/>
      <c r="OMW225" s="800"/>
      <c r="OMX225" s="801"/>
      <c r="OMY225" s="801"/>
      <c r="OMZ225" s="801"/>
      <c r="ONA225" s="801"/>
      <c r="ONB225" s="802"/>
      <c r="ONC225" s="800"/>
      <c r="OND225" s="801"/>
      <c r="ONE225" s="801"/>
      <c r="ONF225" s="801"/>
      <c r="ONG225" s="801"/>
      <c r="ONH225" s="802"/>
      <c r="ONI225" s="800"/>
      <c r="ONJ225" s="801"/>
      <c r="ONK225" s="801"/>
      <c r="ONL225" s="801"/>
      <c r="ONM225" s="801"/>
      <c r="ONN225" s="802"/>
      <c r="ONO225" s="800"/>
      <c r="ONP225" s="801"/>
      <c r="ONQ225" s="801"/>
      <c r="ONR225" s="801"/>
      <c r="ONS225" s="801"/>
      <c r="ONT225" s="802"/>
      <c r="ONU225" s="800"/>
      <c r="ONV225" s="801"/>
      <c r="ONW225" s="801"/>
      <c r="ONX225" s="801"/>
      <c r="ONY225" s="801"/>
      <c r="ONZ225" s="802"/>
      <c r="OOA225" s="800"/>
      <c r="OOB225" s="801"/>
      <c r="OOC225" s="801"/>
      <c r="OOD225" s="801"/>
      <c r="OOE225" s="801"/>
      <c r="OOF225" s="802"/>
      <c r="OOG225" s="800"/>
      <c r="OOH225" s="801"/>
      <c r="OOI225" s="801"/>
      <c r="OOJ225" s="801"/>
      <c r="OOK225" s="801"/>
      <c r="OOL225" s="802"/>
      <c r="OOM225" s="800"/>
      <c r="OON225" s="801"/>
      <c r="OOO225" s="801"/>
      <c r="OOP225" s="801"/>
      <c r="OOQ225" s="801"/>
      <c r="OOR225" s="802"/>
      <c r="OOS225" s="800"/>
      <c r="OOT225" s="801"/>
      <c r="OOU225" s="801"/>
      <c r="OOV225" s="801"/>
      <c r="OOW225" s="801"/>
      <c r="OOX225" s="802"/>
      <c r="OOY225" s="800"/>
      <c r="OOZ225" s="801"/>
      <c r="OPA225" s="801"/>
      <c r="OPB225" s="801"/>
      <c r="OPC225" s="801"/>
      <c r="OPD225" s="802"/>
      <c r="OPE225" s="800"/>
      <c r="OPF225" s="801"/>
      <c r="OPG225" s="801"/>
      <c r="OPH225" s="801"/>
      <c r="OPI225" s="801"/>
      <c r="OPJ225" s="802"/>
      <c r="OPK225" s="800"/>
      <c r="OPL225" s="801"/>
      <c r="OPM225" s="801"/>
      <c r="OPN225" s="801"/>
      <c r="OPO225" s="801"/>
      <c r="OPP225" s="802"/>
      <c r="OPQ225" s="800"/>
      <c r="OPR225" s="801"/>
      <c r="OPS225" s="801"/>
      <c r="OPT225" s="801"/>
      <c r="OPU225" s="801"/>
      <c r="OPV225" s="802"/>
      <c r="OPW225" s="800"/>
      <c r="OPX225" s="801"/>
      <c r="OPY225" s="801"/>
      <c r="OPZ225" s="801"/>
      <c r="OQA225" s="801"/>
      <c r="OQB225" s="802"/>
      <c r="OQC225" s="800"/>
      <c r="OQD225" s="801"/>
      <c r="OQE225" s="801"/>
      <c r="OQF225" s="801"/>
      <c r="OQG225" s="801"/>
      <c r="OQH225" s="802"/>
      <c r="OQI225" s="800"/>
      <c r="OQJ225" s="801"/>
      <c r="OQK225" s="801"/>
      <c r="OQL225" s="801"/>
      <c r="OQM225" s="801"/>
      <c r="OQN225" s="802"/>
      <c r="OQO225" s="800"/>
      <c r="OQP225" s="801"/>
      <c r="OQQ225" s="801"/>
      <c r="OQR225" s="801"/>
      <c r="OQS225" s="801"/>
      <c r="OQT225" s="802"/>
      <c r="OQU225" s="800"/>
      <c r="OQV225" s="801"/>
      <c r="OQW225" s="801"/>
      <c r="OQX225" s="801"/>
      <c r="OQY225" s="801"/>
      <c r="OQZ225" s="802"/>
      <c r="ORA225" s="800"/>
      <c r="ORB225" s="801"/>
      <c r="ORC225" s="801"/>
      <c r="ORD225" s="801"/>
      <c r="ORE225" s="801"/>
      <c r="ORF225" s="802"/>
      <c r="ORG225" s="800"/>
      <c r="ORH225" s="801"/>
      <c r="ORI225" s="801"/>
      <c r="ORJ225" s="801"/>
      <c r="ORK225" s="801"/>
      <c r="ORL225" s="802"/>
      <c r="ORM225" s="800"/>
      <c r="ORN225" s="801"/>
      <c r="ORO225" s="801"/>
      <c r="ORP225" s="801"/>
      <c r="ORQ225" s="801"/>
      <c r="ORR225" s="802"/>
      <c r="ORS225" s="800"/>
      <c r="ORT225" s="801"/>
      <c r="ORU225" s="801"/>
      <c r="ORV225" s="801"/>
      <c r="ORW225" s="801"/>
      <c r="ORX225" s="802"/>
      <c r="ORY225" s="800"/>
      <c r="ORZ225" s="801"/>
      <c r="OSA225" s="801"/>
      <c r="OSB225" s="801"/>
      <c r="OSC225" s="801"/>
      <c r="OSD225" s="802"/>
      <c r="OSE225" s="800"/>
      <c r="OSF225" s="801"/>
      <c r="OSG225" s="801"/>
      <c r="OSH225" s="801"/>
      <c r="OSI225" s="801"/>
      <c r="OSJ225" s="802"/>
      <c r="OSK225" s="800"/>
      <c r="OSL225" s="801"/>
      <c r="OSM225" s="801"/>
      <c r="OSN225" s="801"/>
      <c r="OSO225" s="801"/>
      <c r="OSP225" s="802"/>
      <c r="OSQ225" s="800"/>
      <c r="OSR225" s="801"/>
      <c r="OSS225" s="801"/>
      <c r="OST225" s="801"/>
      <c r="OSU225" s="801"/>
      <c r="OSV225" s="802"/>
      <c r="OSW225" s="800"/>
      <c r="OSX225" s="801"/>
      <c r="OSY225" s="801"/>
      <c r="OSZ225" s="801"/>
      <c r="OTA225" s="801"/>
      <c r="OTB225" s="802"/>
      <c r="OTC225" s="800"/>
      <c r="OTD225" s="801"/>
      <c r="OTE225" s="801"/>
      <c r="OTF225" s="801"/>
      <c r="OTG225" s="801"/>
      <c r="OTH225" s="802"/>
      <c r="OTI225" s="800"/>
      <c r="OTJ225" s="801"/>
      <c r="OTK225" s="801"/>
      <c r="OTL225" s="801"/>
      <c r="OTM225" s="801"/>
      <c r="OTN225" s="802"/>
      <c r="OTO225" s="800"/>
      <c r="OTP225" s="801"/>
      <c r="OTQ225" s="801"/>
      <c r="OTR225" s="801"/>
      <c r="OTS225" s="801"/>
      <c r="OTT225" s="802"/>
      <c r="OTU225" s="800"/>
      <c r="OTV225" s="801"/>
      <c r="OTW225" s="801"/>
      <c r="OTX225" s="801"/>
      <c r="OTY225" s="801"/>
      <c r="OTZ225" s="802"/>
      <c r="OUA225" s="800"/>
      <c r="OUB225" s="801"/>
      <c r="OUC225" s="801"/>
      <c r="OUD225" s="801"/>
      <c r="OUE225" s="801"/>
      <c r="OUF225" s="802"/>
      <c r="OUG225" s="800"/>
      <c r="OUH225" s="801"/>
      <c r="OUI225" s="801"/>
      <c r="OUJ225" s="801"/>
      <c r="OUK225" s="801"/>
      <c r="OUL225" s="802"/>
      <c r="OUM225" s="800"/>
      <c r="OUN225" s="801"/>
      <c r="OUO225" s="801"/>
      <c r="OUP225" s="801"/>
      <c r="OUQ225" s="801"/>
      <c r="OUR225" s="802"/>
      <c r="OUS225" s="800"/>
      <c r="OUT225" s="801"/>
      <c r="OUU225" s="801"/>
      <c r="OUV225" s="801"/>
      <c r="OUW225" s="801"/>
      <c r="OUX225" s="802"/>
      <c r="OUY225" s="800"/>
      <c r="OUZ225" s="801"/>
      <c r="OVA225" s="801"/>
      <c r="OVB225" s="801"/>
      <c r="OVC225" s="801"/>
      <c r="OVD225" s="802"/>
      <c r="OVE225" s="800"/>
      <c r="OVF225" s="801"/>
      <c r="OVG225" s="801"/>
      <c r="OVH225" s="801"/>
      <c r="OVI225" s="801"/>
      <c r="OVJ225" s="802"/>
      <c r="OVK225" s="800"/>
      <c r="OVL225" s="801"/>
      <c r="OVM225" s="801"/>
      <c r="OVN225" s="801"/>
      <c r="OVO225" s="801"/>
      <c r="OVP225" s="802"/>
      <c r="OVQ225" s="800"/>
      <c r="OVR225" s="801"/>
      <c r="OVS225" s="801"/>
      <c r="OVT225" s="801"/>
      <c r="OVU225" s="801"/>
      <c r="OVV225" s="802"/>
      <c r="OVW225" s="800"/>
      <c r="OVX225" s="801"/>
      <c r="OVY225" s="801"/>
      <c r="OVZ225" s="801"/>
      <c r="OWA225" s="801"/>
      <c r="OWB225" s="802"/>
      <c r="OWC225" s="800"/>
      <c r="OWD225" s="801"/>
      <c r="OWE225" s="801"/>
      <c r="OWF225" s="801"/>
      <c r="OWG225" s="801"/>
      <c r="OWH225" s="802"/>
      <c r="OWI225" s="800"/>
      <c r="OWJ225" s="801"/>
      <c r="OWK225" s="801"/>
      <c r="OWL225" s="801"/>
      <c r="OWM225" s="801"/>
      <c r="OWN225" s="802"/>
      <c r="OWO225" s="800"/>
      <c r="OWP225" s="801"/>
      <c r="OWQ225" s="801"/>
      <c r="OWR225" s="801"/>
      <c r="OWS225" s="801"/>
      <c r="OWT225" s="802"/>
      <c r="OWU225" s="800"/>
      <c r="OWV225" s="801"/>
      <c r="OWW225" s="801"/>
      <c r="OWX225" s="801"/>
      <c r="OWY225" s="801"/>
      <c r="OWZ225" s="802"/>
      <c r="OXA225" s="800"/>
      <c r="OXB225" s="801"/>
      <c r="OXC225" s="801"/>
      <c r="OXD225" s="801"/>
      <c r="OXE225" s="801"/>
      <c r="OXF225" s="802"/>
      <c r="OXG225" s="800"/>
      <c r="OXH225" s="801"/>
      <c r="OXI225" s="801"/>
      <c r="OXJ225" s="801"/>
      <c r="OXK225" s="801"/>
      <c r="OXL225" s="802"/>
      <c r="OXM225" s="800"/>
      <c r="OXN225" s="801"/>
      <c r="OXO225" s="801"/>
      <c r="OXP225" s="801"/>
      <c r="OXQ225" s="801"/>
      <c r="OXR225" s="802"/>
      <c r="OXS225" s="800"/>
      <c r="OXT225" s="801"/>
      <c r="OXU225" s="801"/>
      <c r="OXV225" s="801"/>
      <c r="OXW225" s="801"/>
      <c r="OXX225" s="802"/>
      <c r="OXY225" s="800"/>
      <c r="OXZ225" s="801"/>
      <c r="OYA225" s="801"/>
      <c r="OYB225" s="801"/>
      <c r="OYC225" s="801"/>
      <c r="OYD225" s="802"/>
      <c r="OYE225" s="800"/>
      <c r="OYF225" s="801"/>
      <c r="OYG225" s="801"/>
      <c r="OYH225" s="801"/>
      <c r="OYI225" s="801"/>
      <c r="OYJ225" s="802"/>
      <c r="OYK225" s="800"/>
      <c r="OYL225" s="801"/>
      <c r="OYM225" s="801"/>
      <c r="OYN225" s="801"/>
      <c r="OYO225" s="801"/>
      <c r="OYP225" s="802"/>
      <c r="OYQ225" s="800"/>
      <c r="OYR225" s="801"/>
      <c r="OYS225" s="801"/>
      <c r="OYT225" s="801"/>
      <c r="OYU225" s="801"/>
      <c r="OYV225" s="802"/>
      <c r="OYW225" s="800"/>
      <c r="OYX225" s="801"/>
      <c r="OYY225" s="801"/>
      <c r="OYZ225" s="801"/>
      <c r="OZA225" s="801"/>
      <c r="OZB225" s="802"/>
      <c r="OZC225" s="800"/>
      <c r="OZD225" s="801"/>
      <c r="OZE225" s="801"/>
      <c r="OZF225" s="801"/>
      <c r="OZG225" s="801"/>
      <c r="OZH225" s="802"/>
      <c r="OZI225" s="800"/>
      <c r="OZJ225" s="801"/>
      <c r="OZK225" s="801"/>
      <c r="OZL225" s="801"/>
      <c r="OZM225" s="801"/>
      <c r="OZN225" s="802"/>
      <c r="OZO225" s="800"/>
      <c r="OZP225" s="801"/>
      <c r="OZQ225" s="801"/>
      <c r="OZR225" s="801"/>
      <c r="OZS225" s="801"/>
      <c r="OZT225" s="802"/>
      <c r="OZU225" s="800"/>
      <c r="OZV225" s="801"/>
      <c r="OZW225" s="801"/>
      <c r="OZX225" s="801"/>
      <c r="OZY225" s="801"/>
      <c r="OZZ225" s="802"/>
      <c r="PAA225" s="800"/>
      <c r="PAB225" s="801"/>
      <c r="PAC225" s="801"/>
      <c r="PAD225" s="801"/>
      <c r="PAE225" s="801"/>
      <c r="PAF225" s="802"/>
      <c r="PAG225" s="800"/>
      <c r="PAH225" s="801"/>
      <c r="PAI225" s="801"/>
      <c r="PAJ225" s="801"/>
      <c r="PAK225" s="801"/>
      <c r="PAL225" s="802"/>
      <c r="PAM225" s="800"/>
      <c r="PAN225" s="801"/>
      <c r="PAO225" s="801"/>
      <c r="PAP225" s="801"/>
      <c r="PAQ225" s="801"/>
      <c r="PAR225" s="802"/>
      <c r="PAS225" s="800"/>
      <c r="PAT225" s="801"/>
      <c r="PAU225" s="801"/>
      <c r="PAV225" s="801"/>
      <c r="PAW225" s="801"/>
      <c r="PAX225" s="802"/>
      <c r="PAY225" s="800"/>
      <c r="PAZ225" s="801"/>
      <c r="PBA225" s="801"/>
      <c r="PBB225" s="801"/>
      <c r="PBC225" s="801"/>
      <c r="PBD225" s="802"/>
      <c r="PBE225" s="800"/>
      <c r="PBF225" s="801"/>
      <c r="PBG225" s="801"/>
      <c r="PBH225" s="801"/>
      <c r="PBI225" s="801"/>
      <c r="PBJ225" s="802"/>
      <c r="PBK225" s="800"/>
      <c r="PBL225" s="801"/>
      <c r="PBM225" s="801"/>
      <c r="PBN225" s="801"/>
      <c r="PBO225" s="801"/>
      <c r="PBP225" s="802"/>
      <c r="PBQ225" s="800"/>
      <c r="PBR225" s="801"/>
      <c r="PBS225" s="801"/>
      <c r="PBT225" s="801"/>
      <c r="PBU225" s="801"/>
      <c r="PBV225" s="802"/>
      <c r="PBW225" s="800"/>
      <c r="PBX225" s="801"/>
      <c r="PBY225" s="801"/>
      <c r="PBZ225" s="801"/>
      <c r="PCA225" s="801"/>
      <c r="PCB225" s="802"/>
      <c r="PCC225" s="800"/>
      <c r="PCD225" s="801"/>
      <c r="PCE225" s="801"/>
      <c r="PCF225" s="801"/>
      <c r="PCG225" s="801"/>
      <c r="PCH225" s="802"/>
      <c r="PCI225" s="800"/>
      <c r="PCJ225" s="801"/>
      <c r="PCK225" s="801"/>
      <c r="PCL225" s="801"/>
      <c r="PCM225" s="801"/>
      <c r="PCN225" s="802"/>
      <c r="PCO225" s="800"/>
      <c r="PCP225" s="801"/>
      <c r="PCQ225" s="801"/>
      <c r="PCR225" s="801"/>
      <c r="PCS225" s="801"/>
      <c r="PCT225" s="802"/>
      <c r="PCU225" s="800"/>
      <c r="PCV225" s="801"/>
      <c r="PCW225" s="801"/>
      <c r="PCX225" s="801"/>
      <c r="PCY225" s="801"/>
      <c r="PCZ225" s="802"/>
      <c r="PDA225" s="800"/>
      <c r="PDB225" s="801"/>
      <c r="PDC225" s="801"/>
      <c r="PDD225" s="801"/>
      <c r="PDE225" s="801"/>
      <c r="PDF225" s="802"/>
      <c r="PDG225" s="800"/>
      <c r="PDH225" s="801"/>
      <c r="PDI225" s="801"/>
      <c r="PDJ225" s="801"/>
      <c r="PDK225" s="801"/>
      <c r="PDL225" s="802"/>
      <c r="PDM225" s="800"/>
      <c r="PDN225" s="801"/>
      <c r="PDO225" s="801"/>
      <c r="PDP225" s="801"/>
      <c r="PDQ225" s="801"/>
      <c r="PDR225" s="802"/>
      <c r="PDS225" s="800"/>
      <c r="PDT225" s="801"/>
      <c r="PDU225" s="801"/>
      <c r="PDV225" s="801"/>
      <c r="PDW225" s="801"/>
      <c r="PDX225" s="802"/>
      <c r="PDY225" s="800"/>
      <c r="PDZ225" s="801"/>
      <c r="PEA225" s="801"/>
      <c r="PEB225" s="801"/>
      <c r="PEC225" s="801"/>
      <c r="PED225" s="802"/>
      <c r="PEE225" s="800"/>
      <c r="PEF225" s="801"/>
      <c r="PEG225" s="801"/>
      <c r="PEH225" s="801"/>
      <c r="PEI225" s="801"/>
      <c r="PEJ225" s="802"/>
      <c r="PEK225" s="800"/>
      <c r="PEL225" s="801"/>
      <c r="PEM225" s="801"/>
      <c r="PEN225" s="801"/>
      <c r="PEO225" s="801"/>
      <c r="PEP225" s="802"/>
      <c r="PEQ225" s="800"/>
      <c r="PER225" s="801"/>
      <c r="PES225" s="801"/>
      <c r="PET225" s="801"/>
      <c r="PEU225" s="801"/>
      <c r="PEV225" s="802"/>
      <c r="PEW225" s="800"/>
      <c r="PEX225" s="801"/>
      <c r="PEY225" s="801"/>
      <c r="PEZ225" s="801"/>
      <c r="PFA225" s="801"/>
      <c r="PFB225" s="802"/>
      <c r="PFC225" s="800"/>
      <c r="PFD225" s="801"/>
      <c r="PFE225" s="801"/>
      <c r="PFF225" s="801"/>
      <c r="PFG225" s="801"/>
      <c r="PFH225" s="802"/>
      <c r="PFI225" s="800"/>
      <c r="PFJ225" s="801"/>
      <c r="PFK225" s="801"/>
      <c r="PFL225" s="801"/>
      <c r="PFM225" s="801"/>
      <c r="PFN225" s="802"/>
      <c r="PFO225" s="800"/>
      <c r="PFP225" s="801"/>
      <c r="PFQ225" s="801"/>
      <c r="PFR225" s="801"/>
      <c r="PFS225" s="801"/>
      <c r="PFT225" s="802"/>
      <c r="PFU225" s="800"/>
      <c r="PFV225" s="801"/>
      <c r="PFW225" s="801"/>
      <c r="PFX225" s="801"/>
      <c r="PFY225" s="801"/>
      <c r="PFZ225" s="802"/>
      <c r="PGA225" s="800"/>
      <c r="PGB225" s="801"/>
      <c r="PGC225" s="801"/>
      <c r="PGD225" s="801"/>
      <c r="PGE225" s="801"/>
      <c r="PGF225" s="802"/>
      <c r="PGG225" s="800"/>
      <c r="PGH225" s="801"/>
      <c r="PGI225" s="801"/>
      <c r="PGJ225" s="801"/>
      <c r="PGK225" s="801"/>
      <c r="PGL225" s="802"/>
      <c r="PGM225" s="800"/>
      <c r="PGN225" s="801"/>
      <c r="PGO225" s="801"/>
      <c r="PGP225" s="801"/>
      <c r="PGQ225" s="801"/>
      <c r="PGR225" s="802"/>
      <c r="PGS225" s="800"/>
      <c r="PGT225" s="801"/>
      <c r="PGU225" s="801"/>
      <c r="PGV225" s="801"/>
      <c r="PGW225" s="801"/>
      <c r="PGX225" s="802"/>
      <c r="PGY225" s="800"/>
      <c r="PGZ225" s="801"/>
      <c r="PHA225" s="801"/>
      <c r="PHB225" s="801"/>
      <c r="PHC225" s="801"/>
      <c r="PHD225" s="802"/>
      <c r="PHE225" s="800"/>
      <c r="PHF225" s="801"/>
      <c r="PHG225" s="801"/>
      <c r="PHH225" s="801"/>
      <c r="PHI225" s="801"/>
      <c r="PHJ225" s="802"/>
      <c r="PHK225" s="800"/>
      <c r="PHL225" s="801"/>
      <c r="PHM225" s="801"/>
      <c r="PHN225" s="801"/>
      <c r="PHO225" s="801"/>
      <c r="PHP225" s="802"/>
      <c r="PHQ225" s="800"/>
      <c r="PHR225" s="801"/>
      <c r="PHS225" s="801"/>
      <c r="PHT225" s="801"/>
      <c r="PHU225" s="801"/>
      <c r="PHV225" s="802"/>
      <c r="PHW225" s="800"/>
      <c r="PHX225" s="801"/>
      <c r="PHY225" s="801"/>
      <c r="PHZ225" s="801"/>
      <c r="PIA225" s="801"/>
      <c r="PIB225" s="802"/>
      <c r="PIC225" s="800"/>
      <c r="PID225" s="801"/>
      <c r="PIE225" s="801"/>
      <c r="PIF225" s="801"/>
      <c r="PIG225" s="801"/>
      <c r="PIH225" s="802"/>
      <c r="PII225" s="800"/>
      <c r="PIJ225" s="801"/>
      <c r="PIK225" s="801"/>
      <c r="PIL225" s="801"/>
      <c r="PIM225" s="801"/>
      <c r="PIN225" s="802"/>
      <c r="PIO225" s="800"/>
      <c r="PIP225" s="801"/>
      <c r="PIQ225" s="801"/>
      <c r="PIR225" s="801"/>
      <c r="PIS225" s="801"/>
      <c r="PIT225" s="802"/>
      <c r="PIU225" s="800"/>
      <c r="PIV225" s="801"/>
      <c r="PIW225" s="801"/>
      <c r="PIX225" s="801"/>
      <c r="PIY225" s="801"/>
      <c r="PIZ225" s="802"/>
      <c r="PJA225" s="800"/>
      <c r="PJB225" s="801"/>
      <c r="PJC225" s="801"/>
      <c r="PJD225" s="801"/>
      <c r="PJE225" s="801"/>
      <c r="PJF225" s="802"/>
      <c r="PJG225" s="800"/>
      <c r="PJH225" s="801"/>
      <c r="PJI225" s="801"/>
      <c r="PJJ225" s="801"/>
      <c r="PJK225" s="801"/>
      <c r="PJL225" s="802"/>
      <c r="PJM225" s="800"/>
      <c r="PJN225" s="801"/>
      <c r="PJO225" s="801"/>
      <c r="PJP225" s="801"/>
      <c r="PJQ225" s="801"/>
      <c r="PJR225" s="802"/>
      <c r="PJS225" s="800"/>
      <c r="PJT225" s="801"/>
      <c r="PJU225" s="801"/>
      <c r="PJV225" s="801"/>
      <c r="PJW225" s="801"/>
      <c r="PJX225" s="802"/>
      <c r="PJY225" s="800"/>
      <c r="PJZ225" s="801"/>
      <c r="PKA225" s="801"/>
      <c r="PKB225" s="801"/>
      <c r="PKC225" s="801"/>
      <c r="PKD225" s="802"/>
      <c r="PKE225" s="800"/>
      <c r="PKF225" s="801"/>
      <c r="PKG225" s="801"/>
      <c r="PKH225" s="801"/>
      <c r="PKI225" s="801"/>
      <c r="PKJ225" s="802"/>
      <c r="PKK225" s="800"/>
      <c r="PKL225" s="801"/>
      <c r="PKM225" s="801"/>
      <c r="PKN225" s="801"/>
      <c r="PKO225" s="801"/>
      <c r="PKP225" s="802"/>
      <c r="PKQ225" s="800"/>
      <c r="PKR225" s="801"/>
      <c r="PKS225" s="801"/>
      <c r="PKT225" s="801"/>
      <c r="PKU225" s="801"/>
      <c r="PKV225" s="802"/>
      <c r="PKW225" s="800"/>
      <c r="PKX225" s="801"/>
      <c r="PKY225" s="801"/>
      <c r="PKZ225" s="801"/>
      <c r="PLA225" s="801"/>
      <c r="PLB225" s="802"/>
      <c r="PLC225" s="800"/>
      <c r="PLD225" s="801"/>
      <c r="PLE225" s="801"/>
      <c r="PLF225" s="801"/>
      <c r="PLG225" s="801"/>
      <c r="PLH225" s="802"/>
      <c r="PLI225" s="800"/>
      <c r="PLJ225" s="801"/>
      <c r="PLK225" s="801"/>
      <c r="PLL225" s="801"/>
      <c r="PLM225" s="801"/>
      <c r="PLN225" s="802"/>
      <c r="PLO225" s="800"/>
      <c r="PLP225" s="801"/>
      <c r="PLQ225" s="801"/>
      <c r="PLR225" s="801"/>
      <c r="PLS225" s="801"/>
      <c r="PLT225" s="802"/>
      <c r="PLU225" s="800"/>
      <c r="PLV225" s="801"/>
      <c r="PLW225" s="801"/>
      <c r="PLX225" s="801"/>
      <c r="PLY225" s="801"/>
      <c r="PLZ225" s="802"/>
      <c r="PMA225" s="800"/>
      <c r="PMB225" s="801"/>
      <c r="PMC225" s="801"/>
      <c r="PMD225" s="801"/>
      <c r="PME225" s="801"/>
      <c r="PMF225" s="802"/>
      <c r="PMG225" s="800"/>
      <c r="PMH225" s="801"/>
      <c r="PMI225" s="801"/>
      <c r="PMJ225" s="801"/>
      <c r="PMK225" s="801"/>
      <c r="PML225" s="802"/>
      <c r="PMM225" s="800"/>
      <c r="PMN225" s="801"/>
      <c r="PMO225" s="801"/>
      <c r="PMP225" s="801"/>
      <c r="PMQ225" s="801"/>
      <c r="PMR225" s="802"/>
      <c r="PMS225" s="800"/>
      <c r="PMT225" s="801"/>
      <c r="PMU225" s="801"/>
      <c r="PMV225" s="801"/>
      <c r="PMW225" s="801"/>
      <c r="PMX225" s="802"/>
      <c r="PMY225" s="800"/>
      <c r="PMZ225" s="801"/>
      <c r="PNA225" s="801"/>
      <c r="PNB225" s="801"/>
      <c r="PNC225" s="801"/>
      <c r="PND225" s="802"/>
      <c r="PNE225" s="800"/>
      <c r="PNF225" s="801"/>
      <c r="PNG225" s="801"/>
      <c r="PNH225" s="801"/>
      <c r="PNI225" s="801"/>
      <c r="PNJ225" s="802"/>
      <c r="PNK225" s="800"/>
      <c r="PNL225" s="801"/>
      <c r="PNM225" s="801"/>
      <c r="PNN225" s="801"/>
      <c r="PNO225" s="801"/>
      <c r="PNP225" s="802"/>
      <c r="PNQ225" s="800"/>
      <c r="PNR225" s="801"/>
      <c r="PNS225" s="801"/>
      <c r="PNT225" s="801"/>
      <c r="PNU225" s="801"/>
      <c r="PNV225" s="802"/>
      <c r="PNW225" s="800"/>
      <c r="PNX225" s="801"/>
      <c r="PNY225" s="801"/>
      <c r="PNZ225" s="801"/>
      <c r="POA225" s="801"/>
      <c r="POB225" s="802"/>
      <c r="POC225" s="800"/>
      <c r="POD225" s="801"/>
      <c r="POE225" s="801"/>
      <c r="POF225" s="801"/>
      <c r="POG225" s="801"/>
      <c r="POH225" s="802"/>
      <c r="POI225" s="800"/>
      <c r="POJ225" s="801"/>
      <c r="POK225" s="801"/>
      <c r="POL225" s="801"/>
      <c r="POM225" s="801"/>
      <c r="PON225" s="802"/>
      <c r="POO225" s="800"/>
      <c r="POP225" s="801"/>
      <c r="POQ225" s="801"/>
      <c r="POR225" s="801"/>
      <c r="POS225" s="801"/>
      <c r="POT225" s="802"/>
      <c r="POU225" s="800"/>
      <c r="POV225" s="801"/>
      <c r="POW225" s="801"/>
      <c r="POX225" s="801"/>
      <c r="POY225" s="801"/>
      <c r="POZ225" s="802"/>
      <c r="PPA225" s="800"/>
      <c r="PPB225" s="801"/>
      <c r="PPC225" s="801"/>
      <c r="PPD225" s="801"/>
      <c r="PPE225" s="801"/>
      <c r="PPF225" s="802"/>
      <c r="PPG225" s="800"/>
      <c r="PPH225" s="801"/>
      <c r="PPI225" s="801"/>
      <c r="PPJ225" s="801"/>
      <c r="PPK225" s="801"/>
      <c r="PPL225" s="802"/>
      <c r="PPM225" s="800"/>
      <c r="PPN225" s="801"/>
      <c r="PPO225" s="801"/>
      <c r="PPP225" s="801"/>
      <c r="PPQ225" s="801"/>
      <c r="PPR225" s="802"/>
      <c r="PPS225" s="800"/>
      <c r="PPT225" s="801"/>
      <c r="PPU225" s="801"/>
      <c r="PPV225" s="801"/>
      <c r="PPW225" s="801"/>
      <c r="PPX225" s="802"/>
      <c r="PPY225" s="800"/>
      <c r="PPZ225" s="801"/>
      <c r="PQA225" s="801"/>
      <c r="PQB225" s="801"/>
      <c r="PQC225" s="801"/>
      <c r="PQD225" s="802"/>
      <c r="PQE225" s="800"/>
      <c r="PQF225" s="801"/>
      <c r="PQG225" s="801"/>
      <c r="PQH225" s="801"/>
      <c r="PQI225" s="801"/>
      <c r="PQJ225" s="802"/>
      <c r="PQK225" s="800"/>
      <c r="PQL225" s="801"/>
      <c r="PQM225" s="801"/>
      <c r="PQN225" s="801"/>
      <c r="PQO225" s="801"/>
      <c r="PQP225" s="802"/>
      <c r="PQQ225" s="800"/>
      <c r="PQR225" s="801"/>
      <c r="PQS225" s="801"/>
      <c r="PQT225" s="801"/>
      <c r="PQU225" s="801"/>
      <c r="PQV225" s="802"/>
      <c r="PQW225" s="800"/>
      <c r="PQX225" s="801"/>
      <c r="PQY225" s="801"/>
      <c r="PQZ225" s="801"/>
      <c r="PRA225" s="801"/>
      <c r="PRB225" s="802"/>
      <c r="PRC225" s="800"/>
      <c r="PRD225" s="801"/>
      <c r="PRE225" s="801"/>
      <c r="PRF225" s="801"/>
      <c r="PRG225" s="801"/>
      <c r="PRH225" s="802"/>
      <c r="PRI225" s="800"/>
      <c r="PRJ225" s="801"/>
      <c r="PRK225" s="801"/>
      <c r="PRL225" s="801"/>
      <c r="PRM225" s="801"/>
      <c r="PRN225" s="802"/>
      <c r="PRO225" s="800"/>
      <c r="PRP225" s="801"/>
      <c r="PRQ225" s="801"/>
      <c r="PRR225" s="801"/>
      <c r="PRS225" s="801"/>
      <c r="PRT225" s="802"/>
      <c r="PRU225" s="800"/>
      <c r="PRV225" s="801"/>
      <c r="PRW225" s="801"/>
      <c r="PRX225" s="801"/>
      <c r="PRY225" s="801"/>
      <c r="PRZ225" s="802"/>
      <c r="PSA225" s="800"/>
      <c r="PSB225" s="801"/>
      <c r="PSC225" s="801"/>
      <c r="PSD225" s="801"/>
      <c r="PSE225" s="801"/>
      <c r="PSF225" s="802"/>
      <c r="PSG225" s="800"/>
      <c r="PSH225" s="801"/>
      <c r="PSI225" s="801"/>
      <c r="PSJ225" s="801"/>
      <c r="PSK225" s="801"/>
      <c r="PSL225" s="802"/>
      <c r="PSM225" s="800"/>
      <c r="PSN225" s="801"/>
      <c r="PSO225" s="801"/>
      <c r="PSP225" s="801"/>
      <c r="PSQ225" s="801"/>
      <c r="PSR225" s="802"/>
      <c r="PSS225" s="800"/>
      <c r="PST225" s="801"/>
      <c r="PSU225" s="801"/>
      <c r="PSV225" s="801"/>
      <c r="PSW225" s="801"/>
      <c r="PSX225" s="802"/>
      <c r="PSY225" s="800"/>
      <c r="PSZ225" s="801"/>
      <c r="PTA225" s="801"/>
      <c r="PTB225" s="801"/>
      <c r="PTC225" s="801"/>
      <c r="PTD225" s="802"/>
      <c r="PTE225" s="800"/>
      <c r="PTF225" s="801"/>
      <c r="PTG225" s="801"/>
      <c r="PTH225" s="801"/>
      <c r="PTI225" s="801"/>
      <c r="PTJ225" s="802"/>
      <c r="PTK225" s="800"/>
      <c r="PTL225" s="801"/>
      <c r="PTM225" s="801"/>
      <c r="PTN225" s="801"/>
      <c r="PTO225" s="801"/>
      <c r="PTP225" s="802"/>
      <c r="PTQ225" s="800"/>
      <c r="PTR225" s="801"/>
      <c r="PTS225" s="801"/>
      <c r="PTT225" s="801"/>
      <c r="PTU225" s="801"/>
      <c r="PTV225" s="802"/>
      <c r="PTW225" s="800"/>
      <c r="PTX225" s="801"/>
      <c r="PTY225" s="801"/>
      <c r="PTZ225" s="801"/>
      <c r="PUA225" s="801"/>
      <c r="PUB225" s="802"/>
      <c r="PUC225" s="800"/>
      <c r="PUD225" s="801"/>
      <c r="PUE225" s="801"/>
      <c r="PUF225" s="801"/>
      <c r="PUG225" s="801"/>
      <c r="PUH225" s="802"/>
      <c r="PUI225" s="800"/>
      <c r="PUJ225" s="801"/>
      <c r="PUK225" s="801"/>
      <c r="PUL225" s="801"/>
      <c r="PUM225" s="801"/>
      <c r="PUN225" s="802"/>
      <c r="PUO225" s="800"/>
      <c r="PUP225" s="801"/>
      <c r="PUQ225" s="801"/>
      <c r="PUR225" s="801"/>
      <c r="PUS225" s="801"/>
      <c r="PUT225" s="802"/>
      <c r="PUU225" s="800"/>
      <c r="PUV225" s="801"/>
      <c r="PUW225" s="801"/>
      <c r="PUX225" s="801"/>
      <c r="PUY225" s="801"/>
      <c r="PUZ225" s="802"/>
      <c r="PVA225" s="800"/>
      <c r="PVB225" s="801"/>
      <c r="PVC225" s="801"/>
      <c r="PVD225" s="801"/>
      <c r="PVE225" s="801"/>
      <c r="PVF225" s="802"/>
      <c r="PVG225" s="800"/>
      <c r="PVH225" s="801"/>
      <c r="PVI225" s="801"/>
      <c r="PVJ225" s="801"/>
      <c r="PVK225" s="801"/>
      <c r="PVL225" s="802"/>
      <c r="PVM225" s="800"/>
      <c r="PVN225" s="801"/>
      <c r="PVO225" s="801"/>
      <c r="PVP225" s="801"/>
      <c r="PVQ225" s="801"/>
      <c r="PVR225" s="802"/>
      <c r="PVS225" s="800"/>
      <c r="PVT225" s="801"/>
      <c r="PVU225" s="801"/>
      <c r="PVV225" s="801"/>
      <c r="PVW225" s="801"/>
      <c r="PVX225" s="802"/>
      <c r="PVY225" s="800"/>
      <c r="PVZ225" s="801"/>
      <c r="PWA225" s="801"/>
      <c r="PWB225" s="801"/>
      <c r="PWC225" s="801"/>
      <c r="PWD225" s="802"/>
      <c r="PWE225" s="800"/>
      <c r="PWF225" s="801"/>
      <c r="PWG225" s="801"/>
      <c r="PWH225" s="801"/>
      <c r="PWI225" s="801"/>
      <c r="PWJ225" s="802"/>
      <c r="PWK225" s="800"/>
      <c r="PWL225" s="801"/>
      <c r="PWM225" s="801"/>
      <c r="PWN225" s="801"/>
      <c r="PWO225" s="801"/>
      <c r="PWP225" s="802"/>
      <c r="PWQ225" s="800"/>
      <c r="PWR225" s="801"/>
      <c r="PWS225" s="801"/>
      <c r="PWT225" s="801"/>
      <c r="PWU225" s="801"/>
      <c r="PWV225" s="802"/>
      <c r="PWW225" s="800"/>
      <c r="PWX225" s="801"/>
      <c r="PWY225" s="801"/>
      <c r="PWZ225" s="801"/>
      <c r="PXA225" s="801"/>
      <c r="PXB225" s="802"/>
      <c r="PXC225" s="800"/>
      <c r="PXD225" s="801"/>
      <c r="PXE225" s="801"/>
      <c r="PXF225" s="801"/>
      <c r="PXG225" s="801"/>
      <c r="PXH225" s="802"/>
      <c r="PXI225" s="800"/>
      <c r="PXJ225" s="801"/>
      <c r="PXK225" s="801"/>
      <c r="PXL225" s="801"/>
      <c r="PXM225" s="801"/>
      <c r="PXN225" s="802"/>
      <c r="PXO225" s="800"/>
      <c r="PXP225" s="801"/>
      <c r="PXQ225" s="801"/>
      <c r="PXR225" s="801"/>
      <c r="PXS225" s="801"/>
      <c r="PXT225" s="802"/>
      <c r="PXU225" s="800"/>
      <c r="PXV225" s="801"/>
      <c r="PXW225" s="801"/>
      <c r="PXX225" s="801"/>
      <c r="PXY225" s="801"/>
      <c r="PXZ225" s="802"/>
      <c r="PYA225" s="800"/>
      <c r="PYB225" s="801"/>
      <c r="PYC225" s="801"/>
      <c r="PYD225" s="801"/>
      <c r="PYE225" s="801"/>
      <c r="PYF225" s="802"/>
      <c r="PYG225" s="800"/>
      <c r="PYH225" s="801"/>
      <c r="PYI225" s="801"/>
      <c r="PYJ225" s="801"/>
      <c r="PYK225" s="801"/>
      <c r="PYL225" s="802"/>
      <c r="PYM225" s="800"/>
      <c r="PYN225" s="801"/>
      <c r="PYO225" s="801"/>
      <c r="PYP225" s="801"/>
      <c r="PYQ225" s="801"/>
      <c r="PYR225" s="802"/>
      <c r="PYS225" s="800"/>
      <c r="PYT225" s="801"/>
      <c r="PYU225" s="801"/>
      <c r="PYV225" s="801"/>
      <c r="PYW225" s="801"/>
      <c r="PYX225" s="802"/>
      <c r="PYY225" s="800"/>
      <c r="PYZ225" s="801"/>
      <c r="PZA225" s="801"/>
      <c r="PZB225" s="801"/>
      <c r="PZC225" s="801"/>
      <c r="PZD225" s="802"/>
      <c r="PZE225" s="800"/>
      <c r="PZF225" s="801"/>
      <c r="PZG225" s="801"/>
      <c r="PZH225" s="801"/>
      <c r="PZI225" s="801"/>
      <c r="PZJ225" s="802"/>
      <c r="PZK225" s="800"/>
      <c r="PZL225" s="801"/>
      <c r="PZM225" s="801"/>
      <c r="PZN225" s="801"/>
      <c r="PZO225" s="801"/>
      <c r="PZP225" s="802"/>
      <c r="PZQ225" s="800"/>
      <c r="PZR225" s="801"/>
      <c r="PZS225" s="801"/>
      <c r="PZT225" s="801"/>
      <c r="PZU225" s="801"/>
      <c r="PZV225" s="802"/>
      <c r="PZW225" s="800"/>
      <c r="PZX225" s="801"/>
      <c r="PZY225" s="801"/>
      <c r="PZZ225" s="801"/>
      <c r="QAA225" s="801"/>
      <c r="QAB225" s="802"/>
      <c r="QAC225" s="800"/>
      <c r="QAD225" s="801"/>
      <c r="QAE225" s="801"/>
      <c r="QAF225" s="801"/>
      <c r="QAG225" s="801"/>
      <c r="QAH225" s="802"/>
      <c r="QAI225" s="800"/>
      <c r="QAJ225" s="801"/>
      <c r="QAK225" s="801"/>
      <c r="QAL225" s="801"/>
      <c r="QAM225" s="801"/>
      <c r="QAN225" s="802"/>
      <c r="QAO225" s="800"/>
      <c r="QAP225" s="801"/>
      <c r="QAQ225" s="801"/>
      <c r="QAR225" s="801"/>
      <c r="QAS225" s="801"/>
      <c r="QAT225" s="802"/>
      <c r="QAU225" s="800"/>
      <c r="QAV225" s="801"/>
      <c r="QAW225" s="801"/>
      <c r="QAX225" s="801"/>
      <c r="QAY225" s="801"/>
      <c r="QAZ225" s="802"/>
      <c r="QBA225" s="800"/>
      <c r="QBB225" s="801"/>
      <c r="QBC225" s="801"/>
      <c r="QBD225" s="801"/>
      <c r="QBE225" s="801"/>
      <c r="QBF225" s="802"/>
      <c r="QBG225" s="800"/>
      <c r="QBH225" s="801"/>
      <c r="QBI225" s="801"/>
      <c r="QBJ225" s="801"/>
      <c r="QBK225" s="801"/>
      <c r="QBL225" s="802"/>
      <c r="QBM225" s="800"/>
      <c r="QBN225" s="801"/>
      <c r="QBO225" s="801"/>
      <c r="QBP225" s="801"/>
      <c r="QBQ225" s="801"/>
      <c r="QBR225" s="802"/>
      <c r="QBS225" s="800"/>
      <c r="QBT225" s="801"/>
      <c r="QBU225" s="801"/>
      <c r="QBV225" s="801"/>
      <c r="QBW225" s="801"/>
      <c r="QBX225" s="802"/>
      <c r="QBY225" s="800"/>
      <c r="QBZ225" s="801"/>
      <c r="QCA225" s="801"/>
      <c r="QCB225" s="801"/>
      <c r="QCC225" s="801"/>
      <c r="QCD225" s="802"/>
      <c r="QCE225" s="800"/>
      <c r="QCF225" s="801"/>
      <c r="QCG225" s="801"/>
      <c r="QCH225" s="801"/>
      <c r="QCI225" s="801"/>
      <c r="QCJ225" s="802"/>
      <c r="QCK225" s="800"/>
      <c r="QCL225" s="801"/>
      <c r="QCM225" s="801"/>
      <c r="QCN225" s="801"/>
      <c r="QCO225" s="801"/>
      <c r="QCP225" s="802"/>
      <c r="QCQ225" s="800"/>
      <c r="QCR225" s="801"/>
      <c r="QCS225" s="801"/>
      <c r="QCT225" s="801"/>
      <c r="QCU225" s="801"/>
      <c r="QCV225" s="802"/>
      <c r="QCW225" s="800"/>
      <c r="QCX225" s="801"/>
      <c r="QCY225" s="801"/>
      <c r="QCZ225" s="801"/>
      <c r="QDA225" s="801"/>
      <c r="QDB225" s="802"/>
      <c r="QDC225" s="800"/>
      <c r="QDD225" s="801"/>
      <c r="QDE225" s="801"/>
      <c r="QDF225" s="801"/>
      <c r="QDG225" s="801"/>
      <c r="QDH225" s="802"/>
      <c r="QDI225" s="800"/>
      <c r="QDJ225" s="801"/>
      <c r="QDK225" s="801"/>
      <c r="QDL225" s="801"/>
      <c r="QDM225" s="801"/>
      <c r="QDN225" s="802"/>
      <c r="QDO225" s="800"/>
      <c r="QDP225" s="801"/>
      <c r="QDQ225" s="801"/>
      <c r="QDR225" s="801"/>
      <c r="QDS225" s="801"/>
      <c r="QDT225" s="802"/>
      <c r="QDU225" s="800"/>
      <c r="QDV225" s="801"/>
      <c r="QDW225" s="801"/>
      <c r="QDX225" s="801"/>
      <c r="QDY225" s="801"/>
      <c r="QDZ225" s="802"/>
      <c r="QEA225" s="800"/>
      <c r="QEB225" s="801"/>
      <c r="QEC225" s="801"/>
      <c r="QED225" s="801"/>
      <c r="QEE225" s="801"/>
      <c r="QEF225" s="802"/>
      <c r="QEG225" s="800"/>
      <c r="QEH225" s="801"/>
      <c r="QEI225" s="801"/>
      <c r="QEJ225" s="801"/>
      <c r="QEK225" s="801"/>
      <c r="QEL225" s="802"/>
      <c r="QEM225" s="800"/>
      <c r="QEN225" s="801"/>
      <c r="QEO225" s="801"/>
      <c r="QEP225" s="801"/>
      <c r="QEQ225" s="801"/>
      <c r="QER225" s="802"/>
      <c r="QES225" s="800"/>
      <c r="QET225" s="801"/>
      <c r="QEU225" s="801"/>
      <c r="QEV225" s="801"/>
      <c r="QEW225" s="801"/>
      <c r="QEX225" s="802"/>
      <c r="QEY225" s="800"/>
      <c r="QEZ225" s="801"/>
      <c r="QFA225" s="801"/>
      <c r="QFB225" s="801"/>
      <c r="QFC225" s="801"/>
      <c r="QFD225" s="802"/>
      <c r="QFE225" s="800"/>
      <c r="QFF225" s="801"/>
      <c r="QFG225" s="801"/>
      <c r="QFH225" s="801"/>
      <c r="QFI225" s="801"/>
      <c r="QFJ225" s="802"/>
      <c r="QFK225" s="800"/>
      <c r="QFL225" s="801"/>
      <c r="QFM225" s="801"/>
      <c r="QFN225" s="801"/>
      <c r="QFO225" s="801"/>
      <c r="QFP225" s="802"/>
      <c r="QFQ225" s="800"/>
      <c r="QFR225" s="801"/>
      <c r="QFS225" s="801"/>
      <c r="QFT225" s="801"/>
      <c r="QFU225" s="801"/>
      <c r="QFV225" s="802"/>
      <c r="QFW225" s="800"/>
      <c r="QFX225" s="801"/>
      <c r="QFY225" s="801"/>
      <c r="QFZ225" s="801"/>
      <c r="QGA225" s="801"/>
      <c r="QGB225" s="802"/>
      <c r="QGC225" s="800"/>
      <c r="QGD225" s="801"/>
      <c r="QGE225" s="801"/>
      <c r="QGF225" s="801"/>
      <c r="QGG225" s="801"/>
      <c r="QGH225" s="802"/>
      <c r="QGI225" s="800"/>
      <c r="QGJ225" s="801"/>
      <c r="QGK225" s="801"/>
      <c r="QGL225" s="801"/>
      <c r="QGM225" s="801"/>
      <c r="QGN225" s="802"/>
      <c r="QGO225" s="800"/>
      <c r="QGP225" s="801"/>
      <c r="QGQ225" s="801"/>
      <c r="QGR225" s="801"/>
      <c r="QGS225" s="801"/>
      <c r="QGT225" s="802"/>
      <c r="QGU225" s="800"/>
      <c r="QGV225" s="801"/>
      <c r="QGW225" s="801"/>
      <c r="QGX225" s="801"/>
      <c r="QGY225" s="801"/>
      <c r="QGZ225" s="802"/>
      <c r="QHA225" s="800"/>
      <c r="QHB225" s="801"/>
      <c r="QHC225" s="801"/>
      <c r="QHD225" s="801"/>
      <c r="QHE225" s="801"/>
      <c r="QHF225" s="802"/>
      <c r="QHG225" s="800"/>
      <c r="QHH225" s="801"/>
      <c r="QHI225" s="801"/>
      <c r="QHJ225" s="801"/>
      <c r="QHK225" s="801"/>
      <c r="QHL225" s="802"/>
      <c r="QHM225" s="800"/>
      <c r="QHN225" s="801"/>
      <c r="QHO225" s="801"/>
      <c r="QHP225" s="801"/>
      <c r="QHQ225" s="801"/>
      <c r="QHR225" s="802"/>
      <c r="QHS225" s="800"/>
      <c r="QHT225" s="801"/>
      <c r="QHU225" s="801"/>
      <c r="QHV225" s="801"/>
      <c r="QHW225" s="801"/>
      <c r="QHX225" s="802"/>
      <c r="QHY225" s="800"/>
      <c r="QHZ225" s="801"/>
      <c r="QIA225" s="801"/>
      <c r="QIB225" s="801"/>
      <c r="QIC225" s="801"/>
      <c r="QID225" s="802"/>
      <c r="QIE225" s="800"/>
      <c r="QIF225" s="801"/>
      <c r="QIG225" s="801"/>
      <c r="QIH225" s="801"/>
      <c r="QII225" s="801"/>
      <c r="QIJ225" s="802"/>
      <c r="QIK225" s="800"/>
      <c r="QIL225" s="801"/>
      <c r="QIM225" s="801"/>
      <c r="QIN225" s="801"/>
      <c r="QIO225" s="801"/>
      <c r="QIP225" s="802"/>
      <c r="QIQ225" s="800"/>
      <c r="QIR225" s="801"/>
      <c r="QIS225" s="801"/>
      <c r="QIT225" s="801"/>
      <c r="QIU225" s="801"/>
      <c r="QIV225" s="802"/>
      <c r="QIW225" s="800"/>
      <c r="QIX225" s="801"/>
      <c r="QIY225" s="801"/>
      <c r="QIZ225" s="801"/>
      <c r="QJA225" s="801"/>
      <c r="QJB225" s="802"/>
      <c r="QJC225" s="800"/>
      <c r="QJD225" s="801"/>
      <c r="QJE225" s="801"/>
      <c r="QJF225" s="801"/>
      <c r="QJG225" s="801"/>
      <c r="QJH225" s="802"/>
      <c r="QJI225" s="800"/>
      <c r="QJJ225" s="801"/>
      <c r="QJK225" s="801"/>
      <c r="QJL225" s="801"/>
      <c r="QJM225" s="801"/>
      <c r="QJN225" s="802"/>
      <c r="QJO225" s="800"/>
      <c r="QJP225" s="801"/>
      <c r="QJQ225" s="801"/>
      <c r="QJR225" s="801"/>
      <c r="QJS225" s="801"/>
      <c r="QJT225" s="802"/>
      <c r="QJU225" s="800"/>
      <c r="QJV225" s="801"/>
      <c r="QJW225" s="801"/>
      <c r="QJX225" s="801"/>
      <c r="QJY225" s="801"/>
      <c r="QJZ225" s="802"/>
      <c r="QKA225" s="800"/>
      <c r="QKB225" s="801"/>
      <c r="QKC225" s="801"/>
      <c r="QKD225" s="801"/>
      <c r="QKE225" s="801"/>
      <c r="QKF225" s="802"/>
      <c r="QKG225" s="800"/>
      <c r="QKH225" s="801"/>
      <c r="QKI225" s="801"/>
      <c r="QKJ225" s="801"/>
      <c r="QKK225" s="801"/>
      <c r="QKL225" s="802"/>
      <c r="QKM225" s="800"/>
      <c r="QKN225" s="801"/>
      <c r="QKO225" s="801"/>
      <c r="QKP225" s="801"/>
      <c r="QKQ225" s="801"/>
      <c r="QKR225" s="802"/>
      <c r="QKS225" s="800"/>
      <c r="QKT225" s="801"/>
      <c r="QKU225" s="801"/>
      <c r="QKV225" s="801"/>
      <c r="QKW225" s="801"/>
      <c r="QKX225" s="802"/>
      <c r="QKY225" s="800"/>
      <c r="QKZ225" s="801"/>
      <c r="QLA225" s="801"/>
      <c r="QLB225" s="801"/>
      <c r="QLC225" s="801"/>
      <c r="QLD225" s="802"/>
      <c r="QLE225" s="800"/>
      <c r="QLF225" s="801"/>
      <c r="QLG225" s="801"/>
      <c r="QLH225" s="801"/>
      <c r="QLI225" s="801"/>
      <c r="QLJ225" s="802"/>
      <c r="QLK225" s="800"/>
      <c r="QLL225" s="801"/>
      <c r="QLM225" s="801"/>
      <c r="QLN225" s="801"/>
      <c r="QLO225" s="801"/>
      <c r="QLP225" s="802"/>
      <c r="QLQ225" s="800"/>
      <c r="QLR225" s="801"/>
      <c r="QLS225" s="801"/>
      <c r="QLT225" s="801"/>
      <c r="QLU225" s="801"/>
      <c r="QLV225" s="802"/>
      <c r="QLW225" s="800"/>
      <c r="QLX225" s="801"/>
      <c r="QLY225" s="801"/>
      <c r="QLZ225" s="801"/>
      <c r="QMA225" s="801"/>
      <c r="QMB225" s="802"/>
      <c r="QMC225" s="800"/>
      <c r="QMD225" s="801"/>
      <c r="QME225" s="801"/>
      <c r="QMF225" s="801"/>
      <c r="QMG225" s="801"/>
      <c r="QMH225" s="802"/>
      <c r="QMI225" s="800"/>
      <c r="QMJ225" s="801"/>
      <c r="QMK225" s="801"/>
      <c r="QML225" s="801"/>
      <c r="QMM225" s="801"/>
      <c r="QMN225" s="802"/>
      <c r="QMO225" s="800"/>
      <c r="QMP225" s="801"/>
      <c r="QMQ225" s="801"/>
      <c r="QMR225" s="801"/>
      <c r="QMS225" s="801"/>
      <c r="QMT225" s="802"/>
      <c r="QMU225" s="800"/>
      <c r="QMV225" s="801"/>
      <c r="QMW225" s="801"/>
      <c r="QMX225" s="801"/>
      <c r="QMY225" s="801"/>
      <c r="QMZ225" s="802"/>
      <c r="QNA225" s="800"/>
      <c r="QNB225" s="801"/>
      <c r="QNC225" s="801"/>
      <c r="QND225" s="801"/>
      <c r="QNE225" s="801"/>
      <c r="QNF225" s="802"/>
      <c r="QNG225" s="800"/>
      <c r="QNH225" s="801"/>
      <c r="QNI225" s="801"/>
      <c r="QNJ225" s="801"/>
      <c r="QNK225" s="801"/>
      <c r="QNL225" s="802"/>
      <c r="QNM225" s="800"/>
      <c r="QNN225" s="801"/>
      <c r="QNO225" s="801"/>
      <c r="QNP225" s="801"/>
      <c r="QNQ225" s="801"/>
      <c r="QNR225" s="802"/>
      <c r="QNS225" s="800"/>
      <c r="QNT225" s="801"/>
      <c r="QNU225" s="801"/>
      <c r="QNV225" s="801"/>
      <c r="QNW225" s="801"/>
      <c r="QNX225" s="802"/>
      <c r="QNY225" s="800"/>
      <c r="QNZ225" s="801"/>
      <c r="QOA225" s="801"/>
      <c r="QOB225" s="801"/>
      <c r="QOC225" s="801"/>
      <c r="QOD225" s="802"/>
      <c r="QOE225" s="800"/>
      <c r="QOF225" s="801"/>
      <c r="QOG225" s="801"/>
      <c r="QOH225" s="801"/>
      <c r="QOI225" s="801"/>
      <c r="QOJ225" s="802"/>
      <c r="QOK225" s="800"/>
      <c r="QOL225" s="801"/>
      <c r="QOM225" s="801"/>
      <c r="QON225" s="801"/>
      <c r="QOO225" s="801"/>
      <c r="QOP225" s="802"/>
      <c r="QOQ225" s="800"/>
      <c r="QOR225" s="801"/>
      <c r="QOS225" s="801"/>
      <c r="QOT225" s="801"/>
      <c r="QOU225" s="801"/>
      <c r="QOV225" s="802"/>
      <c r="QOW225" s="800"/>
      <c r="QOX225" s="801"/>
      <c r="QOY225" s="801"/>
      <c r="QOZ225" s="801"/>
      <c r="QPA225" s="801"/>
      <c r="QPB225" s="802"/>
      <c r="QPC225" s="800"/>
      <c r="QPD225" s="801"/>
      <c r="QPE225" s="801"/>
      <c r="QPF225" s="801"/>
      <c r="QPG225" s="801"/>
      <c r="QPH225" s="802"/>
      <c r="QPI225" s="800"/>
      <c r="QPJ225" s="801"/>
      <c r="QPK225" s="801"/>
      <c r="QPL225" s="801"/>
      <c r="QPM225" s="801"/>
      <c r="QPN225" s="802"/>
      <c r="QPO225" s="800"/>
      <c r="QPP225" s="801"/>
      <c r="QPQ225" s="801"/>
      <c r="QPR225" s="801"/>
      <c r="QPS225" s="801"/>
      <c r="QPT225" s="802"/>
      <c r="QPU225" s="800"/>
      <c r="QPV225" s="801"/>
      <c r="QPW225" s="801"/>
      <c r="QPX225" s="801"/>
      <c r="QPY225" s="801"/>
      <c r="QPZ225" s="802"/>
      <c r="QQA225" s="800"/>
      <c r="QQB225" s="801"/>
      <c r="QQC225" s="801"/>
      <c r="QQD225" s="801"/>
      <c r="QQE225" s="801"/>
      <c r="QQF225" s="802"/>
      <c r="QQG225" s="800"/>
      <c r="QQH225" s="801"/>
      <c r="QQI225" s="801"/>
      <c r="QQJ225" s="801"/>
      <c r="QQK225" s="801"/>
      <c r="QQL225" s="802"/>
      <c r="QQM225" s="800"/>
      <c r="QQN225" s="801"/>
      <c r="QQO225" s="801"/>
      <c r="QQP225" s="801"/>
      <c r="QQQ225" s="801"/>
      <c r="QQR225" s="802"/>
      <c r="QQS225" s="800"/>
      <c r="QQT225" s="801"/>
      <c r="QQU225" s="801"/>
      <c r="QQV225" s="801"/>
      <c r="QQW225" s="801"/>
      <c r="QQX225" s="802"/>
      <c r="QQY225" s="800"/>
      <c r="QQZ225" s="801"/>
      <c r="QRA225" s="801"/>
      <c r="QRB225" s="801"/>
      <c r="QRC225" s="801"/>
      <c r="QRD225" s="802"/>
      <c r="QRE225" s="800"/>
      <c r="QRF225" s="801"/>
      <c r="QRG225" s="801"/>
      <c r="QRH225" s="801"/>
      <c r="QRI225" s="801"/>
      <c r="QRJ225" s="802"/>
      <c r="QRK225" s="800"/>
      <c r="QRL225" s="801"/>
      <c r="QRM225" s="801"/>
      <c r="QRN225" s="801"/>
      <c r="QRO225" s="801"/>
      <c r="QRP225" s="802"/>
      <c r="QRQ225" s="800"/>
      <c r="QRR225" s="801"/>
      <c r="QRS225" s="801"/>
      <c r="QRT225" s="801"/>
      <c r="QRU225" s="801"/>
      <c r="QRV225" s="802"/>
      <c r="QRW225" s="800"/>
      <c r="QRX225" s="801"/>
      <c r="QRY225" s="801"/>
      <c r="QRZ225" s="801"/>
      <c r="QSA225" s="801"/>
      <c r="QSB225" s="802"/>
      <c r="QSC225" s="800"/>
      <c r="QSD225" s="801"/>
      <c r="QSE225" s="801"/>
      <c r="QSF225" s="801"/>
      <c r="QSG225" s="801"/>
      <c r="QSH225" s="802"/>
      <c r="QSI225" s="800"/>
      <c r="QSJ225" s="801"/>
      <c r="QSK225" s="801"/>
      <c r="QSL225" s="801"/>
      <c r="QSM225" s="801"/>
      <c r="QSN225" s="802"/>
      <c r="QSO225" s="800"/>
      <c r="QSP225" s="801"/>
      <c r="QSQ225" s="801"/>
      <c r="QSR225" s="801"/>
      <c r="QSS225" s="801"/>
      <c r="QST225" s="802"/>
      <c r="QSU225" s="800"/>
      <c r="QSV225" s="801"/>
      <c r="QSW225" s="801"/>
      <c r="QSX225" s="801"/>
      <c r="QSY225" s="801"/>
      <c r="QSZ225" s="802"/>
      <c r="QTA225" s="800"/>
      <c r="QTB225" s="801"/>
      <c r="QTC225" s="801"/>
      <c r="QTD225" s="801"/>
      <c r="QTE225" s="801"/>
      <c r="QTF225" s="802"/>
      <c r="QTG225" s="800"/>
      <c r="QTH225" s="801"/>
      <c r="QTI225" s="801"/>
      <c r="QTJ225" s="801"/>
      <c r="QTK225" s="801"/>
      <c r="QTL225" s="802"/>
      <c r="QTM225" s="800"/>
      <c r="QTN225" s="801"/>
      <c r="QTO225" s="801"/>
      <c r="QTP225" s="801"/>
      <c r="QTQ225" s="801"/>
      <c r="QTR225" s="802"/>
      <c r="QTS225" s="800"/>
      <c r="QTT225" s="801"/>
      <c r="QTU225" s="801"/>
      <c r="QTV225" s="801"/>
      <c r="QTW225" s="801"/>
      <c r="QTX225" s="802"/>
      <c r="QTY225" s="800"/>
      <c r="QTZ225" s="801"/>
      <c r="QUA225" s="801"/>
      <c r="QUB225" s="801"/>
      <c r="QUC225" s="801"/>
      <c r="QUD225" s="802"/>
      <c r="QUE225" s="800"/>
      <c r="QUF225" s="801"/>
      <c r="QUG225" s="801"/>
      <c r="QUH225" s="801"/>
      <c r="QUI225" s="801"/>
      <c r="QUJ225" s="802"/>
      <c r="QUK225" s="800"/>
      <c r="QUL225" s="801"/>
      <c r="QUM225" s="801"/>
      <c r="QUN225" s="801"/>
      <c r="QUO225" s="801"/>
      <c r="QUP225" s="802"/>
      <c r="QUQ225" s="800"/>
      <c r="QUR225" s="801"/>
      <c r="QUS225" s="801"/>
      <c r="QUT225" s="801"/>
      <c r="QUU225" s="801"/>
      <c r="QUV225" s="802"/>
      <c r="QUW225" s="800"/>
      <c r="QUX225" s="801"/>
      <c r="QUY225" s="801"/>
      <c r="QUZ225" s="801"/>
      <c r="QVA225" s="801"/>
      <c r="QVB225" s="802"/>
      <c r="QVC225" s="800"/>
      <c r="QVD225" s="801"/>
      <c r="QVE225" s="801"/>
      <c r="QVF225" s="801"/>
      <c r="QVG225" s="801"/>
      <c r="QVH225" s="802"/>
      <c r="QVI225" s="800"/>
      <c r="QVJ225" s="801"/>
      <c r="QVK225" s="801"/>
      <c r="QVL225" s="801"/>
      <c r="QVM225" s="801"/>
      <c r="QVN225" s="802"/>
      <c r="QVO225" s="800"/>
      <c r="QVP225" s="801"/>
      <c r="QVQ225" s="801"/>
      <c r="QVR225" s="801"/>
      <c r="QVS225" s="801"/>
      <c r="QVT225" s="802"/>
      <c r="QVU225" s="800"/>
      <c r="QVV225" s="801"/>
      <c r="QVW225" s="801"/>
      <c r="QVX225" s="801"/>
      <c r="QVY225" s="801"/>
      <c r="QVZ225" s="802"/>
      <c r="QWA225" s="800"/>
      <c r="QWB225" s="801"/>
      <c r="QWC225" s="801"/>
      <c r="QWD225" s="801"/>
      <c r="QWE225" s="801"/>
      <c r="QWF225" s="802"/>
      <c r="QWG225" s="800"/>
      <c r="QWH225" s="801"/>
      <c r="QWI225" s="801"/>
      <c r="QWJ225" s="801"/>
      <c r="QWK225" s="801"/>
      <c r="QWL225" s="802"/>
      <c r="QWM225" s="800"/>
      <c r="QWN225" s="801"/>
      <c r="QWO225" s="801"/>
      <c r="QWP225" s="801"/>
      <c r="QWQ225" s="801"/>
      <c r="QWR225" s="802"/>
      <c r="QWS225" s="800"/>
      <c r="QWT225" s="801"/>
      <c r="QWU225" s="801"/>
      <c r="QWV225" s="801"/>
      <c r="QWW225" s="801"/>
      <c r="QWX225" s="802"/>
      <c r="QWY225" s="800"/>
      <c r="QWZ225" s="801"/>
      <c r="QXA225" s="801"/>
      <c r="QXB225" s="801"/>
      <c r="QXC225" s="801"/>
      <c r="QXD225" s="802"/>
      <c r="QXE225" s="800"/>
      <c r="QXF225" s="801"/>
      <c r="QXG225" s="801"/>
      <c r="QXH225" s="801"/>
      <c r="QXI225" s="801"/>
      <c r="QXJ225" s="802"/>
      <c r="QXK225" s="800"/>
      <c r="QXL225" s="801"/>
      <c r="QXM225" s="801"/>
      <c r="QXN225" s="801"/>
      <c r="QXO225" s="801"/>
      <c r="QXP225" s="802"/>
      <c r="QXQ225" s="800"/>
      <c r="QXR225" s="801"/>
      <c r="QXS225" s="801"/>
      <c r="QXT225" s="801"/>
      <c r="QXU225" s="801"/>
      <c r="QXV225" s="802"/>
      <c r="QXW225" s="800"/>
      <c r="QXX225" s="801"/>
      <c r="QXY225" s="801"/>
      <c r="QXZ225" s="801"/>
      <c r="QYA225" s="801"/>
      <c r="QYB225" s="802"/>
      <c r="QYC225" s="800"/>
      <c r="QYD225" s="801"/>
      <c r="QYE225" s="801"/>
      <c r="QYF225" s="801"/>
      <c r="QYG225" s="801"/>
      <c r="QYH225" s="802"/>
      <c r="QYI225" s="800"/>
      <c r="QYJ225" s="801"/>
      <c r="QYK225" s="801"/>
      <c r="QYL225" s="801"/>
      <c r="QYM225" s="801"/>
      <c r="QYN225" s="802"/>
      <c r="QYO225" s="800"/>
      <c r="QYP225" s="801"/>
      <c r="QYQ225" s="801"/>
      <c r="QYR225" s="801"/>
      <c r="QYS225" s="801"/>
      <c r="QYT225" s="802"/>
      <c r="QYU225" s="800"/>
      <c r="QYV225" s="801"/>
      <c r="QYW225" s="801"/>
      <c r="QYX225" s="801"/>
      <c r="QYY225" s="801"/>
      <c r="QYZ225" s="802"/>
      <c r="QZA225" s="800"/>
      <c r="QZB225" s="801"/>
      <c r="QZC225" s="801"/>
      <c r="QZD225" s="801"/>
      <c r="QZE225" s="801"/>
      <c r="QZF225" s="802"/>
      <c r="QZG225" s="800"/>
      <c r="QZH225" s="801"/>
      <c r="QZI225" s="801"/>
      <c r="QZJ225" s="801"/>
      <c r="QZK225" s="801"/>
      <c r="QZL225" s="802"/>
      <c r="QZM225" s="800"/>
      <c r="QZN225" s="801"/>
      <c r="QZO225" s="801"/>
      <c r="QZP225" s="801"/>
      <c r="QZQ225" s="801"/>
      <c r="QZR225" s="802"/>
      <c r="QZS225" s="800"/>
      <c r="QZT225" s="801"/>
      <c r="QZU225" s="801"/>
      <c r="QZV225" s="801"/>
      <c r="QZW225" s="801"/>
      <c r="QZX225" s="802"/>
      <c r="QZY225" s="800"/>
      <c r="QZZ225" s="801"/>
      <c r="RAA225" s="801"/>
      <c r="RAB225" s="801"/>
      <c r="RAC225" s="801"/>
      <c r="RAD225" s="802"/>
      <c r="RAE225" s="800"/>
      <c r="RAF225" s="801"/>
      <c r="RAG225" s="801"/>
      <c r="RAH225" s="801"/>
      <c r="RAI225" s="801"/>
      <c r="RAJ225" s="802"/>
      <c r="RAK225" s="800"/>
      <c r="RAL225" s="801"/>
      <c r="RAM225" s="801"/>
      <c r="RAN225" s="801"/>
      <c r="RAO225" s="801"/>
      <c r="RAP225" s="802"/>
      <c r="RAQ225" s="800"/>
      <c r="RAR225" s="801"/>
      <c r="RAS225" s="801"/>
      <c r="RAT225" s="801"/>
      <c r="RAU225" s="801"/>
      <c r="RAV225" s="802"/>
      <c r="RAW225" s="800"/>
      <c r="RAX225" s="801"/>
      <c r="RAY225" s="801"/>
      <c r="RAZ225" s="801"/>
      <c r="RBA225" s="801"/>
      <c r="RBB225" s="802"/>
      <c r="RBC225" s="800"/>
      <c r="RBD225" s="801"/>
      <c r="RBE225" s="801"/>
      <c r="RBF225" s="801"/>
      <c r="RBG225" s="801"/>
      <c r="RBH225" s="802"/>
      <c r="RBI225" s="800"/>
      <c r="RBJ225" s="801"/>
      <c r="RBK225" s="801"/>
      <c r="RBL225" s="801"/>
      <c r="RBM225" s="801"/>
      <c r="RBN225" s="802"/>
      <c r="RBO225" s="800"/>
      <c r="RBP225" s="801"/>
      <c r="RBQ225" s="801"/>
      <c r="RBR225" s="801"/>
      <c r="RBS225" s="801"/>
      <c r="RBT225" s="802"/>
      <c r="RBU225" s="800"/>
      <c r="RBV225" s="801"/>
      <c r="RBW225" s="801"/>
      <c r="RBX225" s="801"/>
      <c r="RBY225" s="801"/>
      <c r="RBZ225" s="802"/>
      <c r="RCA225" s="800"/>
      <c r="RCB225" s="801"/>
      <c r="RCC225" s="801"/>
      <c r="RCD225" s="801"/>
      <c r="RCE225" s="801"/>
      <c r="RCF225" s="802"/>
      <c r="RCG225" s="800"/>
      <c r="RCH225" s="801"/>
      <c r="RCI225" s="801"/>
      <c r="RCJ225" s="801"/>
      <c r="RCK225" s="801"/>
      <c r="RCL225" s="802"/>
      <c r="RCM225" s="800"/>
      <c r="RCN225" s="801"/>
      <c r="RCO225" s="801"/>
      <c r="RCP225" s="801"/>
      <c r="RCQ225" s="801"/>
      <c r="RCR225" s="802"/>
      <c r="RCS225" s="800"/>
      <c r="RCT225" s="801"/>
      <c r="RCU225" s="801"/>
      <c r="RCV225" s="801"/>
      <c r="RCW225" s="801"/>
      <c r="RCX225" s="802"/>
      <c r="RCY225" s="800"/>
      <c r="RCZ225" s="801"/>
      <c r="RDA225" s="801"/>
      <c r="RDB225" s="801"/>
      <c r="RDC225" s="801"/>
      <c r="RDD225" s="802"/>
      <c r="RDE225" s="800"/>
      <c r="RDF225" s="801"/>
      <c r="RDG225" s="801"/>
      <c r="RDH225" s="801"/>
      <c r="RDI225" s="801"/>
      <c r="RDJ225" s="802"/>
      <c r="RDK225" s="800"/>
      <c r="RDL225" s="801"/>
      <c r="RDM225" s="801"/>
      <c r="RDN225" s="801"/>
      <c r="RDO225" s="801"/>
      <c r="RDP225" s="802"/>
      <c r="RDQ225" s="800"/>
      <c r="RDR225" s="801"/>
      <c r="RDS225" s="801"/>
      <c r="RDT225" s="801"/>
      <c r="RDU225" s="801"/>
      <c r="RDV225" s="802"/>
      <c r="RDW225" s="800"/>
      <c r="RDX225" s="801"/>
      <c r="RDY225" s="801"/>
      <c r="RDZ225" s="801"/>
      <c r="REA225" s="801"/>
      <c r="REB225" s="802"/>
      <c r="REC225" s="800"/>
      <c r="RED225" s="801"/>
      <c r="REE225" s="801"/>
      <c r="REF225" s="801"/>
      <c r="REG225" s="801"/>
      <c r="REH225" s="802"/>
      <c r="REI225" s="800"/>
      <c r="REJ225" s="801"/>
      <c r="REK225" s="801"/>
      <c r="REL225" s="801"/>
      <c r="REM225" s="801"/>
      <c r="REN225" s="802"/>
      <c r="REO225" s="800"/>
      <c r="REP225" s="801"/>
      <c r="REQ225" s="801"/>
      <c r="RER225" s="801"/>
      <c r="RES225" s="801"/>
      <c r="RET225" s="802"/>
      <c r="REU225" s="800"/>
      <c r="REV225" s="801"/>
      <c r="REW225" s="801"/>
      <c r="REX225" s="801"/>
      <c r="REY225" s="801"/>
      <c r="REZ225" s="802"/>
      <c r="RFA225" s="800"/>
      <c r="RFB225" s="801"/>
      <c r="RFC225" s="801"/>
      <c r="RFD225" s="801"/>
      <c r="RFE225" s="801"/>
      <c r="RFF225" s="802"/>
      <c r="RFG225" s="800"/>
      <c r="RFH225" s="801"/>
      <c r="RFI225" s="801"/>
      <c r="RFJ225" s="801"/>
      <c r="RFK225" s="801"/>
      <c r="RFL225" s="802"/>
      <c r="RFM225" s="800"/>
      <c r="RFN225" s="801"/>
      <c r="RFO225" s="801"/>
      <c r="RFP225" s="801"/>
      <c r="RFQ225" s="801"/>
      <c r="RFR225" s="802"/>
      <c r="RFS225" s="800"/>
      <c r="RFT225" s="801"/>
      <c r="RFU225" s="801"/>
      <c r="RFV225" s="801"/>
      <c r="RFW225" s="801"/>
      <c r="RFX225" s="802"/>
      <c r="RFY225" s="800"/>
      <c r="RFZ225" s="801"/>
      <c r="RGA225" s="801"/>
      <c r="RGB225" s="801"/>
      <c r="RGC225" s="801"/>
      <c r="RGD225" s="802"/>
      <c r="RGE225" s="800"/>
      <c r="RGF225" s="801"/>
      <c r="RGG225" s="801"/>
      <c r="RGH225" s="801"/>
      <c r="RGI225" s="801"/>
      <c r="RGJ225" s="802"/>
      <c r="RGK225" s="800"/>
      <c r="RGL225" s="801"/>
      <c r="RGM225" s="801"/>
      <c r="RGN225" s="801"/>
      <c r="RGO225" s="801"/>
      <c r="RGP225" s="802"/>
      <c r="RGQ225" s="800"/>
      <c r="RGR225" s="801"/>
      <c r="RGS225" s="801"/>
      <c r="RGT225" s="801"/>
      <c r="RGU225" s="801"/>
      <c r="RGV225" s="802"/>
      <c r="RGW225" s="800"/>
      <c r="RGX225" s="801"/>
      <c r="RGY225" s="801"/>
      <c r="RGZ225" s="801"/>
      <c r="RHA225" s="801"/>
      <c r="RHB225" s="802"/>
      <c r="RHC225" s="800"/>
      <c r="RHD225" s="801"/>
      <c r="RHE225" s="801"/>
      <c r="RHF225" s="801"/>
      <c r="RHG225" s="801"/>
      <c r="RHH225" s="802"/>
      <c r="RHI225" s="800"/>
      <c r="RHJ225" s="801"/>
      <c r="RHK225" s="801"/>
      <c r="RHL225" s="801"/>
      <c r="RHM225" s="801"/>
      <c r="RHN225" s="802"/>
      <c r="RHO225" s="800"/>
      <c r="RHP225" s="801"/>
      <c r="RHQ225" s="801"/>
      <c r="RHR225" s="801"/>
      <c r="RHS225" s="801"/>
      <c r="RHT225" s="802"/>
      <c r="RHU225" s="800"/>
      <c r="RHV225" s="801"/>
      <c r="RHW225" s="801"/>
      <c r="RHX225" s="801"/>
      <c r="RHY225" s="801"/>
      <c r="RHZ225" s="802"/>
      <c r="RIA225" s="800"/>
      <c r="RIB225" s="801"/>
      <c r="RIC225" s="801"/>
      <c r="RID225" s="801"/>
      <c r="RIE225" s="801"/>
      <c r="RIF225" s="802"/>
      <c r="RIG225" s="800"/>
      <c r="RIH225" s="801"/>
      <c r="RII225" s="801"/>
      <c r="RIJ225" s="801"/>
      <c r="RIK225" s="801"/>
      <c r="RIL225" s="802"/>
      <c r="RIM225" s="800"/>
      <c r="RIN225" s="801"/>
      <c r="RIO225" s="801"/>
      <c r="RIP225" s="801"/>
      <c r="RIQ225" s="801"/>
      <c r="RIR225" s="802"/>
      <c r="RIS225" s="800"/>
      <c r="RIT225" s="801"/>
      <c r="RIU225" s="801"/>
      <c r="RIV225" s="801"/>
      <c r="RIW225" s="801"/>
      <c r="RIX225" s="802"/>
      <c r="RIY225" s="800"/>
      <c r="RIZ225" s="801"/>
      <c r="RJA225" s="801"/>
      <c r="RJB225" s="801"/>
      <c r="RJC225" s="801"/>
      <c r="RJD225" s="802"/>
      <c r="RJE225" s="800"/>
      <c r="RJF225" s="801"/>
      <c r="RJG225" s="801"/>
      <c r="RJH225" s="801"/>
      <c r="RJI225" s="801"/>
      <c r="RJJ225" s="802"/>
      <c r="RJK225" s="800"/>
      <c r="RJL225" s="801"/>
      <c r="RJM225" s="801"/>
      <c r="RJN225" s="801"/>
      <c r="RJO225" s="801"/>
      <c r="RJP225" s="802"/>
      <c r="RJQ225" s="800"/>
      <c r="RJR225" s="801"/>
      <c r="RJS225" s="801"/>
      <c r="RJT225" s="801"/>
      <c r="RJU225" s="801"/>
      <c r="RJV225" s="802"/>
      <c r="RJW225" s="800"/>
      <c r="RJX225" s="801"/>
      <c r="RJY225" s="801"/>
      <c r="RJZ225" s="801"/>
      <c r="RKA225" s="801"/>
      <c r="RKB225" s="802"/>
      <c r="RKC225" s="800"/>
      <c r="RKD225" s="801"/>
      <c r="RKE225" s="801"/>
      <c r="RKF225" s="801"/>
      <c r="RKG225" s="801"/>
      <c r="RKH225" s="802"/>
      <c r="RKI225" s="800"/>
      <c r="RKJ225" s="801"/>
      <c r="RKK225" s="801"/>
      <c r="RKL225" s="801"/>
      <c r="RKM225" s="801"/>
      <c r="RKN225" s="802"/>
      <c r="RKO225" s="800"/>
      <c r="RKP225" s="801"/>
      <c r="RKQ225" s="801"/>
      <c r="RKR225" s="801"/>
      <c r="RKS225" s="801"/>
      <c r="RKT225" s="802"/>
      <c r="RKU225" s="800"/>
      <c r="RKV225" s="801"/>
      <c r="RKW225" s="801"/>
      <c r="RKX225" s="801"/>
      <c r="RKY225" s="801"/>
      <c r="RKZ225" s="802"/>
      <c r="RLA225" s="800"/>
      <c r="RLB225" s="801"/>
      <c r="RLC225" s="801"/>
      <c r="RLD225" s="801"/>
      <c r="RLE225" s="801"/>
      <c r="RLF225" s="802"/>
      <c r="RLG225" s="800"/>
      <c r="RLH225" s="801"/>
      <c r="RLI225" s="801"/>
      <c r="RLJ225" s="801"/>
      <c r="RLK225" s="801"/>
      <c r="RLL225" s="802"/>
      <c r="RLM225" s="800"/>
      <c r="RLN225" s="801"/>
      <c r="RLO225" s="801"/>
      <c r="RLP225" s="801"/>
      <c r="RLQ225" s="801"/>
      <c r="RLR225" s="802"/>
      <c r="RLS225" s="800"/>
      <c r="RLT225" s="801"/>
      <c r="RLU225" s="801"/>
      <c r="RLV225" s="801"/>
      <c r="RLW225" s="801"/>
      <c r="RLX225" s="802"/>
      <c r="RLY225" s="800"/>
      <c r="RLZ225" s="801"/>
      <c r="RMA225" s="801"/>
      <c r="RMB225" s="801"/>
      <c r="RMC225" s="801"/>
      <c r="RMD225" s="802"/>
      <c r="RME225" s="800"/>
      <c r="RMF225" s="801"/>
      <c r="RMG225" s="801"/>
      <c r="RMH225" s="801"/>
      <c r="RMI225" s="801"/>
      <c r="RMJ225" s="802"/>
      <c r="RMK225" s="800"/>
      <c r="RML225" s="801"/>
      <c r="RMM225" s="801"/>
      <c r="RMN225" s="801"/>
      <c r="RMO225" s="801"/>
      <c r="RMP225" s="802"/>
      <c r="RMQ225" s="800"/>
      <c r="RMR225" s="801"/>
      <c r="RMS225" s="801"/>
      <c r="RMT225" s="801"/>
      <c r="RMU225" s="801"/>
      <c r="RMV225" s="802"/>
      <c r="RMW225" s="800"/>
      <c r="RMX225" s="801"/>
      <c r="RMY225" s="801"/>
      <c r="RMZ225" s="801"/>
      <c r="RNA225" s="801"/>
      <c r="RNB225" s="802"/>
      <c r="RNC225" s="800"/>
      <c r="RND225" s="801"/>
      <c r="RNE225" s="801"/>
      <c r="RNF225" s="801"/>
      <c r="RNG225" s="801"/>
      <c r="RNH225" s="802"/>
      <c r="RNI225" s="800"/>
      <c r="RNJ225" s="801"/>
      <c r="RNK225" s="801"/>
      <c r="RNL225" s="801"/>
      <c r="RNM225" s="801"/>
      <c r="RNN225" s="802"/>
      <c r="RNO225" s="800"/>
      <c r="RNP225" s="801"/>
      <c r="RNQ225" s="801"/>
      <c r="RNR225" s="801"/>
      <c r="RNS225" s="801"/>
      <c r="RNT225" s="802"/>
      <c r="RNU225" s="800"/>
      <c r="RNV225" s="801"/>
      <c r="RNW225" s="801"/>
      <c r="RNX225" s="801"/>
      <c r="RNY225" s="801"/>
      <c r="RNZ225" s="802"/>
      <c r="ROA225" s="800"/>
      <c r="ROB225" s="801"/>
      <c r="ROC225" s="801"/>
      <c r="ROD225" s="801"/>
      <c r="ROE225" s="801"/>
      <c r="ROF225" s="802"/>
      <c r="ROG225" s="800"/>
      <c r="ROH225" s="801"/>
      <c r="ROI225" s="801"/>
      <c r="ROJ225" s="801"/>
      <c r="ROK225" s="801"/>
      <c r="ROL225" s="802"/>
      <c r="ROM225" s="800"/>
      <c r="RON225" s="801"/>
      <c r="ROO225" s="801"/>
      <c r="ROP225" s="801"/>
      <c r="ROQ225" s="801"/>
      <c r="ROR225" s="802"/>
      <c r="ROS225" s="800"/>
      <c r="ROT225" s="801"/>
      <c r="ROU225" s="801"/>
      <c r="ROV225" s="801"/>
      <c r="ROW225" s="801"/>
      <c r="ROX225" s="802"/>
      <c r="ROY225" s="800"/>
      <c r="ROZ225" s="801"/>
      <c r="RPA225" s="801"/>
      <c r="RPB225" s="801"/>
      <c r="RPC225" s="801"/>
      <c r="RPD225" s="802"/>
      <c r="RPE225" s="800"/>
      <c r="RPF225" s="801"/>
      <c r="RPG225" s="801"/>
      <c r="RPH225" s="801"/>
      <c r="RPI225" s="801"/>
      <c r="RPJ225" s="802"/>
      <c r="RPK225" s="800"/>
      <c r="RPL225" s="801"/>
      <c r="RPM225" s="801"/>
      <c r="RPN225" s="801"/>
      <c r="RPO225" s="801"/>
      <c r="RPP225" s="802"/>
      <c r="RPQ225" s="800"/>
      <c r="RPR225" s="801"/>
      <c r="RPS225" s="801"/>
      <c r="RPT225" s="801"/>
      <c r="RPU225" s="801"/>
      <c r="RPV225" s="802"/>
      <c r="RPW225" s="800"/>
      <c r="RPX225" s="801"/>
      <c r="RPY225" s="801"/>
      <c r="RPZ225" s="801"/>
      <c r="RQA225" s="801"/>
      <c r="RQB225" s="802"/>
      <c r="RQC225" s="800"/>
      <c r="RQD225" s="801"/>
      <c r="RQE225" s="801"/>
      <c r="RQF225" s="801"/>
      <c r="RQG225" s="801"/>
      <c r="RQH225" s="802"/>
      <c r="RQI225" s="800"/>
      <c r="RQJ225" s="801"/>
      <c r="RQK225" s="801"/>
      <c r="RQL225" s="801"/>
      <c r="RQM225" s="801"/>
      <c r="RQN225" s="802"/>
      <c r="RQO225" s="800"/>
      <c r="RQP225" s="801"/>
      <c r="RQQ225" s="801"/>
      <c r="RQR225" s="801"/>
      <c r="RQS225" s="801"/>
      <c r="RQT225" s="802"/>
      <c r="RQU225" s="800"/>
      <c r="RQV225" s="801"/>
      <c r="RQW225" s="801"/>
      <c r="RQX225" s="801"/>
      <c r="RQY225" s="801"/>
      <c r="RQZ225" s="802"/>
      <c r="RRA225" s="800"/>
      <c r="RRB225" s="801"/>
      <c r="RRC225" s="801"/>
      <c r="RRD225" s="801"/>
      <c r="RRE225" s="801"/>
      <c r="RRF225" s="802"/>
      <c r="RRG225" s="800"/>
      <c r="RRH225" s="801"/>
      <c r="RRI225" s="801"/>
      <c r="RRJ225" s="801"/>
      <c r="RRK225" s="801"/>
      <c r="RRL225" s="802"/>
      <c r="RRM225" s="800"/>
      <c r="RRN225" s="801"/>
      <c r="RRO225" s="801"/>
      <c r="RRP225" s="801"/>
      <c r="RRQ225" s="801"/>
      <c r="RRR225" s="802"/>
      <c r="RRS225" s="800"/>
      <c r="RRT225" s="801"/>
      <c r="RRU225" s="801"/>
      <c r="RRV225" s="801"/>
      <c r="RRW225" s="801"/>
      <c r="RRX225" s="802"/>
      <c r="RRY225" s="800"/>
      <c r="RRZ225" s="801"/>
      <c r="RSA225" s="801"/>
      <c r="RSB225" s="801"/>
      <c r="RSC225" s="801"/>
      <c r="RSD225" s="802"/>
      <c r="RSE225" s="800"/>
      <c r="RSF225" s="801"/>
      <c r="RSG225" s="801"/>
      <c r="RSH225" s="801"/>
      <c r="RSI225" s="801"/>
      <c r="RSJ225" s="802"/>
      <c r="RSK225" s="800"/>
      <c r="RSL225" s="801"/>
      <c r="RSM225" s="801"/>
      <c r="RSN225" s="801"/>
      <c r="RSO225" s="801"/>
      <c r="RSP225" s="802"/>
      <c r="RSQ225" s="800"/>
      <c r="RSR225" s="801"/>
      <c r="RSS225" s="801"/>
      <c r="RST225" s="801"/>
      <c r="RSU225" s="801"/>
      <c r="RSV225" s="802"/>
      <c r="RSW225" s="800"/>
      <c r="RSX225" s="801"/>
      <c r="RSY225" s="801"/>
      <c r="RSZ225" s="801"/>
      <c r="RTA225" s="801"/>
      <c r="RTB225" s="802"/>
      <c r="RTC225" s="800"/>
      <c r="RTD225" s="801"/>
      <c r="RTE225" s="801"/>
      <c r="RTF225" s="801"/>
      <c r="RTG225" s="801"/>
      <c r="RTH225" s="802"/>
      <c r="RTI225" s="800"/>
      <c r="RTJ225" s="801"/>
      <c r="RTK225" s="801"/>
      <c r="RTL225" s="801"/>
      <c r="RTM225" s="801"/>
      <c r="RTN225" s="802"/>
      <c r="RTO225" s="800"/>
      <c r="RTP225" s="801"/>
      <c r="RTQ225" s="801"/>
      <c r="RTR225" s="801"/>
      <c r="RTS225" s="801"/>
      <c r="RTT225" s="802"/>
      <c r="RTU225" s="800"/>
      <c r="RTV225" s="801"/>
      <c r="RTW225" s="801"/>
      <c r="RTX225" s="801"/>
      <c r="RTY225" s="801"/>
      <c r="RTZ225" s="802"/>
      <c r="RUA225" s="800"/>
      <c r="RUB225" s="801"/>
      <c r="RUC225" s="801"/>
      <c r="RUD225" s="801"/>
      <c r="RUE225" s="801"/>
      <c r="RUF225" s="802"/>
      <c r="RUG225" s="800"/>
      <c r="RUH225" s="801"/>
      <c r="RUI225" s="801"/>
      <c r="RUJ225" s="801"/>
      <c r="RUK225" s="801"/>
      <c r="RUL225" s="802"/>
      <c r="RUM225" s="800"/>
      <c r="RUN225" s="801"/>
      <c r="RUO225" s="801"/>
      <c r="RUP225" s="801"/>
      <c r="RUQ225" s="801"/>
      <c r="RUR225" s="802"/>
      <c r="RUS225" s="800"/>
      <c r="RUT225" s="801"/>
      <c r="RUU225" s="801"/>
      <c r="RUV225" s="801"/>
      <c r="RUW225" s="801"/>
      <c r="RUX225" s="802"/>
      <c r="RUY225" s="800"/>
      <c r="RUZ225" s="801"/>
      <c r="RVA225" s="801"/>
      <c r="RVB225" s="801"/>
      <c r="RVC225" s="801"/>
      <c r="RVD225" s="802"/>
      <c r="RVE225" s="800"/>
      <c r="RVF225" s="801"/>
      <c r="RVG225" s="801"/>
      <c r="RVH225" s="801"/>
      <c r="RVI225" s="801"/>
      <c r="RVJ225" s="802"/>
      <c r="RVK225" s="800"/>
      <c r="RVL225" s="801"/>
      <c r="RVM225" s="801"/>
      <c r="RVN225" s="801"/>
      <c r="RVO225" s="801"/>
      <c r="RVP225" s="802"/>
      <c r="RVQ225" s="800"/>
      <c r="RVR225" s="801"/>
      <c r="RVS225" s="801"/>
      <c r="RVT225" s="801"/>
      <c r="RVU225" s="801"/>
      <c r="RVV225" s="802"/>
      <c r="RVW225" s="800"/>
      <c r="RVX225" s="801"/>
      <c r="RVY225" s="801"/>
      <c r="RVZ225" s="801"/>
      <c r="RWA225" s="801"/>
      <c r="RWB225" s="802"/>
      <c r="RWC225" s="800"/>
      <c r="RWD225" s="801"/>
      <c r="RWE225" s="801"/>
      <c r="RWF225" s="801"/>
      <c r="RWG225" s="801"/>
      <c r="RWH225" s="802"/>
      <c r="RWI225" s="800"/>
      <c r="RWJ225" s="801"/>
      <c r="RWK225" s="801"/>
      <c r="RWL225" s="801"/>
      <c r="RWM225" s="801"/>
      <c r="RWN225" s="802"/>
      <c r="RWO225" s="800"/>
      <c r="RWP225" s="801"/>
      <c r="RWQ225" s="801"/>
      <c r="RWR225" s="801"/>
      <c r="RWS225" s="801"/>
      <c r="RWT225" s="802"/>
      <c r="RWU225" s="800"/>
      <c r="RWV225" s="801"/>
      <c r="RWW225" s="801"/>
      <c r="RWX225" s="801"/>
      <c r="RWY225" s="801"/>
      <c r="RWZ225" s="802"/>
      <c r="RXA225" s="800"/>
      <c r="RXB225" s="801"/>
      <c r="RXC225" s="801"/>
      <c r="RXD225" s="801"/>
      <c r="RXE225" s="801"/>
      <c r="RXF225" s="802"/>
      <c r="RXG225" s="800"/>
      <c r="RXH225" s="801"/>
      <c r="RXI225" s="801"/>
      <c r="RXJ225" s="801"/>
      <c r="RXK225" s="801"/>
      <c r="RXL225" s="802"/>
      <c r="RXM225" s="800"/>
      <c r="RXN225" s="801"/>
      <c r="RXO225" s="801"/>
      <c r="RXP225" s="801"/>
      <c r="RXQ225" s="801"/>
      <c r="RXR225" s="802"/>
      <c r="RXS225" s="800"/>
      <c r="RXT225" s="801"/>
      <c r="RXU225" s="801"/>
      <c r="RXV225" s="801"/>
      <c r="RXW225" s="801"/>
      <c r="RXX225" s="802"/>
      <c r="RXY225" s="800"/>
      <c r="RXZ225" s="801"/>
      <c r="RYA225" s="801"/>
      <c r="RYB225" s="801"/>
      <c r="RYC225" s="801"/>
      <c r="RYD225" s="802"/>
      <c r="RYE225" s="800"/>
      <c r="RYF225" s="801"/>
      <c r="RYG225" s="801"/>
      <c r="RYH225" s="801"/>
      <c r="RYI225" s="801"/>
      <c r="RYJ225" s="802"/>
      <c r="RYK225" s="800"/>
      <c r="RYL225" s="801"/>
      <c r="RYM225" s="801"/>
      <c r="RYN225" s="801"/>
      <c r="RYO225" s="801"/>
      <c r="RYP225" s="802"/>
      <c r="RYQ225" s="800"/>
      <c r="RYR225" s="801"/>
      <c r="RYS225" s="801"/>
      <c r="RYT225" s="801"/>
      <c r="RYU225" s="801"/>
      <c r="RYV225" s="802"/>
      <c r="RYW225" s="800"/>
      <c r="RYX225" s="801"/>
      <c r="RYY225" s="801"/>
      <c r="RYZ225" s="801"/>
      <c r="RZA225" s="801"/>
      <c r="RZB225" s="802"/>
      <c r="RZC225" s="800"/>
      <c r="RZD225" s="801"/>
      <c r="RZE225" s="801"/>
      <c r="RZF225" s="801"/>
      <c r="RZG225" s="801"/>
      <c r="RZH225" s="802"/>
      <c r="RZI225" s="800"/>
      <c r="RZJ225" s="801"/>
      <c r="RZK225" s="801"/>
      <c r="RZL225" s="801"/>
      <c r="RZM225" s="801"/>
      <c r="RZN225" s="802"/>
      <c r="RZO225" s="800"/>
      <c r="RZP225" s="801"/>
      <c r="RZQ225" s="801"/>
      <c r="RZR225" s="801"/>
      <c r="RZS225" s="801"/>
      <c r="RZT225" s="802"/>
      <c r="RZU225" s="800"/>
      <c r="RZV225" s="801"/>
      <c r="RZW225" s="801"/>
      <c r="RZX225" s="801"/>
      <c r="RZY225" s="801"/>
      <c r="RZZ225" s="802"/>
      <c r="SAA225" s="800"/>
      <c r="SAB225" s="801"/>
      <c r="SAC225" s="801"/>
      <c r="SAD225" s="801"/>
      <c r="SAE225" s="801"/>
      <c r="SAF225" s="802"/>
      <c r="SAG225" s="800"/>
      <c r="SAH225" s="801"/>
      <c r="SAI225" s="801"/>
      <c r="SAJ225" s="801"/>
      <c r="SAK225" s="801"/>
      <c r="SAL225" s="802"/>
      <c r="SAM225" s="800"/>
      <c r="SAN225" s="801"/>
      <c r="SAO225" s="801"/>
      <c r="SAP225" s="801"/>
      <c r="SAQ225" s="801"/>
      <c r="SAR225" s="802"/>
      <c r="SAS225" s="800"/>
      <c r="SAT225" s="801"/>
      <c r="SAU225" s="801"/>
      <c r="SAV225" s="801"/>
      <c r="SAW225" s="801"/>
      <c r="SAX225" s="802"/>
      <c r="SAY225" s="800"/>
      <c r="SAZ225" s="801"/>
      <c r="SBA225" s="801"/>
      <c r="SBB225" s="801"/>
      <c r="SBC225" s="801"/>
      <c r="SBD225" s="802"/>
      <c r="SBE225" s="800"/>
      <c r="SBF225" s="801"/>
      <c r="SBG225" s="801"/>
      <c r="SBH225" s="801"/>
      <c r="SBI225" s="801"/>
      <c r="SBJ225" s="802"/>
      <c r="SBK225" s="800"/>
      <c r="SBL225" s="801"/>
      <c r="SBM225" s="801"/>
      <c r="SBN225" s="801"/>
      <c r="SBO225" s="801"/>
      <c r="SBP225" s="802"/>
      <c r="SBQ225" s="800"/>
      <c r="SBR225" s="801"/>
      <c r="SBS225" s="801"/>
      <c r="SBT225" s="801"/>
      <c r="SBU225" s="801"/>
      <c r="SBV225" s="802"/>
      <c r="SBW225" s="800"/>
      <c r="SBX225" s="801"/>
      <c r="SBY225" s="801"/>
      <c r="SBZ225" s="801"/>
      <c r="SCA225" s="801"/>
      <c r="SCB225" s="802"/>
      <c r="SCC225" s="800"/>
      <c r="SCD225" s="801"/>
      <c r="SCE225" s="801"/>
      <c r="SCF225" s="801"/>
      <c r="SCG225" s="801"/>
      <c r="SCH225" s="802"/>
      <c r="SCI225" s="800"/>
      <c r="SCJ225" s="801"/>
      <c r="SCK225" s="801"/>
      <c r="SCL225" s="801"/>
      <c r="SCM225" s="801"/>
      <c r="SCN225" s="802"/>
      <c r="SCO225" s="800"/>
      <c r="SCP225" s="801"/>
      <c r="SCQ225" s="801"/>
      <c r="SCR225" s="801"/>
      <c r="SCS225" s="801"/>
      <c r="SCT225" s="802"/>
      <c r="SCU225" s="800"/>
      <c r="SCV225" s="801"/>
      <c r="SCW225" s="801"/>
      <c r="SCX225" s="801"/>
      <c r="SCY225" s="801"/>
      <c r="SCZ225" s="802"/>
      <c r="SDA225" s="800"/>
      <c r="SDB225" s="801"/>
      <c r="SDC225" s="801"/>
      <c r="SDD225" s="801"/>
      <c r="SDE225" s="801"/>
      <c r="SDF225" s="802"/>
      <c r="SDG225" s="800"/>
      <c r="SDH225" s="801"/>
      <c r="SDI225" s="801"/>
      <c r="SDJ225" s="801"/>
      <c r="SDK225" s="801"/>
      <c r="SDL225" s="802"/>
      <c r="SDM225" s="800"/>
      <c r="SDN225" s="801"/>
      <c r="SDO225" s="801"/>
      <c r="SDP225" s="801"/>
      <c r="SDQ225" s="801"/>
      <c r="SDR225" s="802"/>
      <c r="SDS225" s="800"/>
      <c r="SDT225" s="801"/>
      <c r="SDU225" s="801"/>
      <c r="SDV225" s="801"/>
      <c r="SDW225" s="801"/>
      <c r="SDX225" s="802"/>
      <c r="SDY225" s="800"/>
      <c r="SDZ225" s="801"/>
      <c r="SEA225" s="801"/>
      <c r="SEB225" s="801"/>
      <c r="SEC225" s="801"/>
      <c r="SED225" s="802"/>
      <c r="SEE225" s="800"/>
      <c r="SEF225" s="801"/>
      <c r="SEG225" s="801"/>
      <c r="SEH225" s="801"/>
      <c r="SEI225" s="801"/>
      <c r="SEJ225" s="802"/>
      <c r="SEK225" s="800"/>
      <c r="SEL225" s="801"/>
      <c r="SEM225" s="801"/>
      <c r="SEN225" s="801"/>
      <c r="SEO225" s="801"/>
      <c r="SEP225" s="802"/>
      <c r="SEQ225" s="800"/>
      <c r="SER225" s="801"/>
      <c r="SES225" s="801"/>
      <c r="SET225" s="801"/>
      <c r="SEU225" s="801"/>
      <c r="SEV225" s="802"/>
      <c r="SEW225" s="800"/>
      <c r="SEX225" s="801"/>
      <c r="SEY225" s="801"/>
      <c r="SEZ225" s="801"/>
      <c r="SFA225" s="801"/>
      <c r="SFB225" s="802"/>
      <c r="SFC225" s="800"/>
      <c r="SFD225" s="801"/>
      <c r="SFE225" s="801"/>
      <c r="SFF225" s="801"/>
      <c r="SFG225" s="801"/>
      <c r="SFH225" s="802"/>
      <c r="SFI225" s="800"/>
      <c r="SFJ225" s="801"/>
      <c r="SFK225" s="801"/>
      <c r="SFL225" s="801"/>
      <c r="SFM225" s="801"/>
      <c r="SFN225" s="802"/>
      <c r="SFO225" s="800"/>
      <c r="SFP225" s="801"/>
      <c r="SFQ225" s="801"/>
      <c r="SFR225" s="801"/>
      <c r="SFS225" s="801"/>
      <c r="SFT225" s="802"/>
      <c r="SFU225" s="800"/>
      <c r="SFV225" s="801"/>
      <c r="SFW225" s="801"/>
      <c r="SFX225" s="801"/>
      <c r="SFY225" s="801"/>
      <c r="SFZ225" s="802"/>
      <c r="SGA225" s="800"/>
      <c r="SGB225" s="801"/>
      <c r="SGC225" s="801"/>
      <c r="SGD225" s="801"/>
      <c r="SGE225" s="801"/>
      <c r="SGF225" s="802"/>
      <c r="SGG225" s="800"/>
      <c r="SGH225" s="801"/>
      <c r="SGI225" s="801"/>
      <c r="SGJ225" s="801"/>
      <c r="SGK225" s="801"/>
      <c r="SGL225" s="802"/>
      <c r="SGM225" s="800"/>
      <c r="SGN225" s="801"/>
      <c r="SGO225" s="801"/>
      <c r="SGP225" s="801"/>
      <c r="SGQ225" s="801"/>
      <c r="SGR225" s="802"/>
      <c r="SGS225" s="800"/>
      <c r="SGT225" s="801"/>
      <c r="SGU225" s="801"/>
      <c r="SGV225" s="801"/>
      <c r="SGW225" s="801"/>
      <c r="SGX225" s="802"/>
      <c r="SGY225" s="800"/>
      <c r="SGZ225" s="801"/>
      <c r="SHA225" s="801"/>
      <c r="SHB225" s="801"/>
      <c r="SHC225" s="801"/>
      <c r="SHD225" s="802"/>
      <c r="SHE225" s="800"/>
      <c r="SHF225" s="801"/>
      <c r="SHG225" s="801"/>
      <c r="SHH225" s="801"/>
      <c r="SHI225" s="801"/>
      <c r="SHJ225" s="802"/>
      <c r="SHK225" s="800"/>
      <c r="SHL225" s="801"/>
      <c r="SHM225" s="801"/>
      <c r="SHN225" s="801"/>
      <c r="SHO225" s="801"/>
      <c r="SHP225" s="802"/>
      <c r="SHQ225" s="800"/>
      <c r="SHR225" s="801"/>
      <c r="SHS225" s="801"/>
      <c r="SHT225" s="801"/>
      <c r="SHU225" s="801"/>
      <c r="SHV225" s="802"/>
      <c r="SHW225" s="800"/>
      <c r="SHX225" s="801"/>
      <c r="SHY225" s="801"/>
      <c r="SHZ225" s="801"/>
      <c r="SIA225" s="801"/>
      <c r="SIB225" s="802"/>
      <c r="SIC225" s="800"/>
      <c r="SID225" s="801"/>
      <c r="SIE225" s="801"/>
      <c r="SIF225" s="801"/>
      <c r="SIG225" s="801"/>
      <c r="SIH225" s="802"/>
      <c r="SII225" s="800"/>
      <c r="SIJ225" s="801"/>
      <c r="SIK225" s="801"/>
      <c r="SIL225" s="801"/>
      <c r="SIM225" s="801"/>
      <c r="SIN225" s="802"/>
      <c r="SIO225" s="800"/>
      <c r="SIP225" s="801"/>
      <c r="SIQ225" s="801"/>
      <c r="SIR225" s="801"/>
      <c r="SIS225" s="801"/>
      <c r="SIT225" s="802"/>
      <c r="SIU225" s="800"/>
      <c r="SIV225" s="801"/>
      <c r="SIW225" s="801"/>
      <c r="SIX225" s="801"/>
      <c r="SIY225" s="801"/>
      <c r="SIZ225" s="802"/>
      <c r="SJA225" s="800"/>
      <c r="SJB225" s="801"/>
      <c r="SJC225" s="801"/>
      <c r="SJD225" s="801"/>
      <c r="SJE225" s="801"/>
      <c r="SJF225" s="802"/>
      <c r="SJG225" s="800"/>
      <c r="SJH225" s="801"/>
      <c r="SJI225" s="801"/>
      <c r="SJJ225" s="801"/>
      <c r="SJK225" s="801"/>
      <c r="SJL225" s="802"/>
      <c r="SJM225" s="800"/>
      <c r="SJN225" s="801"/>
      <c r="SJO225" s="801"/>
      <c r="SJP225" s="801"/>
      <c r="SJQ225" s="801"/>
      <c r="SJR225" s="802"/>
      <c r="SJS225" s="800"/>
      <c r="SJT225" s="801"/>
      <c r="SJU225" s="801"/>
      <c r="SJV225" s="801"/>
      <c r="SJW225" s="801"/>
      <c r="SJX225" s="802"/>
      <c r="SJY225" s="800"/>
      <c r="SJZ225" s="801"/>
      <c r="SKA225" s="801"/>
      <c r="SKB225" s="801"/>
      <c r="SKC225" s="801"/>
      <c r="SKD225" s="802"/>
      <c r="SKE225" s="800"/>
      <c r="SKF225" s="801"/>
      <c r="SKG225" s="801"/>
      <c r="SKH225" s="801"/>
      <c r="SKI225" s="801"/>
      <c r="SKJ225" s="802"/>
      <c r="SKK225" s="800"/>
      <c r="SKL225" s="801"/>
      <c r="SKM225" s="801"/>
      <c r="SKN225" s="801"/>
      <c r="SKO225" s="801"/>
      <c r="SKP225" s="802"/>
      <c r="SKQ225" s="800"/>
      <c r="SKR225" s="801"/>
      <c r="SKS225" s="801"/>
      <c r="SKT225" s="801"/>
      <c r="SKU225" s="801"/>
      <c r="SKV225" s="802"/>
      <c r="SKW225" s="800"/>
      <c r="SKX225" s="801"/>
      <c r="SKY225" s="801"/>
      <c r="SKZ225" s="801"/>
      <c r="SLA225" s="801"/>
      <c r="SLB225" s="802"/>
      <c r="SLC225" s="800"/>
      <c r="SLD225" s="801"/>
      <c r="SLE225" s="801"/>
      <c r="SLF225" s="801"/>
      <c r="SLG225" s="801"/>
      <c r="SLH225" s="802"/>
      <c r="SLI225" s="800"/>
      <c r="SLJ225" s="801"/>
      <c r="SLK225" s="801"/>
      <c r="SLL225" s="801"/>
      <c r="SLM225" s="801"/>
      <c r="SLN225" s="802"/>
      <c r="SLO225" s="800"/>
      <c r="SLP225" s="801"/>
      <c r="SLQ225" s="801"/>
      <c r="SLR225" s="801"/>
      <c r="SLS225" s="801"/>
      <c r="SLT225" s="802"/>
      <c r="SLU225" s="800"/>
      <c r="SLV225" s="801"/>
      <c r="SLW225" s="801"/>
      <c r="SLX225" s="801"/>
      <c r="SLY225" s="801"/>
      <c r="SLZ225" s="802"/>
      <c r="SMA225" s="800"/>
      <c r="SMB225" s="801"/>
      <c r="SMC225" s="801"/>
      <c r="SMD225" s="801"/>
      <c r="SME225" s="801"/>
      <c r="SMF225" s="802"/>
      <c r="SMG225" s="800"/>
      <c r="SMH225" s="801"/>
      <c r="SMI225" s="801"/>
      <c r="SMJ225" s="801"/>
      <c r="SMK225" s="801"/>
      <c r="SML225" s="802"/>
      <c r="SMM225" s="800"/>
      <c r="SMN225" s="801"/>
      <c r="SMO225" s="801"/>
      <c r="SMP225" s="801"/>
      <c r="SMQ225" s="801"/>
      <c r="SMR225" s="802"/>
      <c r="SMS225" s="800"/>
      <c r="SMT225" s="801"/>
      <c r="SMU225" s="801"/>
      <c r="SMV225" s="801"/>
      <c r="SMW225" s="801"/>
      <c r="SMX225" s="802"/>
      <c r="SMY225" s="800"/>
      <c r="SMZ225" s="801"/>
      <c r="SNA225" s="801"/>
      <c r="SNB225" s="801"/>
      <c r="SNC225" s="801"/>
      <c r="SND225" s="802"/>
      <c r="SNE225" s="800"/>
      <c r="SNF225" s="801"/>
      <c r="SNG225" s="801"/>
      <c r="SNH225" s="801"/>
      <c r="SNI225" s="801"/>
      <c r="SNJ225" s="802"/>
      <c r="SNK225" s="800"/>
      <c r="SNL225" s="801"/>
      <c r="SNM225" s="801"/>
      <c r="SNN225" s="801"/>
      <c r="SNO225" s="801"/>
      <c r="SNP225" s="802"/>
      <c r="SNQ225" s="800"/>
      <c r="SNR225" s="801"/>
      <c r="SNS225" s="801"/>
      <c r="SNT225" s="801"/>
      <c r="SNU225" s="801"/>
      <c r="SNV225" s="802"/>
      <c r="SNW225" s="800"/>
      <c r="SNX225" s="801"/>
      <c r="SNY225" s="801"/>
      <c r="SNZ225" s="801"/>
      <c r="SOA225" s="801"/>
      <c r="SOB225" s="802"/>
      <c r="SOC225" s="800"/>
      <c r="SOD225" s="801"/>
      <c r="SOE225" s="801"/>
      <c r="SOF225" s="801"/>
      <c r="SOG225" s="801"/>
      <c r="SOH225" s="802"/>
      <c r="SOI225" s="800"/>
      <c r="SOJ225" s="801"/>
      <c r="SOK225" s="801"/>
      <c r="SOL225" s="801"/>
      <c r="SOM225" s="801"/>
      <c r="SON225" s="802"/>
      <c r="SOO225" s="800"/>
      <c r="SOP225" s="801"/>
      <c r="SOQ225" s="801"/>
      <c r="SOR225" s="801"/>
      <c r="SOS225" s="801"/>
      <c r="SOT225" s="802"/>
      <c r="SOU225" s="800"/>
      <c r="SOV225" s="801"/>
      <c r="SOW225" s="801"/>
      <c r="SOX225" s="801"/>
      <c r="SOY225" s="801"/>
      <c r="SOZ225" s="802"/>
      <c r="SPA225" s="800"/>
      <c r="SPB225" s="801"/>
      <c r="SPC225" s="801"/>
      <c r="SPD225" s="801"/>
      <c r="SPE225" s="801"/>
      <c r="SPF225" s="802"/>
      <c r="SPG225" s="800"/>
      <c r="SPH225" s="801"/>
      <c r="SPI225" s="801"/>
      <c r="SPJ225" s="801"/>
      <c r="SPK225" s="801"/>
      <c r="SPL225" s="802"/>
      <c r="SPM225" s="800"/>
      <c r="SPN225" s="801"/>
      <c r="SPO225" s="801"/>
      <c r="SPP225" s="801"/>
      <c r="SPQ225" s="801"/>
      <c r="SPR225" s="802"/>
      <c r="SPS225" s="800"/>
      <c r="SPT225" s="801"/>
      <c r="SPU225" s="801"/>
      <c r="SPV225" s="801"/>
      <c r="SPW225" s="801"/>
      <c r="SPX225" s="802"/>
      <c r="SPY225" s="800"/>
      <c r="SPZ225" s="801"/>
      <c r="SQA225" s="801"/>
      <c r="SQB225" s="801"/>
      <c r="SQC225" s="801"/>
      <c r="SQD225" s="802"/>
      <c r="SQE225" s="800"/>
      <c r="SQF225" s="801"/>
      <c r="SQG225" s="801"/>
      <c r="SQH225" s="801"/>
      <c r="SQI225" s="801"/>
      <c r="SQJ225" s="802"/>
      <c r="SQK225" s="800"/>
      <c r="SQL225" s="801"/>
      <c r="SQM225" s="801"/>
      <c r="SQN225" s="801"/>
      <c r="SQO225" s="801"/>
      <c r="SQP225" s="802"/>
      <c r="SQQ225" s="800"/>
      <c r="SQR225" s="801"/>
      <c r="SQS225" s="801"/>
      <c r="SQT225" s="801"/>
      <c r="SQU225" s="801"/>
      <c r="SQV225" s="802"/>
      <c r="SQW225" s="800"/>
      <c r="SQX225" s="801"/>
      <c r="SQY225" s="801"/>
      <c r="SQZ225" s="801"/>
      <c r="SRA225" s="801"/>
      <c r="SRB225" s="802"/>
      <c r="SRC225" s="800"/>
      <c r="SRD225" s="801"/>
      <c r="SRE225" s="801"/>
      <c r="SRF225" s="801"/>
      <c r="SRG225" s="801"/>
      <c r="SRH225" s="802"/>
      <c r="SRI225" s="800"/>
      <c r="SRJ225" s="801"/>
      <c r="SRK225" s="801"/>
      <c r="SRL225" s="801"/>
      <c r="SRM225" s="801"/>
      <c r="SRN225" s="802"/>
      <c r="SRO225" s="800"/>
      <c r="SRP225" s="801"/>
      <c r="SRQ225" s="801"/>
      <c r="SRR225" s="801"/>
      <c r="SRS225" s="801"/>
      <c r="SRT225" s="802"/>
      <c r="SRU225" s="800"/>
      <c r="SRV225" s="801"/>
      <c r="SRW225" s="801"/>
      <c r="SRX225" s="801"/>
      <c r="SRY225" s="801"/>
      <c r="SRZ225" s="802"/>
      <c r="SSA225" s="800"/>
      <c r="SSB225" s="801"/>
      <c r="SSC225" s="801"/>
      <c r="SSD225" s="801"/>
      <c r="SSE225" s="801"/>
      <c r="SSF225" s="802"/>
      <c r="SSG225" s="800"/>
      <c r="SSH225" s="801"/>
      <c r="SSI225" s="801"/>
      <c r="SSJ225" s="801"/>
      <c r="SSK225" s="801"/>
      <c r="SSL225" s="802"/>
      <c r="SSM225" s="800"/>
      <c r="SSN225" s="801"/>
      <c r="SSO225" s="801"/>
      <c r="SSP225" s="801"/>
      <c r="SSQ225" s="801"/>
      <c r="SSR225" s="802"/>
      <c r="SSS225" s="800"/>
      <c r="SST225" s="801"/>
      <c r="SSU225" s="801"/>
      <c r="SSV225" s="801"/>
      <c r="SSW225" s="801"/>
      <c r="SSX225" s="802"/>
      <c r="SSY225" s="800"/>
      <c r="SSZ225" s="801"/>
      <c r="STA225" s="801"/>
      <c r="STB225" s="801"/>
      <c r="STC225" s="801"/>
      <c r="STD225" s="802"/>
      <c r="STE225" s="800"/>
      <c r="STF225" s="801"/>
      <c r="STG225" s="801"/>
      <c r="STH225" s="801"/>
      <c r="STI225" s="801"/>
      <c r="STJ225" s="802"/>
      <c r="STK225" s="800"/>
      <c r="STL225" s="801"/>
      <c r="STM225" s="801"/>
      <c r="STN225" s="801"/>
      <c r="STO225" s="801"/>
      <c r="STP225" s="802"/>
      <c r="STQ225" s="800"/>
      <c r="STR225" s="801"/>
      <c r="STS225" s="801"/>
      <c r="STT225" s="801"/>
      <c r="STU225" s="801"/>
      <c r="STV225" s="802"/>
      <c r="STW225" s="800"/>
      <c r="STX225" s="801"/>
      <c r="STY225" s="801"/>
      <c r="STZ225" s="801"/>
      <c r="SUA225" s="801"/>
      <c r="SUB225" s="802"/>
      <c r="SUC225" s="800"/>
      <c r="SUD225" s="801"/>
      <c r="SUE225" s="801"/>
      <c r="SUF225" s="801"/>
      <c r="SUG225" s="801"/>
      <c r="SUH225" s="802"/>
      <c r="SUI225" s="800"/>
      <c r="SUJ225" s="801"/>
      <c r="SUK225" s="801"/>
      <c r="SUL225" s="801"/>
      <c r="SUM225" s="801"/>
      <c r="SUN225" s="802"/>
      <c r="SUO225" s="800"/>
      <c r="SUP225" s="801"/>
      <c r="SUQ225" s="801"/>
      <c r="SUR225" s="801"/>
      <c r="SUS225" s="801"/>
      <c r="SUT225" s="802"/>
      <c r="SUU225" s="800"/>
      <c r="SUV225" s="801"/>
      <c r="SUW225" s="801"/>
      <c r="SUX225" s="801"/>
      <c r="SUY225" s="801"/>
      <c r="SUZ225" s="802"/>
      <c r="SVA225" s="800"/>
      <c r="SVB225" s="801"/>
      <c r="SVC225" s="801"/>
      <c r="SVD225" s="801"/>
      <c r="SVE225" s="801"/>
      <c r="SVF225" s="802"/>
      <c r="SVG225" s="800"/>
      <c r="SVH225" s="801"/>
      <c r="SVI225" s="801"/>
      <c r="SVJ225" s="801"/>
      <c r="SVK225" s="801"/>
      <c r="SVL225" s="802"/>
      <c r="SVM225" s="800"/>
      <c r="SVN225" s="801"/>
      <c r="SVO225" s="801"/>
      <c r="SVP225" s="801"/>
      <c r="SVQ225" s="801"/>
      <c r="SVR225" s="802"/>
      <c r="SVS225" s="800"/>
      <c r="SVT225" s="801"/>
      <c r="SVU225" s="801"/>
      <c r="SVV225" s="801"/>
      <c r="SVW225" s="801"/>
      <c r="SVX225" s="802"/>
      <c r="SVY225" s="800"/>
      <c r="SVZ225" s="801"/>
      <c r="SWA225" s="801"/>
      <c r="SWB225" s="801"/>
      <c r="SWC225" s="801"/>
      <c r="SWD225" s="802"/>
      <c r="SWE225" s="800"/>
      <c r="SWF225" s="801"/>
      <c r="SWG225" s="801"/>
      <c r="SWH225" s="801"/>
      <c r="SWI225" s="801"/>
      <c r="SWJ225" s="802"/>
      <c r="SWK225" s="800"/>
      <c r="SWL225" s="801"/>
      <c r="SWM225" s="801"/>
      <c r="SWN225" s="801"/>
      <c r="SWO225" s="801"/>
      <c r="SWP225" s="802"/>
      <c r="SWQ225" s="800"/>
      <c r="SWR225" s="801"/>
      <c r="SWS225" s="801"/>
      <c r="SWT225" s="801"/>
      <c r="SWU225" s="801"/>
      <c r="SWV225" s="802"/>
      <c r="SWW225" s="800"/>
      <c r="SWX225" s="801"/>
      <c r="SWY225" s="801"/>
      <c r="SWZ225" s="801"/>
      <c r="SXA225" s="801"/>
      <c r="SXB225" s="802"/>
      <c r="SXC225" s="800"/>
      <c r="SXD225" s="801"/>
      <c r="SXE225" s="801"/>
      <c r="SXF225" s="801"/>
      <c r="SXG225" s="801"/>
      <c r="SXH225" s="802"/>
      <c r="SXI225" s="800"/>
      <c r="SXJ225" s="801"/>
      <c r="SXK225" s="801"/>
      <c r="SXL225" s="801"/>
      <c r="SXM225" s="801"/>
      <c r="SXN225" s="802"/>
      <c r="SXO225" s="800"/>
      <c r="SXP225" s="801"/>
      <c r="SXQ225" s="801"/>
      <c r="SXR225" s="801"/>
      <c r="SXS225" s="801"/>
      <c r="SXT225" s="802"/>
      <c r="SXU225" s="800"/>
      <c r="SXV225" s="801"/>
      <c r="SXW225" s="801"/>
      <c r="SXX225" s="801"/>
      <c r="SXY225" s="801"/>
      <c r="SXZ225" s="802"/>
      <c r="SYA225" s="800"/>
      <c r="SYB225" s="801"/>
      <c r="SYC225" s="801"/>
      <c r="SYD225" s="801"/>
      <c r="SYE225" s="801"/>
      <c r="SYF225" s="802"/>
      <c r="SYG225" s="800"/>
      <c r="SYH225" s="801"/>
      <c r="SYI225" s="801"/>
      <c r="SYJ225" s="801"/>
      <c r="SYK225" s="801"/>
      <c r="SYL225" s="802"/>
      <c r="SYM225" s="800"/>
      <c r="SYN225" s="801"/>
      <c r="SYO225" s="801"/>
      <c r="SYP225" s="801"/>
      <c r="SYQ225" s="801"/>
      <c r="SYR225" s="802"/>
      <c r="SYS225" s="800"/>
      <c r="SYT225" s="801"/>
      <c r="SYU225" s="801"/>
      <c r="SYV225" s="801"/>
      <c r="SYW225" s="801"/>
      <c r="SYX225" s="802"/>
      <c r="SYY225" s="800"/>
      <c r="SYZ225" s="801"/>
      <c r="SZA225" s="801"/>
      <c r="SZB225" s="801"/>
      <c r="SZC225" s="801"/>
      <c r="SZD225" s="802"/>
      <c r="SZE225" s="800"/>
      <c r="SZF225" s="801"/>
      <c r="SZG225" s="801"/>
      <c r="SZH225" s="801"/>
      <c r="SZI225" s="801"/>
      <c r="SZJ225" s="802"/>
      <c r="SZK225" s="800"/>
      <c r="SZL225" s="801"/>
      <c r="SZM225" s="801"/>
      <c r="SZN225" s="801"/>
      <c r="SZO225" s="801"/>
      <c r="SZP225" s="802"/>
      <c r="SZQ225" s="800"/>
      <c r="SZR225" s="801"/>
      <c r="SZS225" s="801"/>
      <c r="SZT225" s="801"/>
      <c r="SZU225" s="801"/>
      <c r="SZV225" s="802"/>
      <c r="SZW225" s="800"/>
      <c r="SZX225" s="801"/>
      <c r="SZY225" s="801"/>
      <c r="SZZ225" s="801"/>
      <c r="TAA225" s="801"/>
      <c r="TAB225" s="802"/>
      <c r="TAC225" s="800"/>
      <c r="TAD225" s="801"/>
      <c r="TAE225" s="801"/>
      <c r="TAF225" s="801"/>
      <c r="TAG225" s="801"/>
      <c r="TAH225" s="802"/>
      <c r="TAI225" s="800"/>
      <c r="TAJ225" s="801"/>
      <c r="TAK225" s="801"/>
      <c r="TAL225" s="801"/>
      <c r="TAM225" s="801"/>
      <c r="TAN225" s="802"/>
      <c r="TAO225" s="800"/>
      <c r="TAP225" s="801"/>
      <c r="TAQ225" s="801"/>
      <c r="TAR225" s="801"/>
      <c r="TAS225" s="801"/>
      <c r="TAT225" s="802"/>
      <c r="TAU225" s="800"/>
      <c r="TAV225" s="801"/>
      <c r="TAW225" s="801"/>
      <c r="TAX225" s="801"/>
      <c r="TAY225" s="801"/>
      <c r="TAZ225" s="802"/>
      <c r="TBA225" s="800"/>
      <c r="TBB225" s="801"/>
      <c r="TBC225" s="801"/>
      <c r="TBD225" s="801"/>
      <c r="TBE225" s="801"/>
      <c r="TBF225" s="802"/>
      <c r="TBG225" s="800"/>
      <c r="TBH225" s="801"/>
      <c r="TBI225" s="801"/>
      <c r="TBJ225" s="801"/>
      <c r="TBK225" s="801"/>
      <c r="TBL225" s="802"/>
      <c r="TBM225" s="800"/>
      <c r="TBN225" s="801"/>
      <c r="TBO225" s="801"/>
      <c r="TBP225" s="801"/>
      <c r="TBQ225" s="801"/>
      <c r="TBR225" s="802"/>
      <c r="TBS225" s="800"/>
      <c r="TBT225" s="801"/>
      <c r="TBU225" s="801"/>
      <c r="TBV225" s="801"/>
      <c r="TBW225" s="801"/>
      <c r="TBX225" s="802"/>
      <c r="TBY225" s="800"/>
      <c r="TBZ225" s="801"/>
      <c r="TCA225" s="801"/>
      <c r="TCB225" s="801"/>
      <c r="TCC225" s="801"/>
      <c r="TCD225" s="802"/>
      <c r="TCE225" s="800"/>
      <c r="TCF225" s="801"/>
      <c r="TCG225" s="801"/>
      <c r="TCH225" s="801"/>
      <c r="TCI225" s="801"/>
      <c r="TCJ225" s="802"/>
      <c r="TCK225" s="800"/>
      <c r="TCL225" s="801"/>
      <c r="TCM225" s="801"/>
      <c r="TCN225" s="801"/>
      <c r="TCO225" s="801"/>
      <c r="TCP225" s="802"/>
      <c r="TCQ225" s="800"/>
      <c r="TCR225" s="801"/>
      <c r="TCS225" s="801"/>
      <c r="TCT225" s="801"/>
      <c r="TCU225" s="801"/>
      <c r="TCV225" s="802"/>
      <c r="TCW225" s="800"/>
      <c r="TCX225" s="801"/>
      <c r="TCY225" s="801"/>
      <c r="TCZ225" s="801"/>
      <c r="TDA225" s="801"/>
      <c r="TDB225" s="802"/>
      <c r="TDC225" s="800"/>
      <c r="TDD225" s="801"/>
      <c r="TDE225" s="801"/>
      <c r="TDF225" s="801"/>
      <c r="TDG225" s="801"/>
      <c r="TDH225" s="802"/>
      <c r="TDI225" s="800"/>
      <c r="TDJ225" s="801"/>
      <c r="TDK225" s="801"/>
      <c r="TDL225" s="801"/>
      <c r="TDM225" s="801"/>
      <c r="TDN225" s="802"/>
      <c r="TDO225" s="800"/>
      <c r="TDP225" s="801"/>
      <c r="TDQ225" s="801"/>
      <c r="TDR225" s="801"/>
      <c r="TDS225" s="801"/>
      <c r="TDT225" s="802"/>
      <c r="TDU225" s="800"/>
      <c r="TDV225" s="801"/>
      <c r="TDW225" s="801"/>
      <c r="TDX225" s="801"/>
      <c r="TDY225" s="801"/>
      <c r="TDZ225" s="802"/>
      <c r="TEA225" s="800"/>
      <c r="TEB225" s="801"/>
      <c r="TEC225" s="801"/>
      <c r="TED225" s="801"/>
      <c r="TEE225" s="801"/>
      <c r="TEF225" s="802"/>
      <c r="TEG225" s="800"/>
      <c r="TEH225" s="801"/>
      <c r="TEI225" s="801"/>
      <c r="TEJ225" s="801"/>
      <c r="TEK225" s="801"/>
      <c r="TEL225" s="802"/>
      <c r="TEM225" s="800"/>
      <c r="TEN225" s="801"/>
      <c r="TEO225" s="801"/>
      <c r="TEP225" s="801"/>
      <c r="TEQ225" s="801"/>
      <c r="TER225" s="802"/>
      <c r="TES225" s="800"/>
      <c r="TET225" s="801"/>
      <c r="TEU225" s="801"/>
      <c r="TEV225" s="801"/>
      <c r="TEW225" s="801"/>
      <c r="TEX225" s="802"/>
      <c r="TEY225" s="800"/>
      <c r="TEZ225" s="801"/>
      <c r="TFA225" s="801"/>
      <c r="TFB225" s="801"/>
      <c r="TFC225" s="801"/>
      <c r="TFD225" s="802"/>
      <c r="TFE225" s="800"/>
      <c r="TFF225" s="801"/>
      <c r="TFG225" s="801"/>
      <c r="TFH225" s="801"/>
      <c r="TFI225" s="801"/>
      <c r="TFJ225" s="802"/>
      <c r="TFK225" s="800"/>
      <c r="TFL225" s="801"/>
      <c r="TFM225" s="801"/>
      <c r="TFN225" s="801"/>
      <c r="TFO225" s="801"/>
      <c r="TFP225" s="802"/>
      <c r="TFQ225" s="800"/>
      <c r="TFR225" s="801"/>
      <c r="TFS225" s="801"/>
      <c r="TFT225" s="801"/>
      <c r="TFU225" s="801"/>
      <c r="TFV225" s="802"/>
      <c r="TFW225" s="800"/>
      <c r="TFX225" s="801"/>
      <c r="TFY225" s="801"/>
      <c r="TFZ225" s="801"/>
      <c r="TGA225" s="801"/>
      <c r="TGB225" s="802"/>
      <c r="TGC225" s="800"/>
      <c r="TGD225" s="801"/>
      <c r="TGE225" s="801"/>
      <c r="TGF225" s="801"/>
      <c r="TGG225" s="801"/>
      <c r="TGH225" s="802"/>
      <c r="TGI225" s="800"/>
      <c r="TGJ225" s="801"/>
      <c r="TGK225" s="801"/>
      <c r="TGL225" s="801"/>
      <c r="TGM225" s="801"/>
      <c r="TGN225" s="802"/>
      <c r="TGO225" s="800"/>
      <c r="TGP225" s="801"/>
      <c r="TGQ225" s="801"/>
      <c r="TGR225" s="801"/>
      <c r="TGS225" s="801"/>
      <c r="TGT225" s="802"/>
      <c r="TGU225" s="800"/>
      <c r="TGV225" s="801"/>
      <c r="TGW225" s="801"/>
      <c r="TGX225" s="801"/>
      <c r="TGY225" s="801"/>
      <c r="TGZ225" s="802"/>
      <c r="THA225" s="800"/>
      <c r="THB225" s="801"/>
      <c r="THC225" s="801"/>
      <c r="THD225" s="801"/>
      <c r="THE225" s="801"/>
      <c r="THF225" s="802"/>
      <c r="THG225" s="800"/>
      <c r="THH225" s="801"/>
      <c r="THI225" s="801"/>
      <c r="THJ225" s="801"/>
      <c r="THK225" s="801"/>
      <c r="THL225" s="802"/>
      <c r="THM225" s="800"/>
      <c r="THN225" s="801"/>
      <c r="THO225" s="801"/>
      <c r="THP225" s="801"/>
      <c r="THQ225" s="801"/>
      <c r="THR225" s="802"/>
      <c r="THS225" s="800"/>
      <c r="THT225" s="801"/>
      <c r="THU225" s="801"/>
      <c r="THV225" s="801"/>
      <c r="THW225" s="801"/>
      <c r="THX225" s="802"/>
      <c r="THY225" s="800"/>
      <c r="THZ225" s="801"/>
      <c r="TIA225" s="801"/>
      <c r="TIB225" s="801"/>
      <c r="TIC225" s="801"/>
      <c r="TID225" s="802"/>
      <c r="TIE225" s="800"/>
      <c r="TIF225" s="801"/>
      <c r="TIG225" s="801"/>
      <c r="TIH225" s="801"/>
      <c r="TII225" s="801"/>
      <c r="TIJ225" s="802"/>
      <c r="TIK225" s="800"/>
      <c r="TIL225" s="801"/>
      <c r="TIM225" s="801"/>
      <c r="TIN225" s="801"/>
      <c r="TIO225" s="801"/>
      <c r="TIP225" s="802"/>
      <c r="TIQ225" s="800"/>
      <c r="TIR225" s="801"/>
      <c r="TIS225" s="801"/>
      <c r="TIT225" s="801"/>
      <c r="TIU225" s="801"/>
      <c r="TIV225" s="802"/>
      <c r="TIW225" s="800"/>
      <c r="TIX225" s="801"/>
      <c r="TIY225" s="801"/>
      <c r="TIZ225" s="801"/>
      <c r="TJA225" s="801"/>
      <c r="TJB225" s="802"/>
      <c r="TJC225" s="800"/>
      <c r="TJD225" s="801"/>
      <c r="TJE225" s="801"/>
      <c r="TJF225" s="801"/>
      <c r="TJG225" s="801"/>
      <c r="TJH225" s="802"/>
      <c r="TJI225" s="800"/>
      <c r="TJJ225" s="801"/>
      <c r="TJK225" s="801"/>
      <c r="TJL225" s="801"/>
      <c r="TJM225" s="801"/>
      <c r="TJN225" s="802"/>
      <c r="TJO225" s="800"/>
      <c r="TJP225" s="801"/>
      <c r="TJQ225" s="801"/>
      <c r="TJR225" s="801"/>
      <c r="TJS225" s="801"/>
      <c r="TJT225" s="802"/>
      <c r="TJU225" s="800"/>
      <c r="TJV225" s="801"/>
      <c r="TJW225" s="801"/>
      <c r="TJX225" s="801"/>
      <c r="TJY225" s="801"/>
      <c r="TJZ225" s="802"/>
      <c r="TKA225" s="800"/>
      <c r="TKB225" s="801"/>
      <c r="TKC225" s="801"/>
      <c r="TKD225" s="801"/>
      <c r="TKE225" s="801"/>
      <c r="TKF225" s="802"/>
      <c r="TKG225" s="800"/>
      <c r="TKH225" s="801"/>
      <c r="TKI225" s="801"/>
      <c r="TKJ225" s="801"/>
      <c r="TKK225" s="801"/>
      <c r="TKL225" s="802"/>
      <c r="TKM225" s="800"/>
      <c r="TKN225" s="801"/>
      <c r="TKO225" s="801"/>
      <c r="TKP225" s="801"/>
      <c r="TKQ225" s="801"/>
      <c r="TKR225" s="802"/>
      <c r="TKS225" s="800"/>
      <c r="TKT225" s="801"/>
      <c r="TKU225" s="801"/>
      <c r="TKV225" s="801"/>
      <c r="TKW225" s="801"/>
      <c r="TKX225" s="802"/>
      <c r="TKY225" s="800"/>
      <c r="TKZ225" s="801"/>
      <c r="TLA225" s="801"/>
      <c r="TLB225" s="801"/>
      <c r="TLC225" s="801"/>
      <c r="TLD225" s="802"/>
      <c r="TLE225" s="800"/>
      <c r="TLF225" s="801"/>
      <c r="TLG225" s="801"/>
      <c r="TLH225" s="801"/>
      <c r="TLI225" s="801"/>
      <c r="TLJ225" s="802"/>
      <c r="TLK225" s="800"/>
      <c r="TLL225" s="801"/>
      <c r="TLM225" s="801"/>
      <c r="TLN225" s="801"/>
      <c r="TLO225" s="801"/>
      <c r="TLP225" s="802"/>
      <c r="TLQ225" s="800"/>
      <c r="TLR225" s="801"/>
      <c r="TLS225" s="801"/>
      <c r="TLT225" s="801"/>
      <c r="TLU225" s="801"/>
      <c r="TLV225" s="802"/>
      <c r="TLW225" s="800"/>
      <c r="TLX225" s="801"/>
      <c r="TLY225" s="801"/>
      <c r="TLZ225" s="801"/>
      <c r="TMA225" s="801"/>
      <c r="TMB225" s="802"/>
      <c r="TMC225" s="800"/>
      <c r="TMD225" s="801"/>
      <c r="TME225" s="801"/>
      <c r="TMF225" s="801"/>
      <c r="TMG225" s="801"/>
      <c r="TMH225" s="802"/>
      <c r="TMI225" s="800"/>
      <c r="TMJ225" s="801"/>
      <c r="TMK225" s="801"/>
      <c r="TML225" s="801"/>
      <c r="TMM225" s="801"/>
      <c r="TMN225" s="802"/>
      <c r="TMO225" s="800"/>
      <c r="TMP225" s="801"/>
      <c r="TMQ225" s="801"/>
      <c r="TMR225" s="801"/>
      <c r="TMS225" s="801"/>
      <c r="TMT225" s="802"/>
      <c r="TMU225" s="800"/>
      <c r="TMV225" s="801"/>
      <c r="TMW225" s="801"/>
      <c r="TMX225" s="801"/>
      <c r="TMY225" s="801"/>
      <c r="TMZ225" s="802"/>
      <c r="TNA225" s="800"/>
      <c r="TNB225" s="801"/>
      <c r="TNC225" s="801"/>
      <c r="TND225" s="801"/>
      <c r="TNE225" s="801"/>
      <c r="TNF225" s="802"/>
      <c r="TNG225" s="800"/>
      <c r="TNH225" s="801"/>
      <c r="TNI225" s="801"/>
      <c r="TNJ225" s="801"/>
      <c r="TNK225" s="801"/>
      <c r="TNL225" s="802"/>
      <c r="TNM225" s="800"/>
      <c r="TNN225" s="801"/>
      <c r="TNO225" s="801"/>
      <c r="TNP225" s="801"/>
      <c r="TNQ225" s="801"/>
      <c r="TNR225" s="802"/>
      <c r="TNS225" s="800"/>
      <c r="TNT225" s="801"/>
      <c r="TNU225" s="801"/>
      <c r="TNV225" s="801"/>
      <c r="TNW225" s="801"/>
      <c r="TNX225" s="802"/>
      <c r="TNY225" s="800"/>
      <c r="TNZ225" s="801"/>
      <c r="TOA225" s="801"/>
      <c r="TOB225" s="801"/>
      <c r="TOC225" s="801"/>
      <c r="TOD225" s="802"/>
      <c r="TOE225" s="800"/>
      <c r="TOF225" s="801"/>
      <c r="TOG225" s="801"/>
      <c r="TOH225" s="801"/>
      <c r="TOI225" s="801"/>
      <c r="TOJ225" s="802"/>
      <c r="TOK225" s="800"/>
      <c r="TOL225" s="801"/>
      <c r="TOM225" s="801"/>
      <c r="TON225" s="801"/>
      <c r="TOO225" s="801"/>
      <c r="TOP225" s="802"/>
      <c r="TOQ225" s="800"/>
      <c r="TOR225" s="801"/>
      <c r="TOS225" s="801"/>
      <c r="TOT225" s="801"/>
      <c r="TOU225" s="801"/>
      <c r="TOV225" s="802"/>
      <c r="TOW225" s="800"/>
      <c r="TOX225" s="801"/>
      <c r="TOY225" s="801"/>
      <c r="TOZ225" s="801"/>
      <c r="TPA225" s="801"/>
      <c r="TPB225" s="802"/>
      <c r="TPC225" s="800"/>
      <c r="TPD225" s="801"/>
      <c r="TPE225" s="801"/>
      <c r="TPF225" s="801"/>
      <c r="TPG225" s="801"/>
      <c r="TPH225" s="802"/>
      <c r="TPI225" s="800"/>
      <c r="TPJ225" s="801"/>
      <c r="TPK225" s="801"/>
      <c r="TPL225" s="801"/>
      <c r="TPM225" s="801"/>
      <c r="TPN225" s="802"/>
      <c r="TPO225" s="800"/>
      <c r="TPP225" s="801"/>
      <c r="TPQ225" s="801"/>
      <c r="TPR225" s="801"/>
      <c r="TPS225" s="801"/>
      <c r="TPT225" s="802"/>
      <c r="TPU225" s="800"/>
      <c r="TPV225" s="801"/>
      <c r="TPW225" s="801"/>
      <c r="TPX225" s="801"/>
      <c r="TPY225" s="801"/>
      <c r="TPZ225" s="802"/>
      <c r="TQA225" s="800"/>
      <c r="TQB225" s="801"/>
      <c r="TQC225" s="801"/>
      <c r="TQD225" s="801"/>
      <c r="TQE225" s="801"/>
      <c r="TQF225" s="802"/>
      <c r="TQG225" s="800"/>
      <c r="TQH225" s="801"/>
      <c r="TQI225" s="801"/>
      <c r="TQJ225" s="801"/>
      <c r="TQK225" s="801"/>
      <c r="TQL225" s="802"/>
      <c r="TQM225" s="800"/>
      <c r="TQN225" s="801"/>
      <c r="TQO225" s="801"/>
      <c r="TQP225" s="801"/>
      <c r="TQQ225" s="801"/>
      <c r="TQR225" s="802"/>
      <c r="TQS225" s="800"/>
      <c r="TQT225" s="801"/>
      <c r="TQU225" s="801"/>
      <c r="TQV225" s="801"/>
      <c r="TQW225" s="801"/>
      <c r="TQX225" s="802"/>
      <c r="TQY225" s="800"/>
      <c r="TQZ225" s="801"/>
      <c r="TRA225" s="801"/>
      <c r="TRB225" s="801"/>
      <c r="TRC225" s="801"/>
      <c r="TRD225" s="802"/>
      <c r="TRE225" s="800"/>
      <c r="TRF225" s="801"/>
      <c r="TRG225" s="801"/>
      <c r="TRH225" s="801"/>
      <c r="TRI225" s="801"/>
      <c r="TRJ225" s="802"/>
      <c r="TRK225" s="800"/>
      <c r="TRL225" s="801"/>
      <c r="TRM225" s="801"/>
      <c r="TRN225" s="801"/>
      <c r="TRO225" s="801"/>
      <c r="TRP225" s="802"/>
      <c r="TRQ225" s="800"/>
      <c r="TRR225" s="801"/>
      <c r="TRS225" s="801"/>
      <c r="TRT225" s="801"/>
      <c r="TRU225" s="801"/>
      <c r="TRV225" s="802"/>
      <c r="TRW225" s="800"/>
      <c r="TRX225" s="801"/>
      <c r="TRY225" s="801"/>
      <c r="TRZ225" s="801"/>
      <c r="TSA225" s="801"/>
      <c r="TSB225" s="802"/>
      <c r="TSC225" s="800"/>
      <c r="TSD225" s="801"/>
      <c r="TSE225" s="801"/>
      <c r="TSF225" s="801"/>
      <c r="TSG225" s="801"/>
      <c r="TSH225" s="802"/>
      <c r="TSI225" s="800"/>
      <c r="TSJ225" s="801"/>
      <c r="TSK225" s="801"/>
      <c r="TSL225" s="801"/>
      <c r="TSM225" s="801"/>
      <c r="TSN225" s="802"/>
      <c r="TSO225" s="800"/>
      <c r="TSP225" s="801"/>
      <c r="TSQ225" s="801"/>
      <c r="TSR225" s="801"/>
      <c r="TSS225" s="801"/>
      <c r="TST225" s="802"/>
      <c r="TSU225" s="800"/>
      <c r="TSV225" s="801"/>
      <c r="TSW225" s="801"/>
      <c r="TSX225" s="801"/>
      <c r="TSY225" s="801"/>
      <c r="TSZ225" s="802"/>
      <c r="TTA225" s="800"/>
      <c r="TTB225" s="801"/>
      <c r="TTC225" s="801"/>
      <c r="TTD225" s="801"/>
      <c r="TTE225" s="801"/>
      <c r="TTF225" s="802"/>
      <c r="TTG225" s="800"/>
      <c r="TTH225" s="801"/>
      <c r="TTI225" s="801"/>
      <c r="TTJ225" s="801"/>
      <c r="TTK225" s="801"/>
      <c r="TTL225" s="802"/>
      <c r="TTM225" s="800"/>
      <c r="TTN225" s="801"/>
      <c r="TTO225" s="801"/>
      <c r="TTP225" s="801"/>
      <c r="TTQ225" s="801"/>
      <c r="TTR225" s="802"/>
      <c r="TTS225" s="800"/>
      <c r="TTT225" s="801"/>
      <c r="TTU225" s="801"/>
      <c r="TTV225" s="801"/>
      <c r="TTW225" s="801"/>
      <c r="TTX225" s="802"/>
      <c r="TTY225" s="800"/>
      <c r="TTZ225" s="801"/>
      <c r="TUA225" s="801"/>
      <c r="TUB225" s="801"/>
      <c r="TUC225" s="801"/>
      <c r="TUD225" s="802"/>
      <c r="TUE225" s="800"/>
      <c r="TUF225" s="801"/>
      <c r="TUG225" s="801"/>
      <c r="TUH225" s="801"/>
      <c r="TUI225" s="801"/>
      <c r="TUJ225" s="802"/>
      <c r="TUK225" s="800"/>
      <c r="TUL225" s="801"/>
      <c r="TUM225" s="801"/>
      <c r="TUN225" s="801"/>
      <c r="TUO225" s="801"/>
      <c r="TUP225" s="802"/>
      <c r="TUQ225" s="800"/>
      <c r="TUR225" s="801"/>
      <c r="TUS225" s="801"/>
      <c r="TUT225" s="801"/>
      <c r="TUU225" s="801"/>
      <c r="TUV225" s="802"/>
      <c r="TUW225" s="800"/>
      <c r="TUX225" s="801"/>
      <c r="TUY225" s="801"/>
      <c r="TUZ225" s="801"/>
      <c r="TVA225" s="801"/>
      <c r="TVB225" s="802"/>
      <c r="TVC225" s="800"/>
      <c r="TVD225" s="801"/>
      <c r="TVE225" s="801"/>
      <c r="TVF225" s="801"/>
      <c r="TVG225" s="801"/>
      <c r="TVH225" s="802"/>
      <c r="TVI225" s="800"/>
      <c r="TVJ225" s="801"/>
      <c r="TVK225" s="801"/>
      <c r="TVL225" s="801"/>
      <c r="TVM225" s="801"/>
      <c r="TVN225" s="802"/>
      <c r="TVO225" s="800"/>
      <c r="TVP225" s="801"/>
      <c r="TVQ225" s="801"/>
      <c r="TVR225" s="801"/>
      <c r="TVS225" s="801"/>
      <c r="TVT225" s="802"/>
      <c r="TVU225" s="800"/>
      <c r="TVV225" s="801"/>
      <c r="TVW225" s="801"/>
      <c r="TVX225" s="801"/>
      <c r="TVY225" s="801"/>
      <c r="TVZ225" s="802"/>
      <c r="TWA225" s="800"/>
      <c r="TWB225" s="801"/>
      <c r="TWC225" s="801"/>
      <c r="TWD225" s="801"/>
      <c r="TWE225" s="801"/>
      <c r="TWF225" s="802"/>
      <c r="TWG225" s="800"/>
      <c r="TWH225" s="801"/>
      <c r="TWI225" s="801"/>
      <c r="TWJ225" s="801"/>
      <c r="TWK225" s="801"/>
      <c r="TWL225" s="802"/>
      <c r="TWM225" s="800"/>
      <c r="TWN225" s="801"/>
      <c r="TWO225" s="801"/>
      <c r="TWP225" s="801"/>
      <c r="TWQ225" s="801"/>
      <c r="TWR225" s="802"/>
      <c r="TWS225" s="800"/>
      <c r="TWT225" s="801"/>
      <c r="TWU225" s="801"/>
      <c r="TWV225" s="801"/>
      <c r="TWW225" s="801"/>
      <c r="TWX225" s="802"/>
      <c r="TWY225" s="800"/>
      <c r="TWZ225" s="801"/>
      <c r="TXA225" s="801"/>
      <c r="TXB225" s="801"/>
      <c r="TXC225" s="801"/>
      <c r="TXD225" s="802"/>
      <c r="TXE225" s="800"/>
      <c r="TXF225" s="801"/>
      <c r="TXG225" s="801"/>
      <c r="TXH225" s="801"/>
      <c r="TXI225" s="801"/>
      <c r="TXJ225" s="802"/>
      <c r="TXK225" s="800"/>
      <c r="TXL225" s="801"/>
      <c r="TXM225" s="801"/>
      <c r="TXN225" s="801"/>
      <c r="TXO225" s="801"/>
      <c r="TXP225" s="802"/>
      <c r="TXQ225" s="800"/>
      <c r="TXR225" s="801"/>
      <c r="TXS225" s="801"/>
      <c r="TXT225" s="801"/>
      <c r="TXU225" s="801"/>
      <c r="TXV225" s="802"/>
      <c r="TXW225" s="800"/>
      <c r="TXX225" s="801"/>
      <c r="TXY225" s="801"/>
      <c r="TXZ225" s="801"/>
      <c r="TYA225" s="801"/>
      <c r="TYB225" s="802"/>
      <c r="TYC225" s="800"/>
      <c r="TYD225" s="801"/>
      <c r="TYE225" s="801"/>
      <c r="TYF225" s="801"/>
      <c r="TYG225" s="801"/>
      <c r="TYH225" s="802"/>
      <c r="TYI225" s="800"/>
      <c r="TYJ225" s="801"/>
      <c r="TYK225" s="801"/>
      <c r="TYL225" s="801"/>
      <c r="TYM225" s="801"/>
      <c r="TYN225" s="802"/>
      <c r="TYO225" s="800"/>
      <c r="TYP225" s="801"/>
      <c r="TYQ225" s="801"/>
      <c r="TYR225" s="801"/>
      <c r="TYS225" s="801"/>
      <c r="TYT225" s="802"/>
      <c r="TYU225" s="800"/>
      <c r="TYV225" s="801"/>
      <c r="TYW225" s="801"/>
      <c r="TYX225" s="801"/>
      <c r="TYY225" s="801"/>
      <c r="TYZ225" s="802"/>
      <c r="TZA225" s="800"/>
      <c r="TZB225" s="801"/>
      <c r="TZC225" s="801"/>
      <c r="TZD225" s="801"/>
      <c r="TZE225" s="801"/>
      <c r="TZF225" s="802"/>
      <c r="TZG225" s="800"/>
      <c r="TZH225" s="801"/>
      <c r="TZI225" s="801"/>
      <c r="TZJ225" s="801"/>
      <c r="TZK225" s="801"/>
      <c r="TZL225" s="802"/>
      <c r="TZM225" s="800"/>
      <c r="TZN225" s="801"/>
      <c r="TZO225" s="801"/>
      <c r="TZP225" s="801"/>
      <c r="TZQ225" s="801"/>
      <c r="TZR225" s="802"/>
      <c r="TZS225" s="800"/>
      <c r="TZT225" s="801"/>
      <c r="TZU225" s="801"/>
      <c r="TZV225" s="801"/>
      <c r="TZW225" s="801"/>
      <c r="TZX225" s="802"/>
      <c r="TZY225" s="800"/>
      <c r="TZZ225" s="801"/>
      <c r="UAA225" s="801"/>
      <c r="UAB225" s="801"/>
      <c r="UAC225" s="801"/>
      <c r="UAD225" s="802"/>
      <c r="UAE225" s="800"/>
      <c r="UAF225" s="801"/>
      <c r="UAG225" s="801"/>
      <c r="UAH225" s="801"/>
      <c r="UAI225" s="801"/>
      <c r="UAJ225" s="802"/>
      <c r="UAK225" s="800"/>
      <c r="UAL225" s="801"/>
      <c r="UAM225" s="801"/>
      <c r="UAN225" s="801"/>
      <c r="UAO225" s="801"/>
      <c r="UAP225" s="802"/>
      <c r="UAQ225" s="800"/>
      <c r="UAR225" s="801"/>
      <c r="UAS225" s="801"/>
      <c r="UAT225" s="801"/>
      <c r="UAU225" s="801"/>
      <c r="UAV225" s="802"/>
      <c r="UAW225" s="800"/>
      <c r="UAX225" s="801"/>
      <c r="UAY225" s="801"/>
      <c r="UAZ225" s="801"/>
      <c r="UBA225" s="801"/>
      <c r="UBB225" s="802"/>
      <c r="UBC225" s="800"/>
      <c r="UBD225" s="801"/>
      <c r="UBE225" s="801"/>
      <c r="UBF225" s="801"/>
      <c r="UBG225" s="801"/>
      <c r="UBH225" s="802"/>
      <c r="UBI225" s="800"/>
      <c r="UBJ225" s="801"/>
      <c r="UBK225" s="801"/>
      <c r="UBL225" s="801"/>
      <c r="UBM225" s="801"/>
      <c r="UBN225" s="802"/>
      <c r="UBO225" s="800"/>
      <c r="UBP225" s="801"/>
      <c r="UBQ225" s="801"/>
      <c r="UBR225" s="801"/>
      <c r="UBS225" s="801"/>
      <c r="UBT225" s="802"/>
      <c r="UBU225" s="800"/>
      <c r="UBV225" s="801"/>
      <c r="UBW225" s="801"/>
      <c r="UBX225" s="801"/>
      <c r="UBY225" s="801"/>
      <c r="UBZ225" s="802"/>
      <c r="UCA225" s="800"/>
      <c r="UCB225" s="801"/>
      <c r="UCC225" s="801"/>
      <c r="UCD225" s="801"/>
      <c r="UCE225" s="801"/>
      <c r="UCF225" s="802"/>
      <c r="UCG225" s="800"/>
      <c r="UCH225" s="801"/>
      <c r="UCI225" s="801"/>
      <c r="UCJ225" s="801"/>
      <c r="UCK225" s="801"/>
      <c r="UCL225" s="802"/>
      <c r="UCM225" s="800"/>
      <c r="UCN225" s="801"/>
      <c r="UCO225" s="801"/>
      <c r="UCP225" s="801"/>
      <c r="UCQ225" s="801"/>
      <c r="UCR225" s="802"/>
      <c r="UCS225" s="800"/>
      <c r="UCT225" s="801"/>
      <c r="UCU225" s="801"/>
      <c r="UCV225" s="801"/>
      <c r="UCW225" s="801"/>
      <c r="UCX225" s="802"/>
      <c r="UCY225" s="800"/>
      <c r="UCZ225" s="801"/>
      <c r="UDA225" s="801"/>
      <c r="UDB225" s="801"/>
      <c r="UDC225" s="801"/>
      <c r="UDD225" s="802"/>
      <c r="UDE225" s="800"/>
      <c r="UDF225" s="801"/>
      <c r="UDG225" s="801"/>
      <c r="UDH225" s="801"/>
      <c r="UDI225" s="801"/>
      <c r="UDJ225" s="802"/>
      <c r="UDK225" s="800"/>
      <c r="UDL225" s="801"/>
      <c r="UDM225" s="801"/>
      <c r="UDN225" s="801"/>
      <c r="UDO225" s="801"/>
      <c r="UDP225" s="802"/>
      <c r="UDQ225" s="800"/>
      <c r="UDR225" s="801"/>
      <c r="UDS225" s="801"/>
      <c r="UDT225" s="801"/>
      <c r="UDU225" s="801"/>
      <c r="UDV225" s="802"/>
      <c r="UDW225" s="800"/>
      <c r="UDX225" s="801"/>
      <c r="UDY225" s="801"/>
      <c r="UDZ225" s="801"/>
      <c r="UEA225" s="801"/>
      <c r="UEB225" s="802"/>
      <c r="UEC225" s="800"/>
      <c r="UED225" s="801"/>
      <c r="UEE225" s="801"/>
      <c r="UEF225" s="801"/>
      <c r="UEG225" s="801"/>
      <c r="UEH225" s="802"/>
      <c r="UEI225" s="800"/>
      <c r="UEJ225" s="801"/>
      <c r="UEK225" s="801"/>
      <c r="UEL225" s="801"/>
      <c r="UEM225" s="801"/>
      <c r="UEN225" s="802"/>
      <c r="UEO225" s="800"/>
      <c r="UEP225" s="801"/>
      <c r="UEQ225" s="801"/>
      <c r="UER225" s="801"/>
      <c r="UES225" s="801"/>
      <c r="UET225" s="802"/>
      <c r="UEU225" s="800"/>
      <c r="UEV225" s="801"/>
      <c r="UEW225" s="801"/>
      <c r="UEX225" s="801"/>
      <c r="UEY225" s="801"/>
      <c r="UEZ225" s="802"/>
      <c r="UFA225" s="800"/>
      <c r="UFB225" s="801"/>
      <c r="UFC225" s="801"/>
      <c r="UFD225" s="801"/>
      <c r="UFE225" s="801"/>
      <c r="UFF225" s="802"/>
      <c r="UFG225" s="800"/>
      <c r="UFH225" s="801"/>
      <c r="UFI225" s="801"/>
      <c r="UFJ225" s="801"/>
      <c r="UFK225" s="801"/>
      <c r="UFL225" s="802"/>
      <c r="UFM225" s="800"/>
      <c r="UFN225" s="801"/>
      <c r="UFO225" s="801"/>
      <c r="UFP225" s="801"/>
      <c r="UFQ225" s="801"/>
      <c r="UFR225" s="802"/>
      <c r="UFS225" s="800"/>
      <c r="UFT225" s="801"/>
      <c r="UFU225" s="801"/>
      <c r="UFV225" s="801"/>
      <c r="UFW225" s="801"/>
      <c r="UFX225" s="802"/>
      <c r="UFY225" s="800"/>
      <c r="UFZ225" s="801"/>
      <c r="UGA225" s="801"/>
      <c r="UGB225" s="801"/>
      <c r="UGC225" s="801"/>
      <c r="UGD225" s="802"/>
      <c r="UGE225" s="800"/>
      <c r="UGF225" s="801"/>
      <c r="UGG225" s="801"/>
      <c r="UGH225" s="801"/>
      <c r="UGI225" s="801"/>
      <c r="UGJ225" s="802"/>
      <c r="UGK225" s="800"/>
      <c r="UGL225" s="801"/>
      <c r="UGM225" s="801"/>
      <c r="UGN225" s="801"/>
      <c r="UGO225" s="801"/>
      <c r="UGP225" s="802"/>
      <c r="UGQ225" s="800"/>
      <c r="UGR225" s="801"/>
      <c r="UGS225" s="801"/>
      <c r="UGT225" s="801"/>
      <c r="UGU225" s="801"/>
      <c r="UGV225" s="802"/>
      <c r="UGW225" s="800"/>
      <c r="UGX225" s="801"/>
      <c r="UGY225" s="801"/>
      <c r="UGZ225" s="801"/>
      <c r="UHA225" s="801"/>
      <c r="UHB225" s="802"/>
      <c r="UHC225" s="800"/>
      <c r="UHD225" s="801"/>
      <c r="UHE225" s="801"/>
      <c r="UHF225" s="801"/>
      <c r="UHG225" s="801"/>
      <c r="UHH225" s="802"/>
      <c r="UHI225" s="800"/>
      <c r="UHJ225" s="801"/>
      <c r="UHK225" s="801"/>
      <c r="UHL225" s="801"/>
      <c r="UHM225" s="801"/>
      <c r="UHN225" s="802"/>
      <c r="UHO225" s="800"/>
      <c r="UHP225" s="801"/>
      <c r="UHQ225" s="801"/>
      <c r="UHR225" s="801"/>
      <c r="UHS225" s="801"/>
      <c r="UHT225" s="802"/>
      <c r="UHU225" s="800"/>
      <c r="UHV225" s="801"/>
      <c r="UHW225" s="801"/>
      <c r="UHX225" s="801"/>
      <c r="UHY225" s="801"/>
      <c r="UHZ225" s="802"/>
      <c r="UIA225" s="800"/>
      <c r="UIB225" s="801"/>
      <c r="UIC225" s="801"/>
      <c r="UID225" s="801"/>
      <c r="UIE225" s="801"/>
      <c r="UIF225" s="802"/>
      <c r="UIG225" s="800"/>
      <c r="UIH225" s="801"/>
      <c r="UII225" s="801"/>
      <c r="UIJ225" s="801"/>
      <c r="UIK225" s="801"/>
      <c r="UIL225" s="802"/>
      <c r="UIM225" s="800"/>
      <c r="UIN225" s="801"/>
      <c r="UIO225" s="801"/>
      <c r="UIP225" s="801"/>
      <c r="UIQ225" s="801"/>
      <c r="UIR225" s="802"/>
      <c r="UIS225" s="800"/>
      <c r="UIT225" s="801"/>
      <c r="UIU225" s="801"/>
      <c r="UIV225" s="801"/>
      <c r="UIW225" s="801"/>
      <c r="UIX225" s="802"/>
      <c r="UIY225" s="800"/>
      <c r="UIZ225" s="801"/>
      <c r="UJA225" s="801"/>
      <c r="UJB225" s="801"/>
      <c r="UJC225" s="801"/>
      <c r="UJD225" s="802"/>
      <c r="UJE225" s="800"/>
      <c r="UJF225" s="801"/>
      <c r="UJG225" s="801"/>
      <c r="UJH225" s="801"/>
      <c r="UJI225" s="801"/>
      <c r="UJJ225" s="802"/>
      <c r="UJK225" s="800"/>
      <c r="UJL225" s="801"/>
      <c r="UJM225" s="801"/>
      <c r="UJN225" s="801"/>
      <c r="UJO225" s="801"/>
      <c r="UJP225" s="802"/>
      <c r="UJQ225" s="800"/>
      <c r="UJR225" s="801"/>
      <c r="UJS225" s="801"/>
      <c r="UJT225" s="801"/>
      <c r="UJU225" s="801"/>
      <c r="UJV225" s="802"/>
      <c r="UJW225" s="800"/>
      <c r="UJX225" s="801"/>
      <c r="UJY225" s="801"/>
      <c r="UJZ225" s="801"/>
      <c r="UKA225" s="801"/>
      <c r="UKB225" s="802"/>
      <c r="UKC225" s="800"/>
      <c r="UKD225" s="801"/>
      <c r="UKE225" s="801"/>
      <c r="UKF225" s="801"/>
      <c r="UKG225" s="801"/>
      <c r="UKH225" s="802"/>
      <c r="UKI225" s="800"/>
      <c r="UKJ225" s="801"/>
      <c r="UKK225" s="801"/>
      <c r="UKL225" s="801"/>
      <c r="UKM225" s="801"/>
      <c r="UKN225" s="802"/>
      <c r="UKO225" s="800"/>
      <c r="UKP225" s="801"/>
      <c r="UKQ225" s="801"/>
      <c r="UKR225" s="801"/>
      <c r="UKS225" s="801"/>
      <c r="UKT225" s="802"/>
      <c r="UKU225" s="800"/>
      <c r="UKV225" s="801"/>
      <c r="UKW225" s="801"/>
      <c r="UKX225" s="801"/>
      <c r="UKY225" s="801"/>
      <c r="UKZ225" s="802"/>
      <c r="ULA225" s="800"/>
      <c r="ULB225" s="801"/>
      <c r="ULC225" s="801"/>
      <c r="ULD225" s="801"/>
      <c r="ULE225" s="801"/>
      <c r="ULF225" s="802"/>
      <c r="ULG225" s="800"/>
      <c r="ULH225" s="801"/>
      <c r="ULI225" s="801"/>
      <c r="ULJ225" s="801"/>
      <c r="ULK225" s="801"/>
      <c r="ULL225" s="802"/>
      <c r="ULM225" s="800"/>
      <c r="ULN225" s="801"/>
      <c r="ULO225" s="801"/>
      <c r="ULP225" s="801"/>
      <c r="ULQ225" s="801"/>
      <c r="ULR225" s="802"/>
      <c r="ULS225" s="800"/>
      <c r="ULT225" s="801"/>
      <c r="ULU225" s="801"/>
      <c r="ULV225" s="801"/>
      <c r="ULW225" s="801"/>
      <c r="ULX225" s="802"/>
      <c r="ULY225" s="800"/>
      <c r="ULZ225" s="801"/>
      <c r="UMA225" s="801"/>
      <c r="UMB225" s="801"/>
      <c r="UMC225" s="801"/>
      <c r="UMD225" s="802"/>
      <c r="UME225" s="800"/>
      <c r="UMF225" s="801"/>
      <c r="UMG225" s="801"/>
      <c r="UMH225" s="801"/>
      <c r="UMI225" s="801"/>
      <c r="UMJ225" s="802"/>
      <c r="UMK225" s="800"/>
      <c r="UML225" s="801"/>
      <c r="UMM225" s="801"/>
      <c r="UMN225" s="801"/>
      <c r="UMO225" s="801"/>
      <c r="UMP225" s="802"/>
      <c r="UMQ225" s="800"/>
      <c r="UMR225" s="801"/>
      <c r="UMS225" s="801"/>
      <c r="UMT225" s="801"/>
      <c r="UMU225" s="801"/>
      <c r="UMV225" s="802"/>
      <c r="UMW225" s="800"/>
      <c r="UMX225" s="801"/>
      <c r="UMY225" s="801"/>
      <c r="UMZ225" s="801"/>
      <c r="UNA225" s="801"/>
      <c r="UNB225" s="802"/>
      <c r="UNC225" s="800"/>
      <c r="UND225" s="801"/>
      <c r="UNE225" s="801"/>
      <c r="UNF225" s="801"/>
      <c r="UNG225" s="801"/>
      <c r="UNH225" s="802"/>
      <c r="UNI225" s="800"/>
      <c r="UNJ225" s="801"/>
      <c r="UNK225" s="801"/>
      <c r="UNL225" s="801"/>
      <c r="UNM225" s="801"/>
      <c r="UNN225" s="802"/>
      <c r="UNO225" s="800"/>
      <c r="UNP225" s="801"/>
      <c r="UNQ225" s="801"/>
      <c r="UNR225" s="801"/>
      <c r="UNS225" s="801"/>
      <c r="UNT225" s="802"/>
      <c r="UNU225" s="800"/>
      <c r="UNV225" s="801"/>
      <c r="UNW225" s="801"/>
      <c r="UNX225" s="801"/>
      <c r="UNY225" s="801"/>
      <c r="UNZ225" s="802"/>
      <c r="UOA225" s="800"/>
      <c r="UOB225" s="801"/>
      <c r="UOC225" s="801"/>
      <c r="UOD225" s="801"/>
      <c r="UOE225" s="801"/>
      <c r="UOF225" s="802"/>
      <c r="UOG225" s="800"/>
      <c r="UOH225" s="801"/>
      <c r="UOI225" s="801"/>
      <c r="UOJ225" s="801"/>
      <c r="UOK225" s="801"/>
      <c r="UOL225" s="802"/>
      <c r="UOM225" s="800"/>
      <c r="UON225" s="801"/>
      <c r="UOO225" s="801"/>
      <c r="UOP225" s="801"/>
      <c r="UOQ225" s="801"/>
      <c r="UOR225" s="802"/>
      <c r="UOS225" s="800"/>
      <c r="UOT225" s="801"/>
      <c r="UOU225" s="801"/>
      <c r="UOV225" s="801"/>
      <c r="UOW225" s="801"/>
      <c r="UOX225" s="802"/>
      <c r="UOY225" s="800"/>
      <c r="UOZ225" s="801"/>
      <c r="UPA225" s="801"/>
      <c r="UPB225" s="801"/>
      <c r="UPC225" s="801"/>
      <c r="UPD225" s="802"/>
      <c r="UPE225" s="800"/>
      <c r="UPF225" s="801"/>
      <c r="UPG225" s="801"/>
      <c r="UPH225" s="801"/>
      <c r="UPI225" s="801"/>
      <c r="UPJ225" s="802"/>
      <c r="UPK225" s="800"/>
      <c r="UPL225" s="801"/>
      <c r="UPM225" s="801"/>
      <c r="UPN225" s="801"/>
      <c r="UPO225" s="801"/>
      <c r="UPP225" s="802"/>
      <c r="UPQ225" s="800"/>
      <c r="UPR225" s="801"/>
      <c r="UPS225" s="801"/>
      <c r="UPT225" s="801"/>
      <c r="UPU225" s="801"/>
      <c r="UPV225" s="802"/>
      <c r="UPW225" s="800"/>
      <c r="UPX225" s="801"/>
      <c r="UPY225" s="801"/>
      <c r="UPZ225" s="801"/>
      <c r="UQA225" s="801"/>
      <c r="UQB225" s="802"/>
      <c r="UQC225" s="800"/>
      <c r="UQD225" s="801"/>
      <c r="UQE225" s="801"/>
      <c r="UQF225" s="801"/>
      <c r="UQG225" s="801"/>
      <c r="UQH225" s="802"/>
      <c r="UQI225" s="800"/>
      <c r="UQJ225" s="801"/>
      <c r="UQK225" s="801"/>
      <c r="UQL225" s="801"/>
      <c r="UQM225" s="801"/>
      <c r="UQN225" s="802"/>
      <c r="UQO225" s="800"/>
      <c r="UQP225" s="801"/>
      <c r="UQQ225" s="801"/>
      <c r="UQR225" s="801"/>
      <c r="UQS225" s="801"/>
      <c r="UQT225" s="802"/>
      <c r="UQU225" s="800"/>
      <c r="UQV225" s="801"/>
      <c r="UQW225" s="801"/>
      <c r="UQX225" s="801"/>
      <c r="UQY225" s="801"/>
      <c r="UQZ225" s="802"/>
      <c r="URA225" s="800"/>
      <c r="URB225" s="801"/>
      <c r="URC225" s="801"/>
      <c r="URD225" s="801"/>
      <c r="URE225" s="801"/>
      <c r="URF225" s="802"/>
      <c r="URG225" s="800"/>
      <c r="URH225" s="801"/>
      <c r="URI225" s="801"/>
      <c r="URJ225" s="801"/>
      <c r="URK225" s="801"/>
      <c r="URL225" s="802"/>
      <c r="URM225" s="800"/>
      <c r="URN225" s="801"/>
      <c r="URO225" s="801"/>
      <c r="URP225" s="801"/>
      <c r="URQ225" s="801"/>
      <c r="URR225" s="802"/>
      <c r="URS225" s="800"/>
      <c r="URT225" s="801"/>
      <c r="URU225" s="801"/>
      <c r="URV225" s="801"/>
      <c r="URW225" s="801"/>
      <c r="URX225" s="802"/>
      <c r="URY225" s="800"/>
      <c r="URZ225" s="801"/>
      <c r="USA225" s="801"/>
      <c r="USB225" s="801"/>
      <c r="USC225" s="801"/>
      <c r="USD225" s="802"/>
      <c r="USE225" s="800"/>
      <c r="USF225" s="801"/>
      <c r="USG225" s="801"/>
      <c r="USH225" s="801"/>
      <c r="USI225" s="801"/>
      <c r="USJ225" s="802"/>
      <c r="USK225" s="800"/>
      <c r="USL225" s="801"/>
      <c r="USM225" s="801"/>
      <c r="USN225" s="801"/>
      <c r="USO225" s="801"/>
      <c r="USP225" s="802"/>
      <c r="USQ225" s="800"/>
      <c r="USR225" s="801"/>
      <c r="USS225" s="801"/>
      <c r="UST225" s="801"/>
      <c r="USU225" s="801"/>
      <c r="USV225" s="802"/>
      <c r="USW225" s="800"/>
      <c r="USX225" s="801"/>
      <c r="USY225" s="801"/>
      <c r="USZ225" s="801"/>
      <c r="UTA225" s="801"/>
      <c r="UTB225" s="802"/>
      <c r="UTC225" s="800"/>
      <c r="UTD225" s="801"/>
      <c r="UTE225" s="801"/>
      <c r="UTF225" s="801"/>
      <c r="UTG225" s="801"/>
      <c r="UTH225" s="802"/>
      <c r="UTI225" s="800"/>
      <c r="UTJ225" s="801"/>
      <c r="UTK225" s="801"/>
      <c r="UTL225" s="801"/>
      <c r="UTM225" s="801"/>
      <c r="UTN225" s="802"/>
      <c r="UTO225" s="800"/>
      <c r="UTP225" s="801"/>
      <c r="UTQ225" s="801"/>
      <c r="UTR225" s="801"/>
      <c r="UTS225" s="801"/>
      <c r="UTT225" s="802"/>
      <c r="UTU225" s="800"/>
      <c r="UTV225" s="801"/>
      <c r="UTW225" s="801"/>
      <c r="UTX225" s="801"/>
      <c r="UTY225" s="801"/>
      <c r="UTZ225" s="802"/>
      <c r="UUA225" s="800"/>
      <c r="UUB225" s="801"/>
      <c r="UUC225" s="801"/>
      <c r="UUD225" s="801"/>
      <c r="UUE225" s="801"/>
      <c r="UUF225" s="802"/>
      <c r="UUG225" s="800"/>
      <c r="UUH225" s="801"/>
      <c r="UUI225" s="801"/>
      <c r="UUJ225" s="801"/>
      <c r="UUK225" s="801"/>
      <c r="UUL225" s="802"/>
      <c r="UUM225" s="800"/>
      <c r="UUN225" s="801"/>
      <c r="UUO225" s="801"/>
      <c r="UUP225" s="801"/>
      <c r="UUQ225" s="801"/>
      <c r="UUR225" s="802"/>
      <c r="UUS225" s="800"/>
      <c r="UUT225" s="801"/>
      <c r="UUU225" s="801"/>
      <c r="UUV225" s="801"/>
      <c r="UUW225" s="801"/>
      <c r="UUX225" s="802"/>
      <c r="UUY225" s="800"/>
      <c r="UUZ225" s="801"/>
      <c r="UVA225" s="801"/>
      <c r="UVB225" s="801"/>
      <c r="UVC225" s="801"/>
      <c r="UVD225" s="802"/>
      <c r="UVE225" s="800"/>
      <c r="UVF225" s="801"/>
      <c r="UVG225" s="801"/>
      <c r="UVH225" s="801"/>
      <c r="UVI225" s="801"/>
      <c r="UVJ225" s="802"/>
      <c r="UVK225" s="800"/>
      <c r="UVL225" s="801"/>
      <c r="UVM225" s="801"/>
      <c r="UVN225" s="801"/>
      <c r="UVO225" s="801"/>
      <c r="UVP225" s="802"/>
      <c r="UVQ225" s="800"/>
      <c r="UVR225" s="801"/>
      <c r="UVS225" s="801"/>
      <c r="UVT225" s="801"/>
      <c r="UVU225" s="801"/>
      <c r="UVV225" s="802"/>
      <c r="UVW225" s="800"/>
      <c r="UVX225" s="801"/>
      <c r="UVY225" s="801"/>
      <c r="UVZ225" s="801"/>
      <c r="UWA225" s="801"/>
      <c r="UWB225" s="802"/>
      <c r="UWC225" s="800"/>
      <c r="UWD225" s="801"/>
      <c r="UWE225" s="801"/>
      <c r="UWF225" s="801"/>
      <c r="UWG225" s="801"/>
      <c r="UWH225" s="802"/>
      <c r="UWI225" s="800"/>
      <c r="UWJ225" s="801"/>
      <c r="UWK225" s="801"/>
      <c r="UWL225" s="801"/>
      <c r="UWM225" s="801"/>
      <c r="UWN225" s="802"/>
      <c r="UWO225" s="800"/>
      <c r="UWP225" s="801"/>
      <c r="UWQ225" s="801"/>
      <c r="UWR225" s="801"/>
      <c r="UWS225" s="801"/>
      <c r="UWT225" s="802"/>
      <c r="UWU225" s="800"/>
      <c r="UWV225" s="801"/>
      <c r="UWW225" s="801"/>
      <c r="UWX225" s="801"/>
      <c r="UWY225" s="801"/>
      <c r="UWZ225" s="802"/>
      <c r="UXA225" s="800"/>
      <c r="UXB225" s="801"/>
      <c r="UXC225" s="801"/>
      <c r="UXD225" s="801"/>
      <c r="UXE225" s="801"/>
      <c r="UXF225" s="802"/>
      <c r="UXG225" s="800"/>
      <c r="UXH225" s="801"/>
      <c r="UXI225" s="801"/>
      <c r="UXJ225" s="801"/>
      <c r="UXK225" s="801"/>
      <c r="UXL225" s="802"/>
      <c r="UXM225" s="800"/>
      <c r="UXN225" s="801"/>
      <c r="UXO225" s="801"/>
      <c r="UXP225" s="801"/>
      <c r="UXQ225" s="801"/>
      <c r="UXR225" s="802"/>
      <c r="UXS225" s="800"/>
      <c r="UXT225" s="801"/>
      <c r="UXU225" s="801"/>
      <c r="UXV225" s="801"/>
      <c r="UXW225" s="801"/>
      <c r="UXX225" s="802"/>
      <c r="UXY225" s="800"/>
      <c r="UXZ225" s="801"/>
      <c r="UYA225" s="801"/>
      <c r="UYB225" s="801"/>
      <c r="UYC225" s="801"/>
      <c r="UYD225" s="802"/>
      <c r="UYE225" s="800"/>
      <c r="UYF225" s="801"/>
      <c r="UYG225" s="801"/>
      <c r="UYH225" s="801"/>
      <c r="UYI225" s="801"/>
      <c r="UYJ225" s="802"/>
      <c r="UYK225" s="800"/>
      <c r="UYL225" s="801"/>
      <c r="UYM225" s="801"/>
      <c r="UYN225" s="801"/>
      <c r="UYO225" s="801"/>
      <c r="UYP225" s="802"/>
      <c r="UYQ225" s="800"/>
      <c r="UYR225" s="801"/>
      <c r="UYS225" s="801"/>
      <c r="UYT225" s="801"/>
      <c r="UYU225" s="801"/>
      <c r="UYV225" s="802"/>
      <c r="UYW225" s="800"/>
      <c r="UYX225" s="801"/>
      <c r="UYY225" s="801"/>
      <c r="UYZ225" s="801"/>
      <c r="UZA225" s="801"/>
      <c r="UZB225" s="802"/>
      <c r="UZC225" s="800"/>
      <c r="UZD225" s="801"/>
      <c r="UZE225" s="801"/>
      <c r="UZF225" s="801"/>
      <c r="UZG225" s="801"/>
      <c r="UZH225" s="802"/>
      <c r="UZI225" s="800"/>
      <c r="UZJ225" s="801"/>
      <c r="UZK225" s="801"/>
      <c r="UZL225" s="801"/>
      <c r="UZM225" s="801"/>
      <c r="UZN225" s="802"/>
      <c r="UZO225" s="800"/>
      <c r="UZP225" s="801"/>
      <c r="UZQ225" s="801"/>
      <c r="UZR225" s="801"/>
      <c r="UZS225" s="801"/>
      <c r="UZT225" s="802"/>
      <c r="UZU225" s="800"/>
      <c r="UZV225" s="801"/>
      <c r="UZW225" s="801"/>
      <c r="UZX225" s="801"/>
      <c r="UZY225" s="801"/>
      <c r="UZZ225" s="802"/>
      <c r="VAA225" s="800"/>
      <c r="VAB225" s="801"/>
      <c r="VAC225" s="801"/>
      <c r="VAD225" s="801"/>
      <c r="VAE225" s="801"/>
      <c r="VAF225" s="802"/>
      <c r="VAG225" s="800"/>
      <c r="VAH225" s="801"/>
      <c r="VAI225" s="801"/>
      <c r="VAJ225" s="801"/>
      <c r="VAK225" s="801"/>
      <c r="VAL225" s="802"/>
      <c r="VAM225" s="800"/>
      <c r="VAN225" s="801"/>
      <c r="VAO225" s="801"/>
      <c r="VAP225" s="801"/>
      <c r="VAQ225" s="801"/>
      <c r="VAR225" s="802"/>
      <c r="VAS225" s="800"/>
      <c r="VAT225" s="801"/>
      <c r="VAU225" s="801"/>
      <c r="VAV225" s="801"/>
      <c r="VAW225" s="801"/>
      <c r="VAX225" s="802"/>
      <c r="VAY225" s="800"/>
      <c r="VAZ225" s="801"/>
      <c r="VBA225" s="801"/>
      <c r="VBB225" s="801"/>
      <c r="VBC225" s="801"/>
      <c r="VBD225" s="802"/>
      <c r="VBE225" s="800"/>
      <c r="VBF225" s="801"/>
      <c r="VBG225" s="801"/>
      <c r="VBH225" s="801"/>
      <c r="VBI225" s="801"/>
      <c r="VBJ225" s="802"/>
      <c r="VBK225" s="800"/>
      <c r="VBL225" s="801"/>
      <c r="VBM225" s="801"/>
      <c r="VBN225" s="801"/>
      <c r="VBO225" s="801"/>
      <c r="VBP225" s="802"/>
      <c r="VBQ225" s="800"/>
      <c r="VBR225" s="801"/>
      <c r="VBS225" s="801"/>
      <c r="VBT225" s="801"/>
      <c r="VBU225" s="801"/>
      <c r="VBV225" s="802"/>
      <c r="VBW225" s="800"/>
      <c r="VBX225" s="801"/>
      <c r="VBY225" s="801"/>
      <c r="VBZ225" s="801"/>
      <c r="VCA225" s="801"/>
      <c r="VCB225" s="802"/>
      <c r="VCC225" s="800"/>
      <c r="VCD225" s="801"/>
      <c r="VCE225" s="801"/>
      <c r="VCF225" s="801"/>
      <c r="VCG225" s="801"/>
      <c r="VCH225" s="802"/>
      <c r="VCI225" s="800"/>
      <c r="VCJ225" s="801"/>
      <c r="VCK225" s="801"/>
      <c r="VCL225" s="801"/>
      <c r="VCM225" s="801"/>
      <c r="VCN225" s="802"/>
      <c r="VCO225" s="800"/>
      <c r="VCP225" s="801"/>
      <c r="VCQ225" s="801"/>
      <c r="VCR225" s="801"/>
      <c r="VCS225" s="801"/>
      <c r="VCT225" s="802"/>
      <c r="VCU225" s="800"/>
      <c r="VCV225" s="801"/>
      <c r="VCW225" s="801"/>
      <c r="VCX225" s="801"/>
      <c r="VCY225" s="801"/>
      <c r="VCZ225" s="802"/>
      <c r="VDA225" s="800"/>
      <c r="VDB225" s="801"/>
      <c r="VDC225" s="801"/>
      <c r="VDD225" s="801"/>
      <c r="VDE225" s="801"/>
      <c r="VDF225" s="802"/>
      <c r="VDG225" s="800"/>
      <c r="VDH225" s="801"/>
      <c r="VDI225" s="801"/>
      <c r="VDJ225" s="801"/>
      <c r="VDK225" s="801"/>
      <c r="VDL225" s="802"/>
      <c r="VDM225" s="800"/>
      <c r="VDN225" s="801"/>
      <c r="VDO225" s="801"/>
      <c r="VDP225" s="801"/>
      <c r="VDQ225" s="801"/>
      <c r="VDR225" s="802"/>
      <c r="VDS225" s="800"/>
      <c r="VDT225" s="801"/>
      <c r="VDU225" s="801"/>
      <c r="VDV225" s="801"/>
      <c r="VDW225" s="801"/>
      <c r="VDX225" s="802"/>
      <c r="VDY225" s="800"/>
      <c r="VDZ225" s="801"/>
      <c r="VEA225" s="801"/>
      <c r="VEB225" s="801"/>
      <c r="VEC225" s="801"/>
      <c r="VED225" s="802"/>
      <c r="VEE225" s="800"/>
      <c r="VEF225" s="801"/>
      <c r="VEG225" s="801"/>
      <c r="VEH225" s="801"/>
      <c r="VEI225" s="801"/>
      <c r="VEJ225" s="802"/>
      <c r="VEK225" s="800"/>
      <c r="VEL225" s="801"/>
      <c r="VEM225" s="801"/>
      <c r="VEN225" s="801"/>
      <c r="VEO225" s="801"/>
      <c r="VEP225" s="802"/>
      <c r="VEQ225" s="800"/>
      <c r="VER225" s="801"/>
      <c r="VES225" s="801"/>
      <c r="VET225" s="801"/>
      <c r="VEU225" s="801"/>
      <c r="VEV225" s="802"/>
      <c r="VEW225" s="800"/>
      <c r="VEX225" s="801"/>
      <c r="VEY225" s="801"/>
      <c r="VEZ225" s="801"/>
      <c r="VFA225" s="801"/>
      <c r="VFB225" s="802"/>
      <c r="VFC225" s="800"/>
      <c r="VFD225" s="801"/>
      <c r="VFE225" s="801"/>
      <c r="VFF225" s="801"/>
      <c r="VFG225" s="801"/>
      <c r="VFH225" s="802"/>
      <c r="VFI225" s="800"/>
      <c r="VFJ225" s="801"/>
      <c r="VFK225" s="801"/>
      <c r="VFL225" s="801"/>
      <c r="VFM225" s="801"/>
      <c r="VFN225" s="802"/>
      <c r="VFO225" s="800"/>
      <c r="VFP225" s="801"/>
      <c r="VFQ225" s="801"/>
      <c r="VFR225" s="801"/>
      <c r="VFS225" s="801"/>
      <c r="VFT225" s="802"/>
      <c r="VFU225" s="800"/>
      <c r="VFV225" s="801"/>
      <c r="VFW225" s="801"/>
      <c r="VFX225" s="801"/>
      <c r="VFY225" s="801"/>
      <c r="VFZ225" s="802"/>
      <c r="VGA225" s="800"/>
      <c r="VGB225" s="801"/>
      <c r="VGC225" s="801"/>
      <c r="VGD225" s="801"/>
      <c r="VGE225" s="801"/>
      <c r="VGF225" s="802"/>
      <c r="VGG225" s="800"/>
      <c r="VGH225" s="801"/>
      <c r="VGI225" s="801"/>
      <c r="VGJ225" s="801"/>
      <c r="VGK225" s="801"/>
      <c r="VGL225" s="802"/>
      <c r="VGM225" s="800"/>
      <c r="VGN225" s="801"/>
      <c r="VGO225" s="801"/>
      <c r="VGP225" s="801"/>
      <c r="VGQ225" s="801"/>
      <c r="VGR225" s="802"/>
      <c r="VGS225" s="800"/>
      <c r="VGT225" s="801"/>
      <c r="VGU225" s="801"/>
      <c r="VGV225" s="801"/>
      <c r="VGW225" s="801"/>
      <c r="VGX225" s="802"/>
      <c r="VGY225" s="800"/>
      <c r="VGZ225" s="801"/>
      <c r="VHA225" s="801"/>
      <c r="VHB225" s="801"/>
      <c r="VHC225" s="801"/>
      <c r="VHD225" s="802"/>
      <c r="VHE225" s="800"/>
      <c r="VHF225" s="801"/>
      <c r="VHG225" s="801"/>
      <c r="VHH225" s="801"/>
      <c r="VHI225" s="801"/>
      <c r="VHJ225" s="802"/>
      <c r="VHK225" s="800"/>
      <c r="VHL225" s="801"/>
      <c r="VHM225" s="801"/>
      <c r="VHN225" s="801"/>
      <c r="VHO225" s="801"/>
      <c r="VHP225" s="802"/>
      <c r="VHQ225" s="800"/>
      <c r="VHR225" s="801"/>
      <c r="VHS225" s="801"/>
      <c r="VHT225" s="801"/>
      <c r="VHU225" s="801"/>
      <c r="VHV225" s="802"/>
      <c r="VHW225" s="800"/>
      <c r="VHX225" s="801"/>
      <c r="VHY225" s="801"/>
      <c r="VHZ225" s="801"/>
      <c r="VIA225" s="801"/>
      <c r="VIB225" s="802"/>
      <c r="VIC225" s="800"/>
      <c r="VID225" s="801"/>
      <c r="VIE225" s="801"/>
      <c r="VIF225" s="801"/>
      <c r="VIG225" s="801"/>
      <c r="VIH225" s="802"/>
      <c r="VII225" s="800"/>
      <c r="VIJ225" s="801"/>
      <c r="VIK225" s="801"/>
      <c r="VIL225" s="801"/>
      <c r="VIM225" s="801"/>
      <c r="VIN225" s="802"/>
      <c r="VIO225" s="800"/>
      <c r="VIP225" s="801"/>
      <c r="VIQ225" s="801"/>
      <c r="VIR225" s="801"/>
      <c r="VIS225" s="801"/>
      <c r="VIT225" s="802"/>
      <c r="VIU225" s="800"/>
      <c r="VIV225" s="801"/>
      <c r="VIW225" s="801"/>
      <c r="VIX225" s="801"/>
      <c r="VIY225" s="801"/>
      <c r="VIZ225" s="802"/>
      <c r="VJA225" s="800"/>
      <c r="VJB225" s="801"/>
      <c r="VJC225" s="801"/>
      <c r="VJD225" s="801"/>
      <c r="VJE225" s="801"/>
      <c r="VJF225" s="802"/>
      <c r="VJG225" s="800"/>
      <c r="VJH225" s="801"/>
      <c r="VJI225" s="801"/>
      <c r="VJJ225" s="801"/>
      <c r="VJK225" s="801"/>
      <c r="VJL225" s="802"/>
      <c r="VJM225" s="800"/>
      <c r="VJN225" s="801"/>
      <c r="VJO225" s="801"/>
      <c r="VJP225" s="801"/>
      <c r="VJQ225" s="801"/>
      <c r="VJR225" s="802"/>
      <c r="VJS225" s="800"/>
      <c r="VJT225" s="801"/>
      <c r="VJU225" s="801"/>
      <c r="VJV225" s="801"/>
      <c r="VJW225" s="801"/>
      <c r="VJX225" s="802"/>
      <c r="VJY225" s="800"/>
      <c r="VJZ225" s="801"/>
      <c r="VKA225" s="801"/>
      <c r="VKB225" s="801"/>
      <c r="VKC225" s="801"/>
      <c r="VKD225" s="802"/>
      <c r="VKE225" s="800"/>
      <c r="VKF225" s="801"/>
      <c r="VKG225" s="801"/>
      <c r="VKH225" s="801"/>
      <c r="VKI225" s="801"/>
      <c r="VKJ225" s="802"/>
      <c r="VKK225" s="800"/>
      <c r="VKL225" s="801"/>
      <c r="VKM225" s="801"/>
      <c r="VKN225" s="801"/>
      <c r="VKO225" s="801"/>
      <c r="VKP225" s="802"/>
      <c r="VKQ225" s="800"/>
      <c r="VKR225" s="801"/>
      <c r="VKS225" s="801"/>
      <c r="VKT225" s="801"/>
      <c r="VKU225" s="801"/>
      <c r="VKV225" s="802"/>
      <c r="VKW225" s="800"/>
      <c r="VKX225" s="801"/>
      <c r="VKY225" s="801"/>
      <c r="VKZ225" s="801"/>
      <c r="VLA225" s="801"/>
      <c r="VLB225" s="802"/>
      <c r="VLC225" s="800"/>
      <c r="VLD225" s="801"/>
      <c r="VLE225" s="801"/>
      <c r="VLF225" s="801"/>
      <c r="VLG225" s="801"/>
      <c r="VLH225" s="802"/>
      <c r="VLI225" s="800"/>
      <c r="VLJ225" s="801"/>
      <c r="VLK225" s="801"/>
      <c r="VLL225" s="801"/>
      <c r="VLM225" s="801"/>
      <c r="VLN225" s="802"/>
      <c r="VLO225" s="800"/>
      <c r="VLP225" s="801"/>
      <c r="VLQ225" s="801"/>
      <c r="VLR225" s="801"/>
      <c r="VLS225" s="801"/>
      <c r="VLT225" s="802"/>
      <c r="VLU225" s="800"/>
      <c r="VLV225" s="801"/>
      <c r="VLW225" s="801"/>
      <c r="VLX225" s="801"/>
      <c r="VLY225" s="801"/>
      <c r="VLZ225" s="802"/>
      <c r="VMA225" s="800"/>
      <c r="VMB225" s="801"/>
      <c r="VMC225" s="801"/>
      <c r="VMD225" s="801"/>
      <c r="VME225" s="801"/>
      <c r="VMF225" s="802"/>
      <c r="VMG225" s="800"/>
      <c r="VMH225" s="801"/>
      <c r="VMI225" s="801"/>
      <c r="VMJ225" s="801"/>
      <c r="VMK225" s="801"/>
      <c r="VML225" s="802"/>
      <c r="VMM225" s="800"/>
      <c r="VMN225" s="801"/>
      <c r="VMO225" s="801"/>
      <c r="VMP225" s="801"/>
      <c r="VMQ225" s="801"/>
      <c r="VMR225" s="802"/>
      <c r="VMS225" s="800"/>
      <c r="VMT225" s="801"/>
      <c r="VMU225" s="801"/>
      <c r="VMV225" s="801"/>
      <c r="VMW225" s="801"/>
      <c r="VMX225" s="802"/>
      <c r="VMY225" s="800"/>
      <c r="VMZ225" s="801"/>
      <c r="VNA225" s="801"/>
      <c r="VNB225" s="801"/>
      <c r="VNC225" s="801"/>
      <c r="VND225" s="802"/>
      <c r="VNE225" s="800"/>
      <c r="VNF225" s="801"/>
      <c r="VNG225" s="801"/>
      <c r="VNH225" s="801"/>
      <c r="VNI225" s="801"/>
      <c r="VNJ225" s="802"/>
      <c r="VNK225" s="800"/>
      <c r="VNL225" s="801"/>
      <c r="VNM225" s="801"/>
      <c r="VNN225" s="801"/>
      <c r="VNO225" s="801"/>
      <c r="VNP225" s="802"/>
      <c r="VNQ225" s="800"/>
      <c r="VNR225" s="801"/>
      <c r="VNS225" s="801"/>
      <c r="VNT225" s="801"/>
      <c r="VNU225" s="801"/>
      <c r="VNV225" s="802"/>
      <c r="VNW225" s="800"/>
      <c r="VNX225" s="801"/>
      <c r="VNY225" s="801"/>
      <c r="VNZ225" s="801"/>
      <c r="VOA225" s="801"/>
      <c r="VOB225" s="802"/>
      <c r="VOC225" s="800"/>
      <c r="VOD225" s="801"/>
      <c r="VOE225" s="801"/>
      <c r="VOF225" s="801"/>
      <c r="VOG225" s="801"/>
      <c r="VOH225" s="802"/>
      <c r="VOI225" s="800"/>
      <c r="VOJ225" s="801"/>
      <c r="VOK225" s="801"/>
      <c r="VOL225" s="801"/>
      <c r="VOM225" s="801"/>
      <c r="VON225" s="802"/>
      <c r="VOO225" s="800"/>
      <c r="VOP225" s="801"/>
      <c r="VOQ225" s="801"/>
      <c r="VOR225" s="801"/>
      <c r="VOS225" s="801"/>
      <c r="VOT225" s="802"/>
      <c r="VOU225" s="800"/>
      <c r="VOV225" s="801"/>
      <c r="VOW225" s="801"/>
      <c r="VOX225" s="801"/>
      <c r="VOY225" s="801"/>
      <c r="VOZ225" s="802"/>
      <c r="VPA225" s="800"/>
      <c r="VPB225" s="801"/>
      <c r="VPC225" s="801"/>
      <c r="VPD225" s="801"/>
      <c r="VPE225" s="801"/>
      <c r="VPF225" s="802"/>
      <c r="VPG225" s="800"/>
      <c r="VPH225" s="801"/>
      <c r="VPI225" s="801"/>
      <c r="VPJ225" s="801"/>
      <c r="VPK225" s="801"/>
      <c r="VPL225" s="802"/>
      <c r="VPM225" s="800"/>
      <c r="VPN225" s="801"/>
      <c r="VPO225" s="801"/>
      <c r="VPP225" s="801"/>
      <c r="VPQ225" s="801"/>
      <c r="VPR225" s="802"/>
      <c r="VPS225" s="800"/>
      <c r="VPT225" s="801"/>
      <c r="VPU225" s="801"/>
      <c r="VPV225" s="801"/>
      <c r="VPW225" s="801"/>
      <c r="VPX225" s="802"/>
      <c r="VPY225" s="800"/>
      <c r="VPZ225" s="801"/>
      <c r="VQA225" s="801"/>
      <c r="VQB225" s="801"/>
      <c r="VQC225" s="801"/>
      <c r="VQD225" s="802"/>
      <c r="VQE225" s="800"/>
      <c r="VQF225" s="801"/>
      <c r="VQG225" s="801"/>
      <c r="VQH225" s="801"/>
      <c r="VQI225" s="801"/>
      <c r="VQJ225" s="802"/>
      <c r="VQK225" s="800"/>
      <c r="VQL225" s="801"/>
      <c r="VQM225" s="801"/>
      <c r="VQN225" s="801"/>
      <c r="VQO225" s="801"/>
      <c r="VQP225" s="802"/>
      <c r="VQQ225" s="800"/>
      <c r="VQR225" s="801"/>
      <c r="VQS225" s="801"/>
      <c r="VQT225" s="801"/>
      <c r="VQU225" s="801"/>
      <c r="VQV225" s="802"/>
      <c r="VQW225" s="800"/>
      <c r="VQX225" s="801"/>
      <c r="VQY225" s="801"/>
      <c r="VQZ225" s="801"/>
      <c r="VRA225" s="801"/>
      <c r="VRB225" s="802"/>
      <c r="VRC225" s="800"/>
      <c r="VRD225" s="801"/>
      <c r="VRE225" s="801"/>
      <c r="VRF225" s="801"/>
      <c r="VRG225" s="801"/>
      <c r="VRH225" s="802"/>
      <c r="VRI225" s="800"/>
      <c r="VRJ225" s="801"/>
      <c r="VRK225" s="801"/>
      <c r="VRL225" s="801"/>
      <c r="VRM225" s="801"/>
      <c r="VRN225" s="802"/>
      <c r="VRO225" s="800"/>
      <c r="VRP225" s="801"/>
      <c r="VRQ225" s="801"/>
      <c r="VRR225" s="801"/>
      <c r="VRS225" s="801"/>
      <c r="VRT225" s="802"/>
      <c r="VRU225" s="800"/>
      <c r="VRV225" s="801"/>
      <c r="VRW225" s="801"/>
      <c r="VRX225" s="801"/>
      <c r="VRY225" s="801"/>
      <c r="VRZ225" s="802"/>
      <c r="VSA225" s="800"/>
      <c r="VSB225" s="801"/>
      <c r="VSC225" s="801"/>
      <c r="VSD225" s="801"/>
      <c r="VSE225" s="801"/>
      <c r="VSF225" s="802"/>
      <c r="VSG225" s="800"/>
      <c r="VSH225" s="801"/>
      <c r="VSI225" s="801"/>
      <c r="VSJ225" s="801"/>
      <c r="VSK225" s="801"/>
      <c r="VSL225" s="802"/>
      <c r="VSM225" s="800"/>
      <c r="VSN225" s="801"/>
      <c r="VSO225" s="801"/>
      <c r="VSP225" s="801"/>
      <c r="VSQ225" s="801"/>
      <c r="VSR225" s="802"/>
      <c r="VSS225" s="800"/>
      <c r="VST225" s="801"/>
      <c r="VSU225" s="801"/>
      <c r="VSV225" s="801"/>
      <c r="VSW225" s="801"/>
      <c r="VSX225" s="802"/>
      <c r="VSY225" s="800"/>
      <c r="VSZ225" s="801"/>
      <c r="VTA225" s="801"/>
      <c r="VTB225" s="801"/>
      <c r="VTC225" s="801"/>
      <c r="VTD225" s="802"/>
      <c r="VTE225" s="800"/>
      <c r="VTF225" s="801"/>
      <c r="VTG225" s="801"/>
      <c r="VTH225" s="801"/>
      <c r="VTI225" s="801"/>
      <c r="VTJ225" s="802"/>
      <c r="VTK225" s="800"/>
      <c r="VTL225" s="801"/>
      <c r="VTM225" s="801"/>
      <c r="VTN225" s="801"/>
      <c r="VTO225" s="801"/>
      <c r="VTP225" s="802"/>
      <c r="VTQ225" s="800"/>
      <c r="VTR225" s="801"/>
      <c r="VTS225" s="801"/>
      <c r="VTT225" s="801"/>
      <c r="VTU225" s="801"/>
      <c r="VTV225" s="802"/>
      <c r="VTW225" s="800"/>
      <c r="VTX225" s="801"/>
      <c r="VTY225" s="801"/>
      <c r="VTZ225" s="801"/>
      <c r="VUA225" s="801"/>
      <c r="VUB225" s="802"/>
      <c r="VUC225" s="800"/>
      <c r="VUD225" s="801"/>
      <c r="VUE225" s="801"/>
      <c r="VUF225" s="801"/>
      <c r="VUG225" s="801"/>
      <c r="VUH225" s="802"/>
      <c r="VUI225" s="800"/>
      <c r="VUJ225" s="801"/>
      <c r="VUK225" s="801"/>
      <c r="VUL225" s="801"/>
      <c r="VUM225" s="801"/>
      <c r="VUN225" s="802"/>
      <c r="VUO225" s="800"/>
      <c r="VUP225" s="801"/>
      <c r="VUQ225" s="801"/>
      <c r="VUR225" s="801"/>
      <c r="VUS225" s="801"/>
      <c r="VUT225" s="802"/>
      <c r="VUU225" s="800"/>
      <c r="VUV225" s="801"/>
      <c r="VUW225" s="801"/>
      <c r="VUX225" s="801"/>
      <c r="VUY225" s="801"/>
      <c r="VUZ225" s="802"/>
      <c r="VVA225" s="800"/>
      <c r="VVB225" s="801"/>
      <c r="VVC225" s="801"/>
      <c r="VVD225" s="801"/>
      <c r="VVE225" s="801"/>
      <c r="VVF225" s="802"/>
      <c r="VVG225" s="800"/>
      <c r="VVH225" s="801"/>
      <c r="VVI225" s="801"/>
      <c r="VVJ225" s="801"/>
      <c r="VVK225" s="801"/>
      <c r="VVL225" s="802"/>
      <c r="VVM225" s="800"/>
      <c r="VVN225" s="801"/>
      <c r="VVO225" s="801"/>
      <c r="VVP225" s="801"/>
      <c r="VVQ225" s="801"/>
      <c r="VVR225" s="802"/>
      <c r="VVS225" s="800"/>
      <c r="VVT225" s="801"/>
      <c r="VVU225" s="801"/>
      <c r="VVV225" s="801"/>
      <c r="VVW225" s="801"/>
      <c r="VVX225" s="802"/>
      <c r="VVY225" s="800"/>
      <c r="VVZ225" s="801"/>
      <c r="VWA225" s="801"/>
      <c r="VWB225" s="801"/>
      <c r="VWC225" s="801"/>
      <c r="VWD225" s="802"/>
      <c r="VWE225" s="800"/>
      <c r="VWF225" s="801"/>
      <c r="VWG225" s="801"/>
      <c r="VWH225" s="801"/>
      <c r="VWI225" s="801"/>
      <c r="VWJ225" s="802"/>
      <c r="VWK225" s="800"/>
      <c r="VWL225" s="801"/>
      <c r="VWM225" s="801"/>
      <c r="VWN225" s="801"/>
      <c r="VWO225" s="801"/>
      <c r="VWP225" s="802"/>
      <c r="VWQ225" s="800"/>
      <c r="VWR225" s="801"/>
      <c r="VWS225" s="801"/>
      <c r="VWT225" s="801"/>
      <c r="VWU225" s="801"/>
      <c r="VWV225" s="802"/>
      <c r="VWW225" s="800"/>
      <c r="VWX225" s="801"/>
      <c r="VWY225" s="801"/>
      <c r="VWZ225" s="801"/>
      <c r="VXA225" s="801"/>
      <c r="VXB225" s="802"/>
      <c r="VXC225" s="800"/>
      <c r="VXD225" s="801"/>
      <c r="VXE225" s="801"/>
      <c r="VXF225" s="801"/>
      <c r="VXG225" s="801"/>
      <c r="VXH225" s="802"/>
      <c r="VXI225" s="800"/>
      <c r="VXJ225" s="801"/>
      <c r="VXK225" s="801"/>
      <c r="VXL225" s="801"/>
      <c r="VXM225" s="801"/>
      <c r="VXN225" s="802"/>
      <c r="VXO225" s="800"/>
      <c r="VXP225" s="801"/>
      <c r="VXQ225" s="801"/>
      <c r="VXR225" s="801"/>
      <c r="VXS225" s="801"/>
      <c r="VXT225" s="802"/>
      <c r="VXU225" s="800"/>
      <c r="VXV225" s="801"/>
      <c r="VXW225" s="801"/>
      <c r="VXX225" s="801"/>
      <c r="VXY225" s="801"/>
      <c r="VXZ225" s="802"/>
      <c r="VYA225" s="800"/>
      <c r="VYB225" s="801"/>
      <c r="VYC225" s="801"/>
      <c r="VYD225" s="801"/>
      <c r="VYE225" s="801"/>
      <c r="VYF225" s="802"/>
      <c r="VYG225" s="800"/>
      <c r="VYH225" s="801"/>
      <c r="VYI225" s="801"/>
      <c r="VYJ225" s="801"/>
      <c r="VYK225" s="801"/>
      <c r="VYL225" s="802"/>
      <c r="VYM225" s="800"/>
      <c r="VYN225" s="801"/>
      <c r="VYO225" s="801"/>
      <c r="VYP225" s="801"/>
      <c r="VYQ225" s="801"/>
      <c r="VYR225" s="802"/>
      <c r="VYS225" s="800"/>
      <c r="VYT225" s="801"/>
      <c r="VYU225" s="801"/>
      <c r="VYV225" s="801"/>
      <c r="VYW225" s="801"/>
      <c r="VYX225" s="802"/>
      <c r="VYY225" s="800"/>
      <c r="VYZ225" s="801"/>
      <c r="VZA225" s="801"/>
      <c r="VZB225" s="801"/>
      <c r="VZC225" s="801"/>
      <c r="VZD225" s="802"/>
      <c r="VZE225" s="800"/>
      <c r="VZF225" s="801"/>
      <c r="VZG225" s="801"/>
      <c r="VZH225" s="801"/>
      <c r="VZI225" s="801"/>
      <c r="VZJ225" s="802"/>
      <c r="VZK225" s="800"/>
      <c r="VZL225" s="801"/>
      <c r="VZM225" s="801"/>
      <c r="VZN225" s="801"/>
      <c r="VZO225" s="801"/>
      <c r="VZP225" s="802"/>
      <c r="VZQ225" s="800"/>
      <c r="VZR225" s="801"/>
      <c r="VZS225" s="801"/>
      <c r="VZT225" s="801"/>
      <c r="VZU225" s="801"/>
      <c r="VZV225" s="802"/>
      <c r="VZW225" s="800"/>
      <c r="VZX225" s="801"/>
      <c r="VZY225" s="801"/>
      <c r="VZZ225" s="801"/>
      <c r="WAA225" s="801"/>
      <c r="WAB225" s="802"/>
      <c r="WAC225" s="800"/>
      <c r="WAD225" s="801"/>
      <c r="WAE225" s="801"/>
      <c r="WAF225" s="801"/>
      <c r="WAG225" s="801"/>
      <c r="WAH225" s="802"/>
      <c r="WAI225" s="800"/>
      <c r="WAJ225" s="801"/>
      <c r="WAK225" s="801"/>
      <c r="WAL225" s="801"/>
      <c r="WAM225" s="801"/>
      <c r="WAN225" s="802"/>
      <c r="WAO225" s="800"/>
      <c r="WAP225" s="801"/>
      <c r="WAQ225" s="801"/>
      <c r="WAR225" s="801"/>
      <c r="WAS225" s="801"/>
      <c r="WAT225" s="802"/>
      <c r="WAU225" s="800"/>
      <c r="WAV225" s="801"/>
      <c r="WAW225" s="801"/>
      <c r="WAX225" s="801"/>
      <c r="WAY225" s="801"/>
      <c r="WAZ225" s="802"/>
      <c r="WBA225" s="800"/>
      <c r="WBB225" s="801"/>
      <c r="WBC225" s="801"/>
      <c r="WBD225" s="801"/>
      <c r="WBE225" s="801"/>
      <c r="WBF225" s="802"/>
      <c r="WBG225" s="800"/>
      <c r="WBH225" s="801"/>
      <c r="WBI225" s="801"/>
      <c r="WBJ225" s="801"/>
      <c r="WBK225" s="801"/>
      <c r="WBL225" s="802"/>
      <c r="WBM225" s="800"/>
      <c r="WBN225" s="801"/>
      <c r="WBO225" s="801"/>
      <c r="WBP225" s="801"/>
      <c r="WBQ225" s="801"/>
      <c r="WBR225" s="802"/>
      <c r="WBS225" s="800"/>
      <c r="WBT225" s="801"/>
      <c r="WBU225" s="801"/>
      <c r="WBV225" s="801"/>
      <c r="WBW225" s="801"/>
      <c r="WBX225" s="802"/>
      <c r="WBY225" s="800"/>
      <c r="WBZ225" s="801"/>
      <c r="WCA225" s="801"/>
      <c r="WCB225" s="801"/>
      <c r="WCC225" s="801"/>
      <c r="WCD225" s="802"/>
      <c r="WCE225" s="800"/>
      <c r="WCF225" s="801"/>
      <c r="WCG225" s="801"/>
      <c r="WCH225" s="801"/>
      <c r="WCI225" s="801"/>
      <c r="WCJ225" s="802"/>
      <c r="WCK225" s="800"/>
      <c r="WCL225" s="801"/>
      <c r="WCM225" s="801"/>
      <c r="WCN225" s="801"/>
      <c r="WCO225" s="801"/>
      <c r="WCP225" s="802"/>
      <c r="WCQ225" s="800"/>
      <c r="WCR225" s="801"/>
      <c r="WCS225" s="801"/>
      <c r="WCT225" s="801"/>
      <c r="WCU225" s="801"/>
      <c r="WCV225" s="802"/>
      <c r="WCW225" s="800"/>
      <c r="WCX225" s="801"/>
      <c r="WCY225" s="801"/>
      <c r="WCZ225" s="801"/>
      <c r="WDA225" s="801"/>
      <c r="WDB225" s="802"/>
      <c r="WDC225" s="800"/>
      <c r="WDD225" s="801"/>
      <c r="WDE225" s="801"/>
      <c r="WDF225" s="801"/>
      <c r="WDG225" s="801"/>
      <c r="WDH225" s="802"/>
      <c r="WDI225" s="800"/>
      <c r="WDJ225" s="801"/>
      <c r="WDK225" s="801"/>
      <c r="WDL225" s="801"/>
      <c r="WDM225" s="801"/>
      <c r="WDN225" s="802"/>
      <c r="WDO225" s="800"/>
      <c r="WDP225" s="801"/>
      <c r="WDQ225" s="801"/>
      <c r="WDR225" s="801"/>
      <c r="WDS225" s="801"/>
      <c r="WDT225" s="802"/>
      <c r="WDU225" s="800"/>
      <c r="WDV225" s="801"/>
      <c r="WDW225" s="801"/>
      <c r="WDX225" s="801"/>
      <c r="WDY225" s="801"/>
      <c r="WDZ225" s="802"/>
      <c r="WEA225" s="800"/>
      <c r="WEB225" s="801"/>
      <c r="WEC225" s="801"/>
      <c r="WED225" s="801"/>
      <c r="WEE225" s="801"/>
      <c r="WEF225" s="802"/>
      <c r="WEG225" s="800"/>
      <c r="WEH225" s="801"/>
      <c r="WEI225" s="801"/>
      <c r="WEJ225" s="801"/>
      <c r="WEK225" s="801"/>
      <c r="WEL225" s="802"/>
      <c r="WEM225" s="800"/>
      <c r="WEN225" s="801"/>
      <c r="WEO225" s="801"/>
      <c r="WEP225" s="801"/>
      <c r="WEQ225" s="801"/>
      <c r="WER225" s="802"/>
      <c r="WES225" s="800"/>
      <c r="WET225" s="801"/>
      <c r="WEU225" s="801"/>
      <c r="WEV225" s="801"/>
      <c r="WEW225" s="801"/>
      <c r="WEX225" s="802"/>
      <c r="WEY225" s="800"/>
      <c r="WEZ225" s="801"/>
      <c r="WFA225" s="801"/>
      <c r="WFB225" s="801"/>
      <c r="WFC225" s="801"/>
      <c r="WFD225" s="802"/>
      <c r="WFE225" s="800"/>
      <c r="WFF225" s="801"/>
      <c r="WFG225" s="801"/>
      <c r="WFH225" s="801"/>
      <c r="WFI225" s="801"/>
      <c r="WFJ225" s="802"/>
      <c r="WFK225" s="800"/>
      <c r="WFL225" s="801"/>
      <c r="WFM225" s="801"/>
      <c r="WFN225" s="801"/>
      <c r="WFO225" s="801"/>
      <c r="WFP225" s="802"/>
      <c r="WFQ225" s="800"/>
      <c r="WFR225" s="801"/>
      <c r="WFS225" s="801"/>
      <c r="WFT225" s="801"/>
      <c r="WFU225" s="801"/>
      <c r="WFV225" s="802"/>
      <c r="WFW225" s="800"/>
      <c r="WFX225" s="801"/>
      <c r="WFY225" s="801"/>
      <c r="WFZ225" s="801"/>
      <c r="WGA225" s="801"/>
      <c r="WGB225" s="802"/>
      <c r="WGC225" s="800"/>
      <c r="WGD225" s="801"/>
      <c r="WGE225" s="801"/>
      <c r="WGF225" s="801"/>
      <c r="WGG225" s="801"/>
      <c r="WGH225" s="802"/>
      <c r="WGI225" s="800"/>
      <c r="WGJ225" s="801"/>
      <c r="WGK225" s="801"/>
      <c r="WGL225" s="801"/>
      <c r="WGM225" s="801"/>
      <c r="WGN225" s="802"/>
      <c r="WGO225" s="800"/>
      <c r="WGP225" s="801"/>
      <c r="WGQ225" s="801"/>
      <c r="WGR225" s="801"/>
      <c r="WGS225" s="801"/>
      <c r="WGT225" s="802"/>
      <c r="WGU225" s="800"/>
      <c r="WGV225" s="801"/>
      <c r="WGW225" s="801"/>
      <c r="WGX225" s="801"/>
      <c r="WGY225" s="801"/>
      <c r="WGZ225" s="802"/>
      <c r="WHA225" s="800"/>
      <c r="WHB225" s="801"/>
      <c r="WHC225" s="801"/>
      <c r="WHD225" s="801"/>
      <c r="WHE225" s="801"/>
      <c r="WHF225" s="802"/>
      <c r="WHG225" s="800"/>
      <c r="WHH225" s="801"/>
      <c r="WHI225" s="801"/>
      <c r="WHJ225" s="801"/>
      <c r="WHK225" s="801"/>
      <c r="WHL225" s="802"/>
      <c r="WHM225" s="800"/>
      <c r="WHN225" s="801"/>
      <c r="WHO225" s="801"/>
      <c r="WHP225" s="801"/>
      <c r="WHQ225" s="801"/>
      <c r="WHR225" s="802"/>
      <c r="WHS225" s="800"/>
      <c r="WHT225" s="801"/>
      <c r="WHU225" s="801"/>
      <c r="WHV225" s="801"/>
      <c r="WHW225" s="801"/>
      <c r="WHX225" s="802"/>
      <c r="WHY225" s="800"/>
      <c r="WHZ225" s="801"/>
      <c r="WIA225" s="801"/>
      <c r="WIB225" s="801"/>
      <c r="WIC225" s="801"/>
      <c r="WID225" s="802"/>
      <c r="WIE225" s="800"/>
      <c r="WIF225" s="801"/>
      <c r="WIG225" s="801"/>
      <c r="WIH225" s="801"/>
      <c r="WII225" s="801"/>
      <c r="WIJ225" s="802"/>
      <c r="WIK225" s="800"/>
      <c r="WIL225" s="801"/>
      <c r="WIM225" s="801"/>
      <c r="WIN225" s="801"/>
      <c r="WIO225" s="801"/>
      <c r="WIP225" s="802"/>
      <c r="WIQ225" s="800"/>
      <c r="WIR225" s="801"/>
      <c r="WIS225" s="801"/>
      <c r="WIT225" s="801"/>
      <c r="WIU225" s="801"/>
      <c r="WIV225" s="802"/>
      <c r="WIW225" s="800"/>
      <c r="WIX225" s="801"/>
      <c r="WIY225" s="801"/>
      <c r="WIZ225" s="801"/>
      <c r="WJA225" s="801"/>
      <c r="WJB225" s="802"/>
      <c r="WJC225" s="800"/>
      <c r="WJD225" s="801"/>
      <c r="WJE225" s="801"/>
      <c r="WJF225" s="801"/>
      <c r="WJG225" s="801"/>
      <c r="WJH225" s="802"/>
      <c r="WJI225" s="800"/>
      <c r="WJJ225" s="801"/>
      <c r="WJK225" s="801"/>
      <c r="WJL225" s="801"/>
      <c r="WJM225" s="801"/>
      <c r="WJN225" s="802"/>
      <c r="WJO225" s="800"/>
      <c r="WJP225" s="801"/>
      <c r="WJQ225" s="801"/>
      <c r="WJR225" s="801"/>
      <c r="WJS225" s="801"/>
      <c r="WJT225" s="802"/>
      <c r="WJU225" s="800"/>
      <c r="WJV225" s="801"/>
      <c r="WJW225" s="801"/>
      <c r="WJX225" s="801"/>
      <c r="WJY225" s="801"/>
      <c r="WJZ225" s="802"/>
      <c r="WKA225" s="800"/>
      <c r="WKB225" s="801"/>
      <c r="WKC225" s="801"/>
      <c r="WKD225" s="801"/>
      <c r="WKE225" s="801"/>
      <c r="WKF225" s="802"/>
      <c r="WKG225" s="800"/>
      <c r="WKH225" s="801"/>
      <c r="WKI225" s="801"/>
      <c r="WKJ225" s="801"/>
      <c r="WKK225" s="801"/>
      <c r="WKL225" s="802"/>
      <c r="WKM225" s="800"/>
      <c r="WKN225" s="801"/>
      <c r="WKO225" s="801"/>
      <c r="WKP225" s="801"/>
      <c r="WKQ225" s="801"/>
      <c r="WKR225" s="802"/>
      <c r="WKS225" s="800"/>
      <c r="WKT225" s="801"/>
      <c r="WKU225" s="801"/>
      <c r="WKV225" s="801"/>
      <c r="WKW225" s="801"/>
      <c r="WKX225" s="802"/>
      <c r="WKY225" s="800"/>
      <c r="WKZ225" s="801"/>
      <c r="WLA225" s="801"/>
      <c r="WLB225" s="801"/>
      <c r="WLC225" s="801"/>
      <c r="WLD225" s="802"/>
      <c r="WLE225" s="800"/>
      <c r="WLF225" s="801"/>
      <c r="WLG225" s="801"/>
      <c r="WLH225" s="801"/>
      <c r="WLI225" s="801"/>
      <c r="WLJ225" s="802"/>
      <c r="WLK225" s="800"/>
      <c r="WLL225" s="801"/>
      <c r="WLM225" s="801"/>
      <c r="WLN225" s="801"/>
      <c r="WLO225" s="801"/>
      <c r="WLP225" s="802"/>
      <c r="WLQ225" s="800"/>
      <c r="WLR225" s="801"/>
      <c r="WLS225" s="801"/>
      <c r="WLT225" s="801"/>
      <c r="WLU225" s="801"/>
      <c r="WLV225" s="802"/>
      <c r="WLW225" s="800"/>
      <c r="WLX225" s="801"/>
      <c r="WLY225" s="801"/>
      <c r="WLZ225" s="801"/>
      <c r="WMA225" s="801"/>
      <c r="WMB225" s="802"/>
      <c r="WMC225" s="800"/>
      <c r="WMD225" s="801"/>
      <c r="WME225" s="801"/>
      <c r="WMF225" s="801"/>
      <c r="WMG225" s="801"/>
      <c r="WMH225" s="802"/>
      <c r="WMI225" s="800"/>
      <c r="WMJ225" s="801"/>
      <c r="WMK225" s="801"/>
      <c r="WML225" s="801"/>
      <c r="WMM225" s="801"/>
      <c r="WMN225" s="802"/>
      <c r="WMO225" s="800"/>
      <c r="WMP225" s="801"/>
      <c r="WMQ225" s="801"/>
      <c r="WMR225" s="801"/>
      <c r="WMS225" s="801"/>
      <c r="WMT225" s="802"/>
      <c r="WMU225" s="800"/>
      <c r="WMV225" s="801"/>
      <c r="WMW225" s="801"/>
      <c r="WMX225" s="801"/>
      <c r="WMY225" s="801"/>
      <c r="WMZ225" s="802"/>
      <c r="WNA225" s="800"/>
      <c r="WNB225" s="801"/>
      <c r="WNC225" s="801"/>
      <c r="WND225" s="801"/>
      <c r="WNE225" s="801"/>
      <c r="WNF225" s="802"/>
      <c r="WNG225" s="800"/>
      <c r="WNH225" s="801"/>
      <c r="WNI225" s="801"/>
      <c r="WNJ225" s="801"/>
      <c r="WNK225" s="801"/>
      <c r="WNL225" s="802"/>
      <c r="WNM225" s="800"/>
      <c r="WNN225" s="801"/>
      <c r="WNO225" s="801"/>
      <c r="WNP225" s="801"/>
      <c r="WNQ225" s="801"/>
      <c r="WNR225" s="802"/>
      <c r="WNS225" s="800"/>
      <c r="WNT225" s="801"/>
      <c r="WNU225" s="801"/>
      <c r="WNV225" s="801"/>
      <c r="WNW225" s="801"/>
      <c r="WNX225" s="802"/>
      <c r="WNY225" s="800"/>
      <c r="WNZ225" s="801"/>
      <c r="WOA225" s="801"/>
      <c r="WOB225" s="801"/>
      <c r="WOC225" s="801"/>
      <c r="WOD225" s="802"/>
      <c r="WOE225" s="800"/>
      <c r="WOF225" s="801"/>
      <c r="WOG225" s="801"/>
      <c r="WOH225" s="801"/>
      <c r="WOI225" s="801"/>
      <c r="WOJ225" s="802"/>
      <c r="WOK225" s="800"/>
      <c r="WOL225" s="801"/>
      <c r="WOM225" s="801"/>
      <c r="WON225" s="801"/>
      <c r="WOO225" s="801"/>
      <c r="WOP225" s="802"/>
      <c r="WOQ225" s="800"/>
      <c r="WOR225" s="801"/>
      <c r="WOS225" s="801"/>
      <c r="WOT225" s="801"/>
      <c r="WOU225" s="801"/>
      <c r="WOV225" s="802"/>
      <c r="WOW225" s="800"/>
      <c r="WOX225" s="801"/>
      <c r="WOY225" s="801"/>
      <c r="WOZ225" s="801"/>
      <c r="WPA225" s="801"/>
      <c r="WPB225" s="802"/>
      <c r="WPC225" s="800"/>
      <c r="WPD225" s="801"/>
      <c r="WPE225" s="801"/>
      <c r="WPF225" s="801"/>
      <c r="WPG225" s="801"/>
      <c r="WPH225" s="802"/>
      <c r="WPI225" s="800"/>
      <c r="WPJ225" s="801"/>
      <c r="WPK225" s="801"/>
      <c r="WPL225" s="801"/>
      <c r="WPM225" s="801"/>
      <c r="WPN225" s="802"/>
      <c r="WPO225" s="800"/>
      <c r="WPP225" s="801"/>
      <c r="WPQ225" s="801"/>
      <c r="WPR225" s="801"/>
      <c r="WPS225" s="801"/>
      <c r="WPT225" s="802"/>
      <c r="WPU225" s="800"/>
      <c r="WPV225" s="801"/>
      <c r="WPW225" s="801"/>
      <c r="WPX225" s="801"/>
      <c r="WPY225" s="801"/>
      <c r="WPZ225" s="802"/>
      <c r="WQA225" s="800"/>
      <c r="WQB225" s="801"/>
      <c r="WQC225" s="801"/>
      <c r="WQD225" s="801"/>
      <c r="WQE225" s="801"/>
      <c r="WQF225" s="802"/>
      <c r="WQG225" s="800"/>
      <c r="WQH225" s="801"/>
      <c r="WQI225" s="801"/>
      <c r="WQJ225" s="801"/>
      <c r="WQK225" s="801"/>
      <c r="WQL225" s="802"/>
      <c r="WQM225" s="800"/>
      <c r="WQN225" s="801"/>
      <c r="WQO225" s="801"/>
      <c r="WQP225" s="801"/>
      <c r="WQQ225" s="801"/>
      <c r="WQR225" s="802"/>
      <c r="WQS225" s="800"/>
      <c r="WQT225" s="801"/>
      <c r="WQU225" s="801"/>
      <c r="WQV225" s="801"/>
      <c r="WQW225" s="801"/>
      <c r="WQX225" s="802"/>
      <c r="WQY225" s="800"/>
      <c r="WQZ225" s="801"/>
      <c r="WRA225" s="801"/>
      <c r="WRB225" s="801"/>
      <c r="WRC225" s="801"/>
      <c r="WRD225" s="802"/>
      <c r="WRE225" s="800"/>
      <c r="WRF225" s="801"/>
      <c r="WRG225" s="801"/>
      <c r="WRH225" s="801"/>
      <c r="WRI225" s="801"/>
      <c r="WRJ225" s="802"/>
      <c r="WRK225" s="800"/>
      <c r="WRL225" s="801"/>
      <c r="WRM225" s="801"/>
      <c r="WRN225" s="801"/>
      <c r="WRO225" s="801"/>
      <c r="WRP225" s="802"/>
      <c r="WRQ225" s="800"/>
      <c r="WRR225" s="801"/>
      <c r="WRS225" s="801"/>
      <c r="WRT225" s="801"/>
      <c r="WRU225" s="801"/>
      <c r="WRV225" s="802"/>
      <c r="WRW225" s="800"/>
      <c r="WRX225" s="801"/>
      <c r="WRY225" s="801"/>
      <c r="WRZ225" s="801"/>
      <c r="WSA225" s="801"/>
      <c r="WSB225" s="802"/>
      <c r="WSC225" s="800"/>
      <c r="WSD225" s="801"/>
      <c r="WSE225" s="801"/>
      <c r="WSF225" s="801"/>
      <c r="WSG225" s="801"/>
      <c r="WSH225" s="802"/>
      <c r="WSI225" s="800"/>
      <c r="WSJ225" s="801"/>
      <c r="WSK225" s="801"/>
      <c r="WSL225" s="801"/>
      <c r="WSM225" s="801"/>
      <c r="WSN225" s="802"/>
      <c r="WSO225" s="800"/>
      <c r="WSP225" s="801"/>
      <c r="WSQ225" s="801"/>
      <c r="WSR225" s="801"/>
      <c r="WSS225" s="801"/>
      <c r="WST225" s="802"/>
      <c r="WSU225" s="800"/>
      <c r="WSV225" s="801"/>
      <c r="WSW225" s="801"/>
      <c r="WSX225" s="801"/>
      <c r="WSY225" s="801"/>
      <c r="WSZ225" s="802"/>
      <c r="WTA225" s="800"/>
      <c r="WTB225" s="801"/>
      <c r="WTC225" s="801"/>
      <c r="WTD225" s="801"/>
      <c r="WTE225" s="801"/>
      <c r="WTF225" s="802"/>
      <c r="WTG225" s="800"/>
      <c r="WTH225" s="801"/>
      <c r="WTI225" s="801"/>
      <c r="WTJ225" s="801"/>
      <c r="WTK225" s="801"/>
      <c r="WTL225" s="802"/>
      <c r="WTM225" s="800"/>
      <c r="WTN225" s="801"/>
      <c r="WTO225" s="801"/>
      <c r="WTP225" s="801"/>
      <c r="WTQ225" s="801"/>
      <c r="WTR225" s="802"/>
      <c r="WTS225" s="800"/>
      <c r="WTT225" s="801"/>
      <c r="WTU225" s="801"/>
      <c r="WTV225" s="801"/>
      <c r="WTW225" s="801"/>
      <c r="WTX225" s="802"/>
      <c r="WTY225" s="800"/>
      <c r="WTZ225" s="801"/>
      <c r="WUA225" s="801"/>
      <c r="WUB225" s="801"/>
      <c r="WUC225" s="801"/>
      <c r="WUD225" s="802"/>
      <c r="WUE225" s="800"/>
      <c r="WUF225" s="801"/>
      <c r="WUG225" s="801"/>
      <c r="WUH225" s="801"/>
      <c r="WUI225" s="801"/>
      <c r="WUJ225" s="802"/>
      <c r="WUK225" s="800"/>
      <c r="WUL225" s="801"/>
      <c r="WUM225" s="801"/>
      <c r="WUN225" s="801"/>
      <c r="WUO225" s="801"/>
      <c r="WUP225" s="802"/>
      <c r="WUQ225" s="800"/>
      <c r="WUR225" s="801"/>
      <c r="WUS225" s="801"/>
      <c r="WUT225" s="801"/>
      <c r="WUU225" s="801"/>
      <c r="WUV225" s="802"/>
      <c r="WUW225" s="800"/>
      <c r="WUX225" s="801"/>
      <c r="WUY225" s="801"/>
      <c r="WUZ225" s="801"/>
      <c r="WVA225" s="801"/>
      <c r="WVB225" s="802"/>
      <c r="WVC225" s="800"/>
      <c r="WVD225" s="801"/>
      <c r="WVE225" s="801"/>
      <c r="WVF225" s="801"/>
      <c r="WVG225" s="801"/>
      <c r="WVH225" s="802"/>
      <c r="WVI225" s="800"/>
      <c r="WVJ225" s="801"/>
      <c r="WVK225" s="801"/>
      <c r="WVL225" s="801"/>
      <c r="WVM225" s="801"/>
      <c r="WVN225" s="802"/>
      <c r="WVO225" s="800"/>
      <c r="WVP225" s="801"/>
      <c r="WVQ225" s="801"/>
      <c r="WVR225" s="801"/>
      <c r="WVS225" s="801"/>
      <c r="WVT225" s="802"/>
      <c r="WVU225" s="800"/>
      <c r="WVV225" s="801"/>
      <c r="WVW225" s="801"/>
      <c r="WVX225" s="801"/>
      <c r="WVY225" s="801"/>
      <c r="WVZ225" s="802"/>
      <c r="WWA225" s="800"/>
      <c r="WWB225" s="801"/>
      <c r="WWC225" s="801"/>
      <c r="WWD225" s="801"/>
      <c r="WWE225" s="801"/>
      <c r="WWF225" s="802"/>
      <c r="WWG225" s="800"/>
      <c r="WWH225" s="801"/>
      <c r="WWI225" s="801"/>
      <c r="WWJ225" s="801"/>
      <c r="WWK225" s="801"/>
      <c r="WWL225" s="802"/>
      <c r="WWM225" s="800"/>
      <c r="WWN225" s="801"/>
      <c r="WWO225" s="801"/>
      <c r="WWP225" s="801"/>
      <c r="WWQ225" s="801"/>
      <c r="WWR225" s="802"/>
      <c r="WWS225" s="800"/>
      <c r="WWT225" s="801"/>
      <c r="WWU225" s="801"/>
      <c r="WWV225" s="801"/>
      <c r="WWW225" s="801"/>
      <c r="WWX225" s="802"/>
      <c r="WWY225" s="800"/>
      <c r="WWZ225" s="801"/>
      <c r="WXA225" s="801"/>
      <c r="WXB225" s="801"/>
      <c r="WXC225" s="801"/>
      <c r="WXD225" s="802"/>
      <c r="WXE225" s="800"/>
      <c r="WXF225" s="801"/>
      <c r="WXG225" s="801"/>
      <c r="WXH225" s="801"/>
      <c r="WXI225" s="801"/>
      <c r="WXJ225" s="802"/>
      <c r="WXK225" s="800"/>
      <c r="WXL225" s="801"/>
      <c r="WXM225" s="801"/>
      <c r="WXN225" s="801"/>
      <c r="WXO225" s="801"/>
      <c r="WXP225" s="802"/>
      <c r="WXQ225" s="800"/>
      <c r="WXR225" s="801"/>
      <c r="WXS225" s="801"/>
      <c r="WXT225" s="801"/>
      <c r="WXU225" s="801"/>
      <c r="WXV225" s="802"/>
      <c r="WXW225" s="800"/>
      <c r="WXX225" s="801"/>
      <c r="WXY225" s="801"/>
      <c r="WXZ225" s="801"/>
      <c r="WYA225" s="801"/>
      <c r="WYB225" s="802"/>
      <c r="WYC225" s="800"/>
      <c r="WYD225" s="801"/>
      <c r="WYE225" s="801"/>
      <c r="WYF225" s="801"/>
      <c r="WYG225" s="801"/>
      <c r="WYH225" s="802"/>
      <c r="WYI225" s="800"/>
      <c r="WYJ225" s="801"/>
      <c r="WYK225" s="801"/>
      <c r="WYL225" s="801"/>
      <c r="WYM225" s="801"/>
      <c r="WYN225" s="802"/>
      <c r="WYO225" s="800"/>
      <c r="WYP225" s="801"/>
      <c r="WYQ225" s="801"/>
      <c r="WYR225" s="801"/>
      <c r="WYS225" s="801"/>
      <c r="WYT225" s="802"/>
      <c r="WYU225" s="800"/>
      <c r="WYV225" s="801"/>
      <c r="WYW225" s="801"/>
      <c r="WYX225" s="801"/>
      <c r="WYY225" s="801"/>
      <c r="WYZ225" s="802"/>
      <c r="WZA225" s="800"/>
      <c r="WZB225" s="801"/>
      <c r="WZC225" s="801"/>
      <c r="WZD225" s="801"/>
      <c r="WZE225" s="801"/>
      <c r="WZF225" s="802"/>
      <c r="WZG225" s="800"/>
      <c r="WZH225" s="801"/>
      <c r="WZI225" s="801"/>
      <c r="WZJ225" s="801"/>
      <c r="WZK225" s="801"/>
      <c r="WZL225" s="802"/>
      <c r="WZM225" s="800"/>
      <c r="WZN225" s="801"/>
      <c r="WZO225" s="801"/>
      <c r="WZP225" s="801"/>
      <c r="WZQ225" s="801"/>
      <c r="WZR225" s="802"/>
      <c r="WZS225" s="800"/>
      <c r="WZT225" s="801"/>
      <c r="WZU225" s="801"/>
      <c r="WZV225" s="801"/>
      <c r="WZW225" s="801"/>
      <c r="WZX225" s="802"/>
      <c r="WZY225" s="800"/>
      <c r="WZZ225" s="801"/>
      <c r="XAA225" s="801"/>
      <c r="XAB225" s="801"/>
      <c r="XAC225" s="801"/>
      <c r="XAD225" s="802"/>
      <c r="XAE225" s="800"/>
      <c r="XAF225" s="801"/>
      <c r="XAG225" s="801"/>
      <c r="XAH225" s="801"/>
      <c r="XAI225" s="801"/>
      <c r="XAJ225" s="802"/>
      <c r="XAK225" s="800"/>
      <c r="XAL225" s="801"/>
      <c r="XAM225" s="801"/>
      <c r="XAN225" s="801"/>
      <c r="XAO225" s="801"/>
      <c r="XAP225" s="802"/>
      <c r="XAQ225" s="800"/>
      <c r="XAR225" s="801"/>
      <c r="XAS225" s="801"/>
      <c r="XAT225" s="801"/>
      <c r="XAU225" s="801"/>
      <c r="XAV225" s="802"/>
      <c r="XAW225" s="800"/>
      <c r="XAX225" s="801"/>
      <c r="XAY225" s="801"/>
      <c r="XAZ225" s="801"/>
      <c r="XBA225" s="801"/>
      <c r="XBB225" s="802"/>
      <c r="XBC225" s="800"/>
      <c r="XBD225" s="801"/>
      <c r="XBE225" s="801"/>
      <c r="XBF225" s="801"/>
      <c r="XBG225" s="801"/>
      <c r="XBH225" s="802"/>
      <c r="XBI225" s="800"/>
      <c r="XBJ225" s="801"/>
      <c r="XBK225" s="801"/>
      <c r="XBL225" s="801"/>
      <c r="XBM225" s="801"/>
      <c r="XBN225" s="802"/>
      <c r="XBO225" s="800"/>
      <c r="XBP225" s="801"/>
      <c r="XBQ225" s="801"/>
      <c r="XBR225" s="801"/>
      <c r="XBS225" s="801"/>
      <c r="XBT225" s="802"/>
      <c r="XBU225" s="800"/>
      <c r="XBV225" s="801"/>
      <c r="XBW225" s="801"/>
      <c r="XBX225" s="801"/>
      <c r="XBY225" s="801"/>
      <c r="XBZ225" s="802"/>
      <c r="XCA225" s="800"/>
      <c r="XCB225" s="801"/>
      <c r="XCC225" s="801"/>
      <c r="XCD225" s="801"/>
      <c r="XCE225" s="801"/>
      <c r="XCF225" s="802"/>
      <c r="XCG225" s="800"/>
      <c r="XCH225" s="801"/>
      <c r="XCI225" s="801"/>
      <c r="XCJ225" s="801"/>
      <c r="XCK225" s="801"/>
      <c r="XCL225" s="802"/>
      <c r="XCM225" s="800"/>
      <c r="XCN225" s="801"/>
      <c r="XCO225" s="801"/>
      <c r="XCP225" s="801"/>
      <c r="XCQ225" s="801"/>
      <c r="XCR225" s="802"/>
      <c r="XCS225" s="800"/>
      <c r="XCT225" s="801"/>
      <c r="XCU225" s="801"/>
      <c r="XCV225" s="801"/>
      <c r="XCW225" s="801"/>
      <c r="XCX225" s="802"/>
      <c r="XCY225" s="800"/>
      <c r="XCZ225" s="801"/>
      <c r="XDA225" s="801"/>
      <c r="XDB225" s="801"/>
      <c r="XDC225" s="801"/>
      <c r="XDD225" s="802"/>
      <c r="XDE225" s="800"/>
      <c r="XDF225" s="801"/>
      <c r="XDG225" s="801"/>
      <c r="XDH225" s="801"/>
      <c r="XDI225" s="801"/>
      <c r="XDJ225" s="802"/>
      <c r="XDK225" s="800"/>
      <c r="XDL225" s="801"/>
      <c r="XDM225" s="801"/>
      <c r="XDN225" s="801"/>
      <c r="XDO225" s="801"/>
      <c r="XDP225" s="802"/>
      <c r="XDQ225" s="800"/>
      <c r="XDR225" s="801"/>
      <c r="XDS225" s="801"/>
      <c r="XDT225" s="801"/>
      <c r="XDU225" s="801"/>
      <c r="XDV225" s="802"/>
      <c r="XDW225" s="800"/>
      <c r="XDX225" s="801"/>
      <c r="XDY225" s="801"/>
      <c r="XDZ225" s="801"/>
      <c r="XEA225" s="801"/>
      <c r="XEB225" s="802"/>
      <c r="XEC225" s="800"/>
      <c r="XED225" s="801"/>
      <c r="XEE225" s="801"/>
      <c r="XEF225" s="801"/>
      <c r="XEG225" s="801"/>
      <c r="XEH225" s="802"/>
      <c r="XEI225" s="800"/>
      <c r="XEJ225" s="801"/>
      <c r="XEK225" s="801"/>
      <c r="XEL225" s="801"/>
      <c r="XEM225" s="801"/>
      <c r="XEN225" s="802"/>
      <c r="XEO225" s="800"/>
      <c r="XEP225" s="801"/>
      <c r="XEQ225" s="801"/>
      <c r="XER225" s="801"/>
      <c r="XES225" s="801"/>
      <c r="XET225" s="802"/>
      <c r="XEU225" s="800"/>
      <c r="XEV225" s="801"/>
      <c r="XEW225" s="801"/>
      <c r="XEX225" s="801"/>
      <c r="XEY225" s="801"/>
      <c r="XEZ225" s="802"/>
      <c r="XFA225" s="800"/>
      <c r="XFB225" s="800"/>
      <c r="XFC225" s="800"/>
      <c r="XFD225" s="800"/>
    </row>
    <row r="226" spans="1:16384" customFormat="1" ht="18">
      <c r="B226" s="726" t="s">
        <v>242</v>
      </c>
      <c r="C226" s="727"/>
      <c r="D226" s="727"/>
      <c r="E226" s="727"/>
      <c r="F226" s="727"/>
      <c r="G226" s="728"/>
    </row>
    <row r="227" spans="1:16384" s="7" customFormat="1" ht="21.75" customHeight="1">
      <c r="B227" s="762" t="s">
        <v>297</v>
      </c>
      <c r="C227" s="763"/>
      <c r="D227" s="763"/>
      <c r="E227" s="763"/>
      <c r="F227" s="763"/>
      <c r="G227" s="764"/>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row>
    <row r="228" spans="1:16384" customFormat="1" ht="18" customHeight="1">
      <c r="B228" s="751" t="s">
        <v>580</v>
      </c>
      <c r="C228" s="724"/>
      <c r="D228" s="256"/>
      <c r="E228" s="724" t="s">
        <v>243</v>
      </c>
      <c r="F228" s="724"/>
      <c r="G228" s="725"/>
    </row>
    <row r="229" spans="1:16384" s="2" customFormat="1" ht="18">
      <c r="B229" s="720"/>
      <c r="C229" s="721"/>
      <c r="D229" s="722"/>
      <c r="E229" s="723"/>
      <c r="F229" s="723"/>
      <c r="G229" s="723"/>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row>
    <row r="230" spans="1:16384" s="2" customFormat="1" ht="18">
      <c r="B230" s="720"/>
      <c r="C230" s="721"/>
      <c r="D230" s="722"/>
      <c r="E230" s="723"/>
      <c r="F230" s="723"/>
      <c r="G230" s="723"/>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row>
    <row r="231" spans="1:16384" s="2" customFormat="1" ht="18">
      <c r="B231" s="720"/>
      <c r="C231" s="721"/>
      <c r="D231" s="722"/>
      <c r="E231" s="723"/>
      <c r="F231" s="723"/>
      <c r="G231" s="723"/>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row>
    <row r="232" spans="1:16384" s="2" customFormat="1" ht="18">
      <c r="B232" s="720"/>
      <c r="C232" s="721"/>
      <c r="D232" s="722"/>
      <c r="E232" s="723"/>
      <c r="F232" s="723"/>
      <c r="G232" s="723"/>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row>
    <row r="233" spans="1:16384" s="2" customFormat="1" ht="18">
      <c r="B233" s="720"/>
      <c r="C233" s="721"/>
      <c r="D233" s="722"/>
      <c r="E233" s="723"/>
      <c r="F233" s="723"/>
      <c r="G233" s="72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row>
    <row r="234" spans="1:16384" s="2" customFormat="1" ht="18">
      <c r="B234" s="720"/>
      <c r="C234" s="721"/>
      <c r="D234" s="722"/>
      <c r="E234" s="723"/>
      <c r="F234" s="723"/>
      <c r="G234" s="723"/>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row>
    <row r="235" spans="1:16384" s="2" customFormat="1" ht="18">
      <c r="B235" s="720"/>
      <c r="C235" s="721"/>
      <c r="D235" s="722"/>
      <c r="E235" s="723"/>
      <c r="F235" s="723"/>
      <c r="G235" s="723"/>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row>
    <row r="236" spans="1:16384" s="2" customFormat="1" ht="18">
      <c r="B236" s="720"/>
      <c r="C236" s="721"/>
      <c r="D236" s="722"/>
      <c r="E236" s="723"/>
      <c r="F236" s="723"/>
      <c r="G236" s="723"/>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row>
    <row r="237" spans="1:16384" s="2" customFormat="1" ht="18">
      <c r="B237" s="720"/>
      <c r="C237" s="721"/>
      <c r="D237" s="722"/>
      <c r="E237" s="723"/>
      <c r="F237" s="723"/>
      <c r="G237" s="723"/>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row>
    <row r="238" spans="1:16384" s="2" customFormat="1" ht="18">
      <c r="B238" s="720"/>
      <c r="C238" s="721"/>
      <c r="D238" s="722"/>
      <c r="E238" s="723"/>
      <c r="F238" s="723"/>
      <c r="G238" s="723"/>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row>
    <row r="239" spans="1:16384" s="2" customFormat="1" ht="18">
      <c r="B239" s="720"/>
      <c r="C239" s="721"/>
      <c r="D239" s="722"/>
      <c r="E239" s="723"/>
      <c r="F239" s="723"/>
      <c r="G239" s="723"/>
      <c r="H239" s="53"/>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row>
    <row r="240" spans="1:16384" s="57" customFormat="1" ht="18">
      <c r="B240" s="720"/>
      <c r="C240" s="721"/>
      <c r="D240" s="722"/>
      <c r="E240" s="723"/>
      <c r="F240" s="723"/>
      <c r="G240" s="723"/>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row>
    <row r="241" spans="2:70" s="2" customFormat="1" ht="18">
      <c r="B241" s="720"/>
      <c r="C241" s="721"/>
      <c r="D241" s="722"/>
      <c r="E241" s="723"/>
      <c r="F241" s="723"/>
      <c r="G241" s="723"/>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row>
    <row r="242" spans="2:70" s="2" customFormat="1" ht="18">
      <c r="B242" s="720"/>
      <c r="C242" s="721"/>
      <c r="D242" s="722"/>
      <c r="E242" s="723"/>
      <c r="F242" s="723"/>
      <c r="G242" s="723"/>
      <c r="H242" s="53"/>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row>
    <row r="243" spans="2:70" s="2" customFormat="1" ht="18">
      <c r="B243" s="720"/>
      <c r="C243" s="721"/>
      <c r="D243" s="722"/>
      <c r="E243" s="723"/>
      <c r="F243" s="723"/>
      <c r="G243" s="72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row>
    <row r="244" spans="2:70" s="2" customFormat="1" ht="18">
      <c r="B244" s="720"/>
      <c r="C244" s="721"/>
      <c r="D244" s="722"/>
      <c r="E244" s="723"/>
      <c r="F244" s="723"/>
      <c r="G244" s="723"/>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row>
    <row r="245" spans="2:70" s="58" customFormat="1" ht="18">
      <c r="B245" s="720"/>
      <c r="C245" s="721"/>
      <c r="D245" s="722"/>
      <c r="E245" s="723"/>
      <c r="F245" s="723"/>
      <c r="G245" s="723"/>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row>
    <row r="246" spans="2:70" s="2" customFormat="1" ht="18">
      <c r="B246" s="720"/>
      <c r="C246" s="721"/>
      <c r="D246" s="722"/>
      <c r="E246" s="723"/>
      <c r="F246" s="723"/>
      <c r="G246" s="723"/>
      <c r="H246" s="53"/>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row>
    <row r="247" spans="2:70" s="2" customFormat="1" ht="18">
      <c r="B247" s="720"/>
      <c r="C247" s="721"/>
      <c r="D247" s="722"/>
      <c r="E247" s="723"/>
      <c r="F247" s="723"/>
      <c r="G247" s="723"/>
      <c r="H247" s="53"/>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row>
    <row r="248" spans="2:70" s="2" customFormat="1" ht="18">
      <c r="B248" s="720"/>
      <c r="C248" s="721"/>
      <c r="D248" s="722"/>
      <c r="E248" s="723"/>
      <c r="F248" s="723"/>
      <c r="G248" s="723"/>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row>
    <row r="249" spans="2:70" s="146" customFormat="1" ht="27" customHeight="1">
      <c r="B249" s="718" t="str">
        <f>IF('Cover Page'!$D$8&lt;&gt;"Please Select",'Cover Page'!$D$8, "")</f>
        <v/>
      </c>
      <c r="C249" s="718"/>
      <c r="D249" s="718"/>
      <c r="E249" s="718"/>
      <c r="F249" s="718"/>
      <c r="G249" s="719"/>
      <c r="H249"/>
      <c r="I249"/>
      <c r="J249"/>
      <c r="K249"/>
      <c r="L249"/>
    </row>
    <row r="250" spans="2:70" ht="38.25" customHeight="1">
      <c r="B250" s="729" t="s">
        <v>244</v>
      </c>
      <c r="C250" s="730"/>
      <c r="D250" s="731"/>
      <c r="E250" s="731"/>
      <c r="F250" s="731"/>
      <c r="G250" s="732"/>
    </row>
    <row r="251" spans="2:70" ht="5.25" customHeight="1">
      <c r="B251" s="752"/>
      <c r="C251" s="752"/>
      <c r="D251" s="752"/>
      <c r="E251" s="752"/>
      <c r="F251" s="752"/>
      <c r="G251" s="752"/>
    </row>
    <row r="252" spans="2:70" ht="35.25" customHeight="1">
      <c r="B252" s="756" t="s">
        <v>771</v>
      </c>
      <c r="C252" s="757"/>
      <c r="D252" s="758"/>
      <c r="E252" s="245"/>
      <c r="F252" s="761" t="s">
        <v>585</v>
      </c>
      <c r="G252" s="761"/>
    </row>
    <row r="253" spans="2:70" ht="30.75" customHeight="1">
      <c r="B253" s="254"/>
      <c r="C253" s="710" t="s">
        <v>282</v>
      </c>
      <c r="D253" s="711"/>
      <c r="E253" s="245"/>
      <c r="F253" s="761"/>
      <c r="G253" s="761"/>
    </row>
    <row r="254" spans="2:70" ht="15">
      <c r="B254" s="243"/>
      <c r="C254" s="243"/>
      <c r="D254" s="243"/>
      <c r="E254" s="243"/>
      <c r="F254" s="761"/>
      <c r="G254" s="761"/>
    </row>
    <row r="255" spans="2:70" ht="18">
      <c r="B255" s="246" t="s">
        <v>4</v>
      </c>
      <c r="C255" s="246"/>
      <c r="D255" s="246"/>
      <c r="E255" s="246"/>
      <c r="F255" s="246"/>
      <c r="G255" s="246"/>
    </row>
    <row r="256" spans="2:70" ht="30" customHeight="1">
      <c r="B256" s="754">
        <f>'Cover Page'!H21</f>
        <v>0</v>
      </c>
      <c r="C256" s="755"/>
      <c r="D256" s="255"/>
      <c r="E256" s="247"/>
      <c r="F256" s="248"/>
      <c r="G256" s="249"/>
    </row>
    <row r="257" spans="2:7" ht="30" customHeight="1">
      <c r="B257" s="759" t="s">
        <v>245</v>
      </c>
      <c r="C257" s="760"/>
      <c r="D257" s="250" t="s">
        <v>246</v>
      </c>
      <c r="E257" s="250" t="s">
        <v>247</v>
      </c>
      <c r="F257" s="251"/>
      <c r="G257" s="252"/>
    </row>
    <row r="258" spans="2:7" ht="33.75" customHeight="1">
      <c r="B258" s="254"/>
      <c r="C258" s="710" t="s">
        <v>282</v>
      </c>
      <c r="D258" s="711"/>
      <c r="E258" s="253"/>
      <c r="F258" s="253"/>
      <c r="G258" s="253"/>
    </row>
    <row r="259" spans="2:7" ht="23.25" customHeight="1">
      <c r="B259" s="752"/>
      <c r="C259" s="752"/>
      <c r="D259" s="752"/>
      <c r="E259" s="752"/>
      <c r="F259" s="752"/>
      <c r="G259" s="752"/>
    </row>
    <row r="260" spans="2:7" ht="18">
      <c r="B260" s="753" t="s">
        <v>5</v>
      </c>
      <c r="C260" s="753"/>
      <c r="D260" s="753"/>
      <c r="E260" s="753"/>
      <c r="F260" s="753"/>
      <c r="G260" s="753"/>
    </row>
    <row r="261" spans="2:7" ht="30" customHeight="1">
      <c r="B261" s="754">
        <f>'Cover Page'!H23</f>
        <v>0</v>
      </c>
      <c r="C261" s="755"/>
      <c r="D261" s="255"/>
      <c r="E261" s="244"/>
      <c r="F261" s="248"/>
      <c r="G261" s="249"/>
    </row>
    <row r="262" spans="2:7" ht="30" customHeight="1">
      <c r="B262" s="759" t="s">
        <v>245</v>
      </c>
      <c r="C262" s="760"/>
      <c r="D262" s="250" t="s">
        <v>246</v>
      </c>
      <c r="E262" s="250" t="s">
        <v>247</v>
      </c>
      <c r="F262" s="251"/>
      <c r="G262" s="252"/>
    </row>
    <row r="263" spans="2:7" ht="38.25" customHeight="1">
      <c r="B263" s="254"/>
      <c r="C263" s="710" t="s">
        <v>282</v>
      </c>
      <c r="D263" s="711"/>
      <c r="E263" s="253"/>
      <c r="F263" s="253"/>
      <c r="G263" s="253"/>
    </row>
    <row r="264" spans="2:7">
      <c r="B264" s="213"/>
      <c r="C264" s="213"/>
      <c r="D264" s="213"/>
      <c r="E264" s="213"/>
      <c r="F264" s="213"/>
      <c r="G264" s="213"/>
    </row>
    <row r="265" spans="2:7">
      <c r="B265" s="213"/>
      <c r="C265" s="213"/>
      <c r="D265" s="213"/>
      <c r="E265" s="213"/>
      <c r="F265" s="213"/>
      <c r="G265" s="213"/>
    </row>
    <row r="266" spans="2:7" ht="18">
      <c r="B266" s="753" t="s">
        <v>291</v>
      </c>
      <c r="C266" s="753"/>
      <c r="D266" s="753"/>
      <c r="E266" s="753"/>
      <c r="F266" s="753"/>
      <c r="G266" s="753"/>
    </row>
    <row r="267" spans="2:7" ht="30" customHeight="1">
      <c r="B267" s="754" t="str">
        <f>IF('Cover Page'!H25&lt;&gt;"",'Cover Page'!H25,"N/A")</f>
        <v>N/A</v>
      </c>
      <c r="C267" s="755"/>
      <c r="D267" s="255"/>
      <c r="E267" s="244"/>
      <c r="F267" s="248"/>
      <c r="G267" s="249"/>
    </row>
    <row r="268" spans="2:7" ht="30" customHeight="1">
      <c r="B268" s="759" t="s">
        <v>245</v>
      </c>
      <c r="C268" s="760"/>
      <c r="D268" s="250" t="s">
        <v>246</v>
      </c>
      <c r="E268" s="250" t="s">
        <v>247</v>
      </c>
      <c r="F268" s="251"/>
      <c r="G268" s="252"/>
    </row>
    <row r="269" spans="2:7" ht="39" customHeight="1">
      <c r="B269" s="254"/>
      <c r="C269" s="710" t="s">
        <v>282</v>
      </c>
      <c r="D269" s="711"/>
      <c r="E269" s="253"/>
      <c r="F269" s="253"/>
      <c r="G269" s="253"/>
    </row>
    <row r="270" spans="2:7">
      <c r="B270" s="213"/>
      <c r="C270" s="213"/>
      <c r="D270" s="213"/>
      <c r="E270" s="213"/>
      <c r="F270" s="213"/>
      <c r="G270" s="213"/>
    </row>
    <row r="271" spans="2:7">
      <c r="B271" s="213"/>
      <c r="C271" s="213"/>
      <c r="D271" s="213"/>
      <c r="E271" s="213"/>
      <c r="F271" s="213"/>
      <c r="G271" s="213"/>
    </row>
    <row r="272" spans="2:7" ht="18">
      <c r="B272" s="753" t="s">
        <v>291</v>
      </c>
      <c r="C272" s="753"/>
      <c r="D272" s="753"/>
      <c r="E272" s="753"/>
      <c r="F272" s="753"/>
      <c r="G272" s="753"/>
    </row>
    <row r="273" spans="2:7" ht="30" customHeight="1">
      <c r="B273" s="754" t="str">
        <f>IF('Cover Page'!H27&lt;&gt;"",'Cover Page'!H27,"N/A")</f>
        <v>N/A</v>
      </c>
      <c r="C273" s="755"/>
      <c r="D273" s="255"/>
      <c r="E273" s="244"/>
      <c r="F273" s="248"/>
      <c r="G273" s="249"/>
    </row>
    <row r="274" spans="2:7" ht="30" customHeight="1">
      <c r="B274" s="759" t="s">
        <v>245</v>
      </c>
      <c r="C274" s="760"/>
      <c r="D274" s="250" t="s">
        <v>246</v>
      </c>
      <c r="E274" s="250" t="s">
        <v>247</v>
      </c>
      <c r="F274" s="251"/>
      <c r="G274" s="252"/>
    </row>
    <row r="275" spans="2:7" ht="44.25" customHeight="1">
      <c r="B275" s="254"/>
      <c r="C275" s="710" t="s">
        <v>282</v>
      </c>
      <c r="D275" s="711"/>
      <c r="E275" s="253"/>
      <c r="F275" s="253"/>
      <c r="G275" s="253"/>
    </row>
    <row r="276" spans="2:7">
      <c r="B276" s="213"/>
      <c r="C276" s="213"/>
      <c r="D276" s="213"/>
      <c r="E276" s="213"/>
      <c r="F276" s="213"/>
      <c r="G276" s="213"/>
    </row>
    <row r="277" spans="2:7">
      <c r="B277" s="213"/>
      <c r="C277" s="213"/>
      <c r="D277" s="213"/>
      <c r="E277" s="213"/>
      <c r="F277" s="213"/>
      <c r="G277" s="213"/>
    </row>
    <row r="278" spans="2:7">
      <c r="B278" s="213"/>
      <c r="C278" s="213"/>
      <c r="D278" s="213"/>
      <c r="E278" s="213"/>
      <c r="F278" s="213"/>
      <c r="G278" s="213"/>
    </row>
    <row r="279" spans="2:7">
      <c r="B279" s="213"/>
      <c r="C279" s="213"/>
      <c r="D279" s="213"/>
      <c r="E279" s="213"/>
      <c r="F279" s="213"/>
      <c r="G279" s="213"/>
    </row>
    <row r="280" spans="2:7">
      <c r="B280" s="213"/>
      <c r="C280" s="213"/>
      <c r="D280" s="213"/>
      <c r="E280" s="213"/>
      <c r="F280" s="213"/>
      <c r="G280" s="213"/>
    </row>
    <row r="281" spans="2:7">
      <c r="B281" s="213"/>
      <c r="C281" s="213"/>
      <c r="D281" s="213"/>
      <c r="E281" s="213"/>
      <c r="F281" s="213"/>
      <c r="G281" s="213"/>
    </row>
    <row r="282" spans="2:7">
      <c r="B282" s="213"/>
      <c r="C282" s="213"/>
      <c r="D282" s="213"/>
      <c r="E282" s="213"/>
      <c r="F282" s="213"/>
      <c r="G282" s="213"/>
    </row>
    <row r="283" spans="2:7">
      <c r="B283" s="213"/>
      <c r="C283" s="213"/>
      <c r="D283" s="213"/>
      <c r="E283" s="213"/>
      <c r="F283" s="213"/>
      <c r="G283" s="213"/>
    </row>
    <row r="284" spans="2:7">
      <c r="B284" s="213"/>
      <c r="C284" s="213"/>
      <c r="D284" s="213"/>
      <c r="E284" s="213"/>
      <c r="F284" s="213"/>
      <c r="G284" s="213"/>
    </row>
    <row r="285" spans="2:7">
      <c r="B285" s="213"/>
      <c r="C285" s="213"/>
      <c r="D285" s="213"/>
      <c r="E285" s="213"/>
      <c r="F285" s="213"/>
      <c r="G285" s="213"/>
    </row>
    <row r="286" spans="2:7">
      <c r="B286" s="213"/>
      <c r="C286" s="213"/>
      <c r="D286" s="213"/>
      <c r="E286" s="213"/>
      <c r="F286" s="213"/>
      <c r="G286" s="213"/>
    </row>
    <row r="287" spans="2:7">
      <c r="B287" s="213"/>
      <c r="C287" s="213"/>
      <c r="D287" s="213"/>
      <c r="E287" s="213"/>
      <c r="F287" s="213"/>
      <c r="G287" s="213"/>
    </row>
    <row r="288" spans="2:7">
      <c r="B288" s="213"/>
      <c r="C288" s="213"/>
      <c r="D288" s="213"/>
      <c r="E288" s="213"/>
      <c r="F288" s="213"/>
      <c r="G288" s="213"/>
    </row>
    <row r="289" spans="2:7">
      <c r="B289" s="213"/>
      <c r="C289" s="213"/>
      <c r="D289" s="213"/>
      <c r="E289" s="213"/>
      <c r="F289" s="213"/>
      <c r="G289" s="213"/>
    </row>
    <row r="290" spans="2:7">
      <c r="B290" s="213"/>
      <c r="C290" s="213"/>
      <c r="D290" s="213"/>
      <c r="E290" s="213"/>
      <c r="F290" s="213"/>
      <c r="G290" s="213"/>
    </row>
    <row r="291" spans="2:7">
      <c r="B291" s="213"/>
      <c r="C291" s="213"/>
      <c r="D291" s="213"/>
      <c r="E291" s="213"/>
      <c r="F291" s="213"/>
      <c r="G291" s="213"/>
    </row>
    <row r="292" spans="2:7">
      <c r="B292" s="213"/>
      <c r="C292" s="213"/>
      <c r="D292" s="213"/>
      <c r="E292" s="213"/>
      <c r="F292" s="213"/>
      <c r="G292" s="213"/>
    </row>
    <row r="293" spans="2:7">
      <c r="B293" s="213"/>
      <c r="C293" s="213"/>
      <c r="D293" s="213"/>
      <c r="E293" s="213"/>
      <c r="F293" s="213"/>
      <c r="G293" s="213"/>
    </row>
    <row r="294" spans="2:7">
      <c r="B294" s="213"/>
      <c r="C294" s="213"/>
      <c r="D294" s="213"/>
      <c r="E294" s="213"/>
      <c r="F294" s="213"/>
      <c r="G294" s="213"/>
    </row>
    <row r="295" spans="2:7">
      <c r="B295" s="213"/>
      <c r="C295" s="213"/>
      <c r="D295" s="213"/>
      <c r="E295" s="213"/>
      <c r="F295" s="213"/>
      <c r="G295" s="213"/>
    </row>
    <row r="296" spans="2:7">
      <c r="B296" s="213"/>
      <c r="C296" s="213"/>
      <c r="D296" s="213"/>
      <c r="E296" s="213"/>
      <c r="F296" s="213"/>
      <c r="G296" s="213"/>
    </row>
    <row r="297" spans="2:7">
      <c r="B297" s="213"/>
      <c r="C297" s="213"/>
      <c r="D297" s="213"/>
      <c r="E297" s="213"/>
      <c r="F297" s="213"/>
      <c r="G297" s="213"/>
    </row>
    <row r="298" spans="2:7">
      <c r="B298" s="213"/>
      <c r="C298" s="213"/>
      <c r="D298" s="213"/>
      <c r="E298" s="213"/>
      <c r="F298" s="213"/>
      <c r="G298" s="213"/>
    </row>
    <row r="299" spans="2:7">
      <c r="B299" s="213"/>
      <c r="C299" s="213"/>
      <c r="D299" s="213"/>
      <c r="E299" s="213"/>
      <c r="F299" s="213"/>
      <c r="G299" s="213"/>
    </row>
    <row r="300" spans="2:7">
      <c r="B300" s="213"/>
      <c r="C300" s="213"/>
      <c r="D300" s="213"/>
      <c r="E300" s="213"/>
      <c r="F300" s="213"/>
      <c r="G300" s="213"/>
    </row>
    <row r="301" spans="2:7">
      <c r="B301" s="213"/>
      <c r="C301" s="213"/>
      <c r="D301" s="213"/>
      <c r="E301" s="213"/>
      <c r="F301" s="213"/>
      <c r="G301" s="213"/>
    </row>
    <row r="302" spans="2:7">
      <c r="B302" s="213"/>
      <c r="C302" s="213"/>
      <c r="D302" s="213"/>
      <c r="E302" s="213"/>
      <c r="F302" s="213"/>
      <c r="G302" s="213"/>
    </row>
    <row r="303" spans="2:7">
      <c r="B303" s="213"/>
      <c r="C303" s="213"/>
      <c r="D303" s="213"/>
      <c r="E303" s="213"/>
      <c r="F303" s="213"/>
      <c r="G303" s="213"/>
    </row>
    <row r="304" spans="2:7">
      <c r="B304" s="213"/>
      <c r="C304" s="213"/>
      <c r="D304" s="213"/>
      <c r="E304" s="213"/>
      <c r="F304" s="213"/>
      <c r="G304" s="213"/>
    </row>
    <row r="305" spans="2:7">
      <c r="B305" s="213"/>
      <c r="C305" s="213"/>
      <c r="D305" s="213"/>
      <c r="E305" s="213"/>
      <c r="F305" s="213"/>
      <c r="G305" s="213"/>
    </row>
    <row r="306" spans="2:7">
      <c r="B306" s="213"/>
      <c r="C306" s="213"/>
      <c r="D306" s="213"/>
      <c r="E306" s="213"/>
      <c r="F306" s="213"/>
      <c r="G306" s="213"/>
    </row>
    <row r="307" spans="2:7">
      <c r="B307" s="213"/>
      <c r="C307" s="213"/>
      <c r="D307" s="213"/>
      <c r="E307" s="213"/>
      <c r="F307" s="213"/>
      <c r="G307" s="213"/>
    </row>
    <row r="308" spans="2:7">
      <c r="B308" s="213"/>
      <c r="C308" s="213"/>
      <c r="D308" s="213"/>
      <c r="E308" s="213"/>
      <c r="F308" s="213"/>
      <c r="G308" s="213"/>
    </row>
    <row r="309" spans="2:7">
      <c r="B309" s="213"/>
      <c r="C309" s="213"/>
      <c r="D309" s="213"/>
      <c r="E309" s="213"/>
      <c r="F309" s="213"/>
      <c r="G309" s="213"/>
    </row>
    <row r="310" spans="2:7">
      <c r="B310" s="213"/>
      <c r="C310" s="213"/>
      <c r="D310" s="213"/>
      <c r="E310" s="213"/>
      <c r="F310" s="213"/>
      <c r="G310" s="213"/>
    </row>
    <row r="311" spans="2:7">
      <c r="B311" s="213"/>
      <c r="C311" s="213"/>
      <c r="D311" s="213"/>
      <c r="E311" s="213"/>
      <c r="F311" s="213"/>
      <c r="G311" s="213"/>
    </row>
    <row r="312" spans="2:7">
      <c r="B312" s="213"/>
      <c r="C312" s="213"/>
      <c r="D312" s="213"/>
      <c r="E312" s="213"/>
      <c r="F312" s="213"/>
      <c r="G312" s="213"/>
    </row>
    <row r="313" spans="2:7">
      <c r="B313" s="213"/>
      <c r="C313" s="213"/>
      <c r="D313" s="213"/>
      <c r="E313" s="213"/>
      <c r="F313" s="213"/>
      <c r="G313" s="213"/>
    </row>
    <row r="314" spans="2:7">
      <c r="B314" s="213"/>
      <c r="C314" s="213"/>
      <c r="D314" s="213"/>
      <c r="E314" s="213"/>
      <c r="F314" s="213"/>
      <c r="G314" s="213"/>
    </row>
    <row r="315" spans="2:7">
      <c r="B315" s="213"/>
      <c r="C315" s="213"/>
      <c r="D315" s="213"/>
      <c r="E315" s="213"/>
      <c r="F315" s="213"/>
      <c r="G315" s="213"/>
    </row>
    <row r="316" spans="2:7">
      <c r="B316" s="213"/>
      <c r="C316" s="213"/>
      <c r="D316" s="213"/>
      <c r="E316" s="213"/>
      <c r="F316" s="213"/>
      <c r="G316" s="213"/>
    </row>
    <row r="317" spans="2:7">
      <c r="B317" s="213"/>
      <c r="C317" s="213"/>
      <c r="D317" s="213"/>
      <c r="E317" s="213"/>
      <c r="F317" s="213"/>
      <c r="G317" s="213"/>
    </row>
    <row r="318" spans="2:7">
      <c r="B318" s="213"/>
      <c r="C318" s="213"/>
      <c r="D318" s="213"/>
      <c r="E318" s="213"/>
      <c r="F318" s="213"/>
      <c r="G318" s="213"/>
    </row>
    <row r="319" spans="2:7">
      <c r="B319" s="213"/>
      <c r="C319" s="213"/>
      <c r="D319" s="213"/>
      <c r="E319" s="213"/>
      <c r="F319" s="213"/>
      <c r="G319" s="213"/>
    </row>
    <row r="320" spans="2:7">
      <c r="B320" s="213"/>
      <c r="C320" s="213"/>
      <c r="D320" s="213"/>
      <c r="E320" s="213"/>
      <c r="F320" s="213"/>
      <c r="G320" s="213"/>
    </row>
    <row r="321" spans="2:7">
      <c r="B321" s="213"/>
      <c r="C321" s="213"/>
      <c r="D321" s="213"/>
      <c r="E321" s="213"/>
      <c r="F321" s="213"/>
      <c r="G321" s="213"/>
    </row>
    <row r="322" spans="2:7">
      <c r="B322" s="213"/>
      <c r="C322" s="213"/>
      <c r="D322" s="213"/>
      <c r="E322" s="213"/>
      <c r="F322" s="213"/>
      <c r="G322" s="213"/>
    </row>
    <row r="323" spans="2:7">
      <c r="B323" s="213"/>
      <c r="C323" s="213"/>
      <c r="D323" s="213"/>
      <c r="E323" s="213"/>
      <c r="F323" s="213"/>
      <c r="G323" s="213"/>
    </row>
    <row r="324" spans="2:7">
      <c r="B324" s="213"/>
      <c r="C324" s="213"/>
      <c r="D324" s="213"/>
      <c r="E324" s="213"/>
      <c r="F324" s="213"/>
      <c r="G324" s="213"/>
    </row>
    <row r="325" spans="2:7">
      <c r="B325" s="213"/>
      <c r="C325" s="213"/>
      <c r="D325" s="213"/>
      <c r="E325" s="213"/>
      <c r="F325" s="213"/>
      <c r="G325" s="213"/>
    </row>
    <row r="326" spans="2:7">
      <c r="B326" s="213"/>
      <c r="C326" s="213"/>
      <c r="D326" s="213"/>
      <c r="E326" s="213"/>
      <c r="F326" s="213"/>
      <c r="G326" s="213"/>
    </row>
    <row r="327" spans="2:7">
      <c r="B327" s="213"/>
      <c r="C327" s="213"/>
      <c r="D327" s="213"/>
      <c r="E327" s="213"/>
      <c r="F327" s="213"/>
      <c r="G327" s="213"/>
    </row>
    <row r="328" spans="2:7">
      <c r="B328" s="213"/>
      <c r="C328" s="213"/>
      <c r="D328" s="213"/>
      <c r="E328" s="213"/>
      <c r="F328" s="213"/>
      <c r="G328" s="213"/>
    </row>
    <row r="329" spans="2:7">
      <c r="B329" s="213"/>
      <c r="C329" s="213"/>
      <c r="D329" s="213"/>
      <c r="E329" s="213"/>
      <c r="F329" s="213"/>
      <c r="G329" s="213"/>
    </row>
    <row r="330" spans="2:7">
      <c r="B330" s="213"/>
      <c r="C330" s="213"/>
      <c r="D330" s="213"/>
      <c r="E330" s="213"/>
      <c r="F330" s="213"/>
      <c r="G330" s="213"/>
    </row>
    <row r="331" spans="2:7">
      <c r="B331" s="213"/>
      <c r="C331" s="213"/>
      <c r="D331" s="213"/>
      <c r="E331" s="213"/>
      <c r="F331" s="213"/>
      <c r="G331" s="213"/>
    </row>
    <row r="332" spans="2:7">
      <c r="B332" s="213"/>
      <c r="C332" s="213"/>
      <c r="D332" s="213"/>
      <c r="E332" s="213"/>
      <c r="F332" s="213"/>
      <c r="G332" s="213"/>
    </row>
    <row r="337" customFormat="1"/>
  </sheetData>
  <sheetProtection algorithmName="SHA-512" hashValue="9eAjp8vKoXuwmr56iuH6qeCKXbwsQzLVM1PoNb5C3ewuZgBmJSKy+huzfw2iXxvtOtT+DnPLsvgAvOREi658Ww==" saltValue="83NnZ8WSXY4ZTnxVuVEy2g==" spinCount="100000" sheet="1" formatRows="0" deleteRows="0" selectLockedCells="1"/>
  <protectedRanges>
    <protectedRange sqref="A162:XFD164 A187:XFD190 A200:XFD203 A32:XFD38 A73:XFD75 A65:XFD71 A40:XFD41" name="Range1"/>
  </protectedRanges>
  <customSheetViews>
    <customSheetView guid="{C17C9B4A-0866-4AA0-BC6D-B2274E9D30D3}" showGridLines="0" fitToPage="1" topLeftCell="A216">
      <selection activeCell="D40" sqref="D40:F40"/>
      <rowBreaks count="5" manualBreakCount="5">
        <brk id="8" max="6" man="1"/>
        <brk id="24" max="6" man="1"/>
        <brk id="160" max="6" man="1"/>
        <brk id="177" max="6" man="1"/>
        <brk id="202" max="6" man="1"/>
      </rowBreaks>
      <colBreaks count="1" manualBreakCount="1">
        <brk id="7" max="1048575" man="1"/>
      </colBreaks>
      <pageMargins left="0.45" right="0.45" top="0.5" bottom="0.5" header="0.3" footer="0.3"/>
      <pageSetup scale="87" fitToHeight="0" orientation="landscape" horizontalDpi="1200" verticalDpi="1200" r:id="rId1"/>
    </customSheetView>
    <customSheetView guid="{6FDBC1BF-99FD-492F-9A38-B1FC9531BD14}" showGridLines="0" fitToPage="1" topLeftCell="A216">
      <selection activeCell="D40" sqref="D40:F40"/>
      <rowBreaks count="5" manualBreakCount="5">
        <brk id="8" max="6" man="1"/>
        <brk id="24" max="6" man="1"/>
        <brk id="160" max="6" man="1"/>
        <brk id="177" max="6" man="1"/>
        <brk id="202" max="6" man="1"/>
      </rowBreaks>
      <colBreaks count="1" manualBreakCount="1">
        <brk id="7" max="1048575" man="1"/>
      </colBreaks>
      <pageMargins left="0.45" right="0.45" top="0.5" bottom="0.5" header="0.3" footer="0.3"/>
      <pageSetup scale="87" fitToHeight="0" orientation="landscape" horizontalDpi="1200" verticalDpi="1200" r:id="rId2"/>
    </customSheetView>
  </customSheetViews>
  <mergeCells count="3200">
    <mergeCell ref="D144:F144"/>
    <mergeCell ref="B155:C155"/>
    <mergeCell ref="D155:F155"/>
    <mergeCell ref="B156:C156"/>
    <mergeCell ref="B127:C127"/>
    <mergeCell ref="D127:F127"/>
    <mergeCell ref="B109:C109"/>
    <mergeCell ref="D109:F109"/>
    <mergeCell ref="D129:F129"/>
    <mergeCell ref="B152:C152"/>
    <mergeCell ref="D152:F152"/>
    <mergeCell ref="B151:C151"/>
    <mergeCell ref="B148:C148"/>
    <mergeCell ref="B115:C115"/>
    <mergeCell ref="B159:C159"/>
    <mergeCell ref="D159:F159"/>
    <mergeCell ref="B129:C129"/>
    <mergeCell ref="B133:C133"/>
    <mergeCell ref="D133:F133"/>
    <mergeCell ref="B134:C134"/>
    <mergeCell ref="D134:F134"/>
    <mergeCell ref="B135:C135"/>
    <mergeCell ref="D135:F135"/>
    <mergeCell ref="B136:C136"/>
    <mergeCell ref="D136:F136"/>
    <mergeCell ref="B131:C131"/>
    <mergeCell ref="D131:F131"/>
    <mergeCell ref="B132:C132"/>
    <mergeCell ref="D132:F132"/>
    <mergeCell ref="B139:C139"/>
    <mergeCell ref="D139:F139"/>
    <mergeCell ref="B140:C140"/>
    <mergeCell ref="D140:F140"/>
    <mergeCell ref="B143:C143"/>
    <mergeCell ref="D143:F143"/>
    <mergeCell ref="B144:C144"/>
    <mergeCell ref="XEC225:XEH225"/>
    <mergeCell ref="XEI225:XEN225"/>
    <mergeCell ref="XEO225:XET225"/>
    <mergeCell ref="XEU225:XEZ225"/>
    <mergeCell ref="XFA225:XFD225"/>
    <mergeCell ref="XCA225:XCF225"/>
    <mergeCell ref="XCG225:XCL225"/>
    <mergeCell ref="XCM225:XCR225"/>
    <mergeCell ref="XCS225:XCX225"/>
    <mergeCell ref="XCY225:XDD225"/>
    <mergeCell ref="XDE225:XDJ225"/>
    <mergeCell ref="XDK225:XDP225"/>
    <mergeCell ref="XDQ225:XDV225"/>
    <mergeCell ref="XDW225:XEB225"/>
    <mergeCell ref="WZY225:XAD225"/>
    <mergeCell ref="XAE225:XAJ225"/>
    <mergeCell ref="XAK225:XAP225"/>
    <mergeCell ref="XAQ225:XAV225"/>
    <mergeCell ref="XAW225:XBB225"/>
    <mergeCell ref="XBC225:XBH225"/>
    <mergeCell ref="XBI225:XBN225"/>
    <mergeCell ref="XBO225:XBT225"/>
    <mergeCell ref="XBU225:XBZ225"/>
    <mergeCell ref="WXW225:WYB225"/>
    <mergeCell ref="WYC225:WYH225"/>
    <mergeCell ref="WYI225:WYN225"/>
    <mergeCell ref="WYO225:WYT225"/>
    <mergeCell ref="WYU225:WYZ225"/>
    <mergeCell ref="WZA225:WZF225"/>
    <mergeCell ref="WZG225:WZL225"/>
    <mergeCell ref="WZM225:WZR225"/>
    <mergeCell ref="WZS225:WZX225"/>
    <mergeCell ref="WVU225:WVZ225"/>
    <mergeCell ref="WWA225:WWF225"/>
    <mergeCell ref="WWG225:WWL225"/>
    <mergeCell ref="WWM225:WWR225"/>
    <mergeCell ref="WWS225:WWX225"/>
    <mergeCell ref="WWY225:WXD225"/>
    <mergeCell ref="WXE225:WXJ225"/>
    <mergeCell ref="WXK225:WXP225"/>
    <mergeCell ref="WXQ225:WXV225"/>
    <mergeCell ref="WTS225:WTX225"/>
    <mergeCell ref="WTY225:WUD225"/>
    <mergeCell ref="WUE225:WUJ225"/>
    <mergeCell ref="WUK225:WUP225"/>
    <mergeCell ref="WUQ225:WUV225"/>
    <mergeCell ref="WUW225:WVB225"/>
    <mergeCell ref="WVC225:WVH225"/>
    <mergeCell ref="WVI225:WVN225"/>
    <mergeCell ref="WVO225:WVT225"/>
    <mergeCell ref="WRQ225:WRV225"/>
    <mergeCell ref="WRW225:WSB225"/>
    <mergeCell ref="WSC225:WSH225"/>
    <mergeCell ref="WSI225:WSN225"/>
    <mergeCell ref="WSO225:WST225"/>
    <mergeCell ref="WSU225:WSZ225"/>
    <mergeCell ref="WTA225:WTF225"/>
    <mergeCell ref="WTG225:WTL225"/>
    <mergeCell ref="WTM225:WTR225"/>
    <mergeCell ref="WPO225:WPT225"/>
    <mergeCell ref="WPU225:WPZ225"/>
    <mergeCell ref="WQA225:WQF225"/>
    <mergeCell ref="WQG225:WQL225"/>
    <mergeCell ref="WQM225:WQR225"/>
    <mergeCell ref="WQS225:WQX225"/>
    <mergeCell ref="WQY225:WRD225"/>
    <mergeCell ref="WRE225:WRJ225"/>
    <mergeCell ref="WRK225:WRP225"/>
    <mergeCell ref="WNM225:WNR225"/>
    <mergeCell ref="WNS225:WNX225"/>
    <mergeCell ref="WNY225:WOD225"/>
    <mergeCell ref="WOE225:WOJ225"/>
    <mergeCell ref="WOK225:WOP225"/>
    <mergeCell ref="WOQ225:WOV225"/>
    <mergeCell ref="WOW225:WPB225"/>
    <mergeCell ref="WPC225:WPH225"/>
    <mergeCell ref="WPI225:WPN225"/>
    <mergeCell ref="WLK225:WLP225"/>
    <mergeCell ref="WLQ225:WLV225"/>
    <mergeCell ref="WLW225:WMB225"/>
    <mergeCell ref="WMC225:WMH225"/>
    <mergeCell ref="WMI225:WMN225"/>
    <mergeCell ref="WMO225:WMT225"/>
    <mergeCell ref="WMU225:WMZ225"/>
    <mergeCell ref="WNA225:WNF225"/>
    <mergeCell ref="WNG225:WNL225"/>
    <mergeCell ref="WJI225:WJN225"/>
    <mergeCell ref="WJO225:WJT225"/>
    <mergeCell ref="WJU225:WJZ225"/>
    <mergeCell ref="WKA225:WKF225"/>
    <mergeCell ref="WKG225:WKL225"/>
    <mergeCell ref="WKM225:WKR225"/>
    <mergeCell ref="WKS225:WKX225"/>
    <mergeCell ref="WKY225:WLD225"/>
    <mergeCell ref="WLE225:WLJ225"/>
    <mergeCell ref="WHG225:WHL225"/>
    <mergeCell ref="WHM225:WHR225"/>
    <mergeCell ref="WHS225:WHX225"/>
    <mergeCell ref="WHY225:WID225"/>
    <mergeCell ref="WIE225:WIJ225"/>
    <mergeCell ref="WIK225:WIP225"/>
    <mergeCell ref="WIQ225:WIV225"/>
    <mergeCell ref="WIW225:WJB225"/>
    <mergeCell ref="WJC225:WJH225"/>
    <mergeCell ref="WFE225:WFJ225"/>
    <mergeCell ref="WFK225:WFP225"/>
    <mergeCell ref="WFQ225:WFV225"/>
    <mergeCell ref="WFW225:WGB225"/>
    <mergeCell ref="WGC225:WGH225"/>
    <mergeCell ref="WGI225:WGN225"/>
    <mergeCell ref="WGO225:WGT225"/>
    <mergeCell ref="WGU225:WGZ225"/>
    <mergeCell ref="WHA225:WHF225"/>
    <mergeCell ref="WDC225:WDH225"/>
    <mergeCell ref="WDI225:WDN225"/>
    <mergeCell ref="WDO225:WDT225"/>
    <mergeCell ref="WDU225:WDZ225"/>
    <mergeCell ref="WEA225:WEF225"/>
    <mergeCell ref="WEG225:WEL225"/>
    <mergeCell ref="WEM225:WER225"/>
    <mergeCell ref="WES225:WEX225"/>
    <mergeCell ref="WEY225:WFD225"/>
    <mergeCell ref="WBA225:WBF225"/>
    <mergeCell ref="WBG225:WBL225"/>
    <mergeCell ref="WBM225:WBR225"/>
    <mergeCell ref="WBS225:WBX225"/>
    <mergeCell ref="WBY225:WCD225"/>
    <mergeCell ref="WCE225:WCJ225"/>
    <mergeCell ref="WCK225:WCP225"/>
    <mergeCell ref="WCQ225:WCV225"/>
    <mergeCell ref="WCW225:WDB225"/>
    <mergeCell ref="VYY225:VZD225"/>
    <mergeCell ref="VZE225:VZJ225"/>
    <mergeCell ref="VZK225:VZP225"/>
    <mergeCell ref="VZQ225:VZV225"/>
    <mergeCell ref="VZW225:WAB225"/>
    <mergeCell ref="WAC225:WAH225"/>
    <mergeCell ref="WAI225:WAN225"/>
    <mergeCell ref="WAO225:WAT225"/>
    <mergeCell ref="WAU225:WAZ225"/>
    <mergeCell ref="VWW225:VXB225"/>
    <mergeCell ref="VXC225:VXH225"/>
    <mergeCell ref="VXI225:VXN225"/>
    <mergeCell ref="VXO225:VXT225"/>
    <mergeCell ref="VXU225:VXZ225"/>
    <mergeCell ref="VYA225:VYF225"/>
    <mergeCell ref="VYG225:VYL225"/>
    <mergeCell ref="VYM225:VYR225"/>
    <mergeCell ref="VYS225:VYX225"/>
    <mergeCell ref="VUU225:VUZ225"/>
    <mergeCell ref="VVA225:VVF225"/>
    <mergeCell ref="VVG225:VVL225"/>
    <mergeCell ref="VVM225:VVR225"/>
    <mergeCell ref="VVS225:VVX225"/>
    <mergeCell ref="VVY225:VWD225"/>
    <mergeCell ref="VWE225:VWJ225"/>
    <mergeCell ref="VWK225:VWP225"/>
    <mergeCell ref="VWQ225:VWV225"/>
    <mergeCell ref="VSS225:VSX225"/>
    <mergeCell ref="VSY225:VTD225"/>
    <mergeCell ref="VTE225:VTJ225"/>
    <mergeCell ref="VTK225:VTP225"/>
    <mergeCell ref="VTQ225:VTV225"/>
    <mergeCell ref="VTW225:VUB225"/>
    <mergeCell ref="VUC225:VUH225"/>
    <mergeCell ref="VUI225:VUN225"/>
    <mergeCell ref="VUO225:VUT225"/>
    <mergeCell ref="VQQ225:VQV225"/>
    <mergeCell ref="VQW225:VRB225"/>
    <mergeCell ref="VRC225:VRH225"/>
    <mergeCell ref="VRI225:VRN225"/>
    <mergeCell ref="VRO225:VRT225"/>
    <mergeCell ref="VRU225:VRZ225"/>
    <mergeCell ref="VSA225:VSF225"/>
    <mergeCell ref="VSG225:VSL225"/>
    <mergeCell ref="VSM225:VSR225"/>
    <mergeCell ref="VOO225:VOT225"/>
    <mergeCell ref="VOU225:VOZ225"/>
    <mergeCell ref="VPA225:VPF225"/>
    <mergeCell ref="VPG225:VPL225"/>
    <mergeCell ref="VPM225:VPR225"/>
    <mergeCell ref="VPS225:VPX225"/>
    <mergeCell ref="VPY225:VQD225"/>
    <mergeCell ref="VQE225:VQJ225"/>
    <mergeCell ref="VQK225:VQP225"/>
    <mergeCell ref="VMM225:VMR225"/>
    <mergeCell ref="VMS225:VMX225"/>
    <mergeCell ref="VMY225:VND225"/>
    <mergeCell ref="VNE225:VNJ225"/>
    <mergeCell ref="VNK225:VNP225"/>
    <mergeCell ref="VNQ225:VNV225"/>
    <mergeCell ref="VNW225:VOB225"/>
    <mergeCell ref="VOC225:VOH225"/>
    <mergeCell ref="VOI225:VON225"/>
    <mergeCell ref="VKK225:VKP225"/>
    <mergeCell ref="VKQ225:VKV225"/>
    <mergeCell ref="VKW225:VLB225"/>
    <mergeCell ref="VLC225:VLH225"/>
    <mergeCell ref="VLI225:VLN225"/>
    <mergeCell ref="VLO225:VLT225"/>
    <mergeCell ref="VLU225:VLZ225"/>
    <mergeCell ref="VMA225:VMF225"/>
    <mergeCell ref="VMG225:VML225"/>
    <mergeCell ref="VII225:VIN225"/>
    <mergeCell ref="VIO225:VIT225"/>
    <mergeCell ref="VIU225:VIZ225"/>
    <mergeCell ref="VJA225:VJF225"/>
    <mergeCell ref="VJG225:VJL225"/>
    <mergeCell ref="VJM225:VJR225"/>
    <mergeCell ref="VJS225:VJX225"/>
    <mergeCell ref="VJY225:VKD225"/>
    <mergeCell ref="VKE225:VKJ225"/>
    <mergeCell ref="VGG225:VGL225"/>
    <mergeCell ref="VGM225:VGR225"/>
    <mergeCell ref="VGS225:VGX225"/>
    <mergeCell ref="VGY225:VHD225"/>
    <mergeCell ref="VHE225:VHJ225"/>
    <mergeCell ref="VHK225:VHP225"/>
    <mergeCell ref="VHQ225:VHV225"/>
    <mergeCell ref="VHW225:VIB225"/>
    <mergeCell ref="VIC225:VIH225"/>
    <mergeCell ref="VEE225:VEJ225"/>
    <mergeCell ref="VEK225:VEP225"/>
    <mergeCell ref="VEQ225:VEV225"/>
    <mergeCell ref="VEW225:VFB225"/>
    <mergeCell ref="VFC225:VFH225"/>
    <mergeCell ref="VFI225:VFN225"/>
    <mergeCell ref="VFO225:VFT225"/>
    <mergeCell ref="VFU225:VFZ225"/>
    <mergeCell ref="VGA225:VGF225"/>
    <mergeCell ref="VCC225:VCH225"/>
    <mergeCell ref="VCI225:VCN225"/>
    <mergeCell ref="VCO225:VCT225"/>
    <mergeCell ref="VCU225:VCZ225"/>
    <mergeCell ref="VDA225:VDF225"/>
    <mergeCell ref="VDG225:VDL225"/>
    <mergeCell ref="VDM225:VDR225"/>
    <mergeCell ref="VDS225:VDX225"/>
    <mergeCell ref="VDY225:VED225"/>
    <mergeCell ref="VAA225:VAF225"/>
    <mergeCell ref="VAG225:VAL225"/>
    <mergeCell ref="VAM225:VAR225"/>
    <mergeCell ref="VAS225:VAX225"/>
    <mergeCell ref="VAY225:VBD225"/>
    <mergeCell ref="VBE225:VBJ225"/>
    <mergeCell ref="VBK225:VBP225"/>
    <mergeCell ref="VBQ225:VBV225"/>
    <mergeCell ref="VBW225:VCB225"/>
    <mergeCell ref="UXY225:UYD225"/>
    <mergeCell ref="UYE225:UYJ225"/>
    <mergeCell ref="UYK225:UYP225"/>
    <mergeCell ref="UYQ225:UYV225"/>
    <mergeCell ref="UYW225:UZB225"/>
    <mergeCell ref="UZC225:UZH225"/>
    <mergeCell ref="UZI225:UZN225"/>
    <mergeCell ref="UZO225:UZT225"/>
    <mergeCell ref="UZU225:UZZ225"/>
    <mergeCell ref="UVW225:UWB225"/>
    <mergeCell ref="UWC225:UWH225"/>
    <mergeCell ref="UWI225:UWN225"/>
    <mergeCell ref="UWO225:UWT225"/>
    <mergeCell ref="UWU225:UWZ225"/>
    <mergeCell ref="UXA225:UXF225"/>
    <mergeCell ref="UXG225:UXL225"/>
    <mergeCell ref="UXM225:UXR225"/>
    <mergeCell ref="UXS225:UXX225"/>
    <mergeCell ref="UTU225:UTZ225"/>
    <mergeCell ref="UUA225:UUF225"/>
    <mergeCell ref="UUG225:UUL225"/>
    <mergeCell ref="UUM225:UUR225"/>
    <mergeCell ref="UUS225:UUX225"/>
    <mergeCell ref="UUY225:UVD225"/>
    <mergeCell ref="UVE225:UVJ225"/>
    <mergeCell ref="UVK225:UVP225"/>
    <mergeCell ref="UVQ225:UVV225"/>
    <mergeCell ref="URS225:URX225"/>
    <mergeCell ref="URY225:USD225"/>
    <mergeCell ref="USE225:USJ225"/>
    <mergeCell ref="USK225:USP225"/>
    <mergeCell ref="USQ225:USV225"/>
    <mergeCell ref="USW225:UTB225"/>
    <mergeCell ref="UTC225:UTH225"/>
    <mergeCell ref="UTI225:UTN225"/>
    <mergeCell ref="UTO225:UTT225"/>
    <mergeCell ref="UPQ225:UPV225"/>
    <mergeCell ref="UPW225:UQB225"/>
    <mergeCell ref="UQC225:UQH225"/>
    <mergeCell ref="UQI225:UQN225"/>
    <mergeCell ref="UQO225:UQT225"/>
    <mergeCell ref="UQU225:UQZ225"/>
    <mergeCell ref="URA225:URF225"/>
    <mergeCell ref="URG225:URL225"/>
    <mergeCell ref="URM225:URR225"/>
    <mergeCell ref="UNO225:UNT225"/>
    <mergeCell ref="UNU225:UNZ225"/>
    <mergeCell ref="UOA225:UOF225"/>
    <mergeCell ref="UOG225:UOL225"/>
    <mergeCell ref="UOM225:UOR225"/>
    <mergeCell ref="UOS225:UOX225"/>
    <mergeCell ref="UOY225:UPD225"/>
    <mergeCell ref="UPE225:UPJ225"/>
    <mergeCell ref="UPK225:UPP225"/>
    <mergeCell ref="ULM225:ULR225"/>
    <mergeCell ref="ULS225:ULX225"/>
    <mergeCell ref="ULY225:UMD225"/>
    <mergeCell ref="UME225:UMJ225"/>
    <mergeCell ref="UMK225:UMP225"/>
    <mergeCell ref="UMQ225:UMV225"/>
    <mergeCell ref="UMW225:UNB225"/>
    <mergeCell ref="UNC225:UNH225"/>
    <mergeCell ref="UNI225:UNN225"/>
    <mergeCell ref="UJK225:UJP225"/>
    <mergeCell ref="UJQ225:UJV225"/>
    <mergeCell ref="UJW225:UKB225"/>
    <mergeCell ref="UKC225:UKH225"/>
    <mergeCell ref="UKI225:UKN225"/>
    <mergeCell ref="UKO225:UKT225"/>
    <mergeCell ref="UKU225:UKZ225"/>
    <mergeCell ref="ULA225:ULF225"/>
    <mergeCell ref="ULG225:ULL225"/>
    <mergeCell ref="UHI225:UHN225"/>
    <mergeCell ref="UHO225:UHT225"/>
    <mergeCell ref="UHU225:UHZ225"/>
    <mergeCell ref="UIA225:UIF225"/>
    <mergeCell ref="UIG225:UIL225"/>
    <mergeCell ref="UIM225:UIR225"/>
    <mergeCell ref="UIS225:UIX225"/>
    <mergeCell ref="UIY225:UJD225"/>
    <mergeCell ref="UJE225:UJJ225"/>
    <mergeCell ref="UFG225:UFL225"/>
    <mergeCell ref="UFM225:UFR225"/>
    <mergeCell ref="UFS225:UFX225"/>
    <mergeCell ref="UFY225:UGD225"/>
    <mergeCell ref="UGE225:UGJ225"/>
    <mergeCell ref="UGK225:UGP225"/>
    <mergeCell ref="UGQ225:UGV225"/>
    <mergeCell ref="UGW225:UHB225"/>
    <mergeCell ref="UHC225:UHH225"/>
    <mergeCell ref="UDE225:UDJ225"/>
    <mergeCell ref="UDK225:UDP225"/>
    <mergeCell ref="UDQ225:UDV225"/>
    <mergeCell ref="UDW225:UEB225"/>
    <mergeCell ref="UEC225:UEH225"/>
    <mergeCell ref="UEI225:UEN225"/>
    <mergeCell ref="UEO225:UET225"/>
    <mergeCell ref="UEU225:UEZ225"/>
    <mergeCell ref="UFA225:UFF225"/>
    <mergeCell ref="UBC225:UBH225"/>
    <mergeCell ref="UBI225:UBN225"/>
    <mergeCell ref="UBO225:UBT225"/>
    <mergeCell ref="UBU225:UBZ225"/>
    <mergeCell ref="UCA225:UCF225"/>
    <mergeCell ref="UCG225:UCL225"/>
    <mergeCell ref="UCM225:UCR225"/>
    <mergeCell ref="UCS225:UCX225"/>
    <mergeCell ref="UCY225:UDD225"/>
    <mergeCell ref="TZA225:TZF225"/>
    <mergeCell ref="TZG225:TZL225"/>
    <mergeCell ref="TZM225:TZR225"/>
    <mergeCell ref="TZS225:TZX225"/>
    <mergeCell ref="TZY225:UAD225"/>
    <mergeCell ref="UAE225:UAJ225"/>
    <mergeCell ref="UAK225:UAP225"/>
    <mergeCell ref="UAQ225:UAV225"/>
    <mergeCell ref="UAW225:UBB225"/>
    <mergeCell ref="TWY225:TXD225"/>
    <mergeCell ref="TXE225:TXJ225"/>
    <mergeCell ref="TXK225:TXP225"/>
    <mergeCell ref="TXQ225:TXV225"/>
    <mergeCell ref="TXW225:TYB225"/>
    <mergeCell ref="TYC225:TYH225"/>
    <mergeCell ref="TYI225:TYN225"/>
    <mergeCell ref="TYO225:TYT225"/>
    <mergeCell ref="TYU225:TYZ225"/>
    <mergeCell ref="TUW225:TVB225"/>
    <mergeCell ref="TVC225:TVH225"/>
    <mergeCell ref="TVI225:TVN225"/>
    <mergeCell ref="TVO225:TVT225"/>
    <mergeCell ref="TVU225:TVZ225"/>
    <mergeCell ref="TWA225:TWF225"/>
    <mergeCell ref="TWG225:TWL225"/>
    <mergeCell ref="TWM225:TWR225"/>
    <mergeCell ref="TWS225:TWX225"/>
    <mergeCell ref="TSU225:TSZ225"/>
    <mergeCell ref="TTA225:TTF225"/>
    <mergeCell ref="TTG225:TTL225"/>
    <mergeCell ref="TTM225:TTR225"/>
    <mergeCell ref="TTS225:TTX225"/>
    <mergeCell ref="TTY225:TUD225"/>
    <mergeCell ref="TUE225:TUJ225"/>
    <mergeCell ref="TUK225:TUP225"/>
    <mergeCell ref="TUQ225:TUV225"/>
    <mergeCell ref="TQS225:TQX225"/>
    <mergeCell ref="TQY225:TRD225"/>
    <mergeCell ref="TRE225:TRJ225"/>
    <mergeCell ref="TRK225:TRP225"/>
    <mergeCell ref="TRQ225:TRV225"/>
    <mergeCell ref="TRW225:TSB225"/>
    <mergeCell ref="TSC225:TSH225"/>
    <mergeCell ref="TSI225:TSN225"/>
    <mergeCell ref="TSO225:TST225"/>
    <mergeCell ref="TOQ225:TOV225"/>
    <mergeCell ref="TOW225:TPB225"/>
    <mergeCell ref="TPC225:TPH225"/>
    <mergeCell ref="TPI225:TPN225"/>
    <mergeCell ref="TPO225:TPT225"/>
    <mergeCell ref="TPU225:TPZ225"/>
    <mergeCell ref="TQA225:TQF225"/>
    <mergeCell ref="TQG225:TQL225"/>
    <mergeCell ref="TQM225:TQR225"/>
    <mergeCell ref="TMO225:TMT225"/>
    <mergeCell ref="TMU225:TMZ225"/>
    <mergeCell ref="TNA225:TNF225"/>
    <mergeCell ref="TNG225:TNL225"/>
    <mergeCell ref="TNM225:TNR225"/>
    <mergeCell ref="TNS225:TNX225"/>
    <mergeCell ref="TNY225:TOD225"/>
    <mergeCell ref="TOE225:TOJ225"/>
    <mergeCell ref="TOK225:TOP225"/>
    <mergeCell ref="TKM225:TKR225"/>
    <mergeCell ref="TKS225:TKX225"/>
    <mergeCell ref="TKY225:TLD225"/>
    <mergeCell ref="TLE225:TLJ225"/>
    <mergeCell ref="TLK225:TLP225"/>
    <mergeCell ref="TLQ225:TLV225"/>
    <mergeCell ref="TLW225:TMB225"/>
    <mergeCell ref="TMC225:TMH225"/>
    <mergeCell ref="TMI225:TMN225"/>
    <mergeCell ref="TIK225:TIP225"/>
    <mergeCell ref="TIQ225:TIV225"/>
    <mergeCell ref="TIW225:TJB225"/>
    <mergeCell ref="TJC225:TJH225"/>
    <mergeCell ref="TJI225:TJN225"/>
    <mergeCell ref="TJO225:TJT225"/>
    <mergeCell ref="TJU225:TJZ225"/>
    <mergeCell ref="TKA225:TKF225"/>
    <mergeCell ref="TKG225:TKL225"/>
    <mergeCell ref="TGI225:TGN225"/>
    <mergeCell ref="TGO225:TGT225"/>
    <mergeCell ref="TGU225:TGZ225"/>
    <mergeCell ref="THA225:THF225"/>
    <mergeCell ref="THG225:THL225"/>
    <mergeCell ref="THM225:THR225"/>
    <mergeCell ref="THS225:THX225"/>
    <mergeCell ref="THY225:TID225"/>
    <mergeCell ref="TIE225:TIJ225"/>
    <mergeCell ref="TEG225:TEL225"/>
    <mergeCell ref="TEM225:TER225"/>
    <mergeCell ref="TES225:TEX225"/>
    <mergeCell ref="TEY225:TFD225"/>
    <mergeCell ref="TFE225:TFJ225"/>
    <mergeCell ref="TFK225:TFP225"/>
    <mergeCell ref="TFQ225:TFV225"/>
    <mergeCell ref="TFW225:TGB225"/>
    <mergeCell ref="TGC225:TGH225"/>
    <mergeCell ref="TCE225:TCJ225"/>
    <mergeCell ref="TCK225:TCP225"/>
    <mergeCell ref="TCQ225:TCV225"/>
    <mergeCell ref="TCW225:TDB225"/>
    <mergeCell ref="TDC225:TDH225"/>
    <mergeCell ref="TDI225:TDN225"/>
    <mergeCell ref="TDO225:TDT225"/>
    <mergeCell ref="TDU225:TDZ225"/>
    <mergeCell ref="TEA225:TEF225"/>
    <mergeCell ref="TAC225:TAH225"/>
    <mergeCell ref="TAI225:TAN225"/>
    <mergeCell ref="TAO225:TAT225"/>
    <mergeCell ref="TAU225:TAZ225"/>
    <mergeCell ref="TBA225:TBF225"/>
    <mergeCell ref="TBG225:TBL225"/>
    <mergeCell ref="TBM225:TBR225"/>
    <mergeCell ref="TBS225:TBX225"/>
    <mergeCell ref="TBY225:TCD225"/>
    <mergeCell ref="SYA225:SYF225"/>
    <mergeCell ref="SYG225:SYL225"/>
    <mergeCell ref="SYM225:SYR225"/>
    <mergeCell ref="SYS225:SYX225"/>
    <mergeCell ref="SYY225:SZD225"/>
    <mergeCell ref="SZE225:SZJ225"/>
    <mergeCell ref="SZK225:SZP225"/>
    <mergeCell ref="SZQ225:SZV225"/>
    <mergeCell ref="SZW225:TAB225"/>
    <mergeCell ref="SVY225:SWD225"/>
    <mergeCell ref="SWE225:SWJ225"/>
    <mergeCell ref="SWK225:SWP225"/>
    <mergeCell ref="SWQ225:SWV225"/>
    <mergeCell ref="SWW225:SXB225"/>
    <mergeCell ref="SXC225:SXH225"/>
    <mergeCell ref="SXI225:SXN225"/>
    <mergeCell ref="SXO225:SXT225"/>
    <mergeCell ref="SXU225:SXZ225"/>
    <mergeCell ref="STW225:SUB225"/>
    <mergeCell ref="SUC225:SUH225"/>
    <mergeCell ref="SUI225:SUN225"/>
    <mergeCell ref="SUO225:SUT225"/>
    <mergeCell ref="SUU225:SUZ225"/>
    <mergeCell ref="SVA225:SVF225"/>
    <mergeCell ref="SVG225:SVL225"/>
    <mergeCell ref="SVM225:SVR225"/>
    <mergeCell ref="SVS225:SVX225"/>
    <mergeCell ref="SRU225:SRZ225"/>
    <mergeCell ref="SSA225:SSF225"/>
    <mergeCell ref="SSG225:SSL225"/>
    <mergeCell ref="SSM225:SSR225"/>
    <mergeCell ref="SSS225:SSX225"/>
    <mergeCell ref="SSY225:STD225"/>
    <mergeCell ref="STE225:STJ225"/>
    <mergeCell ref="STK225:STP225"/>
    <mergeCell ref="STQ225:STV225"/>
    <mergeCell ref="SPS225:SPX225"/>
    <mergeCell ref="SPY225:SQD225"/>
    <mergeCell ref="SQE225:SQJ225"/>
    <mergeCell ref="SQK225:SQP225"/>
    <mergeCell ref="SQQ225:SQV225"/>
    <mergeCell ref="SQW225:SRB225"/>
    <mergeCell ref="SRC225:SRH225"/>
    <mergeCell ref="SRI225:SRN225"/>
    <mergeCell ref="SRO225:SRT225"/>
    <mergeCell ref="SNQ225:SNV225"/>
    <mergeCell ref="SNW225:SOB225"/>
    <mergeCell ref="SOC225:SOH225"/>
    <mergeCell ref="SOI225:SON225"/>
    <mergeCell ref="SOO225:SOT225"/>
    <mergeCell ref="SOU225:SOZ225"/>
    <mergeCell ref="SPA225:SPF225"/>
    <mergeCell ref="SPG225:SPL225"/>
    <mergeCell ref="SPM225:SPR225"/>
    <mergeCell ref="SLO225:SLT225"/>
    <mergeCell ref="SLU225:SLZ225"/>
    <mergeCell ref="SMA225:SMF225"/>
    <mergeCell ref="SMG225:SML225"/>
    <mergeCell ref="SMM225:SMR225"/>
    <mergeCell ref="SMS225:SMX225"/>
    <mergeCell ref="SMY225:SND225"/>
    <mergeCell ref="SNE225:SNJ225"/>
    <mergeCell ref="SNK225:SNP225"/>
    <mergeCell ref="SJM225:SJR225"/>
    <mergeCell ref="SJS225:SJX225"/>
    <mergeCell ref="SJY225:SKD225"/>
    <mergeCell ref="SKE225:SKJ225"/>
    <mergeCell ref="SKK225:SKP225"/>
    <mergeCell ref="SKQ225:SKV225"/>
    <mergeCell ref="SKW225:SLB225"/>
    <mergeCell ref="SLC225:SLH225"/>
    <mergeCell ref="SLI225:SLN225"/>
    <mergeCell ref="SHK225:SHP225"/>
    <mergeCell ref="SHQ225:SHV225"/>
    <mergeCell ref="SHW225:SIB225"/>
    <mergeCell ref="SIC225:SIH225"/>
    <mergeCell ref="SII225:SIN225"/>
    <mergeCell ref="SIO225:SIT225"/>
    <mergeCell ref="SIU225:SIZ225"/>
    <mergeCell ref="SJA225:SJF225"/>
    <mergeCell ref="SJG225:SJL225"/>
    <mergeCell ref="SFI225:SFN225"/>
    <mergeCell ref="SFO225:SFT225"/>
    <mergeCell ref="SFU225:SFZ225"/>
    <mergeCell ref="SGA225:SGF225"/>
    <mergeCell ref="SGG225:SGL225"/>
    <mergeCell ref="SGM225:SGR225"/>
    <mergeCell ref="SGS225:SGX225"/>
    <mergeCell ref="SGY225:SHD225"/>
    <mergeCell ref="SHE225:SHJ225"/>
    <mergeCell ref="SDG225:SDL225"/>
    <mergeCell ref="SDM225:SDR225"/>
    <mergeCell ref="SDS225:SDX225"/>
    <mergeCell ref="SDY225:SED225"/>
    <mergeCell ref="SEE225:SEJ225"/>
    <mergeCell ref="SEK225:SEP225"/>
    <mergeCell ref="SEQ225:SEV225"/>
    <mergeCell ref="SEW225:SFB225"/>
    <mergeCell ref="SFC225:SFH225"/>
    <mergeCell ref="SBE225:SBJ225"/>
    <mergeCell ref="SBK225:SBP225"/>
    <mergeCell ref="SBQ225:SBV225"/>
    <mergeCell ref="SBW225:SCB225"/>
    <mergeCell ref="SCC225:SCH225"/>
    <mergeCell ref="SCI225:SCN225"/>
    <mergeCell ref="SCO225:SCT225"/>
    <mergeCell ref="SCU225:SCZ225"/>
    <mergeCell ref="SDA225:SDF225"/>
    <mergeCell ref="RZC225:RZH225"/>
    <mergeCell ref="RZI225:RZN225"/>
    <mergeCell ref="RZO225:RZT225"/>
    <mergeCell ref="RZU225:RZZ225"/>
    <mergeCell ref="SAA225:SAF225"/>
    <mergeCell ref="SAG225:SAL225"/>
    <mergeCell ref="SAM225:SAR225"/>
    <mergeCell ref="SAS225:SAX225"/>
    <mergeCell ref="SAY225:SBD225"/>
    <mergeCell ref="RXA225:RXF225"/>
    <mergeCell ref="RXG225:RXL225"/>
    <mergeCell ref="RXM225:RXR225"/>
    <mergeCell ref="RXS225:RXX225"/>
    <mergeCell ref="RXY225:RYD225"/>
    <mergeCell ref="RYE225:RYJ225"/>
    <mergeCell ref="RYK225:RYP225"/>
    <mergeCell ref="RYQ225:RYV225"/>
    <mergeCell ref="RYW225:RZB225"/>
    <mergeCell ref="RUY225:RVD225"/>
    <mergeCell ref="RVE225:RVJ225"/>
    <mergeCell ref="RVK225:RVP225"/>
    <mergeCell ref="RVQ225:RVV225"/>
    <mergeCell ref="RVW225:RWB225"/>
    <mergeCell ref="RWC225:RWH225"/>
    <mergeCell ref="RWI225:RWN225"/>
    <mergeCell ref="RWO225:RWT225"/>
    <mergeCell ref="RWU225:RWZ225"/>
    <mergeCell ref="RSW225:RTB225"/>
    <mergeCell ref="RTC225:RTH225"/>
    <mergeCell ref="RTI225:RTN225"/>
    <mergeCell ref="RTO225:RTT225"/>
    <mergeCell ref="RTU225:RTZ225"/>
    <mergeCell ref="RUA225:RUF225"/>
    <mergeCell ref="RUG225:RUL225"/>
    <mergeCell ref="RUM225:RUR225"/>
    <mergeCell ref="RUS225:RUX225"/>
    <mergeCell ref="RQU225:RQZ225"/>
    <mergeCell ref="RRA225:RRF225"/>
    <mergeCell ref="RRG225:RRL225"/>
    <mergeCell ref="RRM225:RRR225"/>
    <mergeCell ref="RRS225:RRX225"/>
    <mergeCell ref="RRY225:RSD225"/>
    <mergeCell ref="RSE225:RSJ225"/>
    <mergeCell ref="RSK225:RSP225"/>
    <mergeCell ref="RSQ225:RSV225"/>
    <mergeCell ref="ROS225:ROX225"/>
    <mergeCell ref="ROY225:RPD225"/>
    <mergeCell ref="RPE225:RPJ225"/>
    <mergeCell ref="RPK225:RPP225"/>
    <mergeCell ref="RPQ225:RPV225"/>
    <mergeCell ref="RPW225:RQB225"/>
    <mergeCell ref="RQC225:RQH225"/>
    <mergeCell ref="RQI225:RQN225"/>
    <mergeCell ref="RQO225:RQT225"/>
    <mergeCell ref="RMQ225:RMV225"/>
    <mergeCell ref="RMW225:RNB225"/>
    <mergeCell ref="RNC225:RNH225"/>
    <mergeCell ref="RNI225:RNN225"/>
    <mergeCell ref="RNO225:RNT225"/>
    <mergeCell ref="RNU225:RNZ225"/>
    <mergeCell ref="ROA225:ROF225"/>
    <mergeCell ref="ROG225:ROL225"/>
    <mergeCell ref="ROM225:ROR225"/>
    <mergeCell ref="RKO225:RKT225"/>
    <mergeCell ref="RKU225:RKZ225"/>
    <mergeCell ref="RLA225:RLF225"/>
    <mergeCell ref="RLG225:RLL225"/>
    <mergeCell ref="RLM225:RLR225"/>
    <mergeCell ref="RLS225:RLX225"/>
    <mergeCell ref="RLY225:RMD225"/>
    <mergeCell ref="RME225:RMJ225"/>
    <mergeCell ref="RMK225:RMP225"/>
    <mergeCell ref="RIM225:RIR225"/>
    <mergeCell ref="RIS225:RIX225"/>
    <mergeCell ref="RIY225:RJD225"/>
    <mergeCell ref="RJE225:RJJ225"/>
    <mergeCell ref="RJK225:RJP225"/>
    <mergeCell ref="RJQ225:RJV225"/>
    <mergeCell ref="RJW225:RKB225"/>
    <mergeCell ref="RKC225:RKH225"/>
    <mergeCell ref="RKI225:RKN225"/>
    <mergeCell ref="RGK225:RGP225"/>
    <mergeCell ref="RGQ225:RGV225"/>
    <mergeCell ref="RGW225:RHB225"/>
    <mergeCell ref="RHC225:RHH225"/>
    <mergeCell ref="RHI225:RHN225"/>
    <mergeCell ref="RHO225:RHT225"/>
    <mergeCell ref="RHU225:RHZ225"/>
    <mergeCell ref="RIA225:RIF225"/>
    <mergeCell ref="RIG225:RIL225"/>
    <mergeCell ref="REI225:REN225"/>
    <mergeCell ref="REO225:RET225"/>
    <mergeCell ref="REU225:REZ225"/>
    <mergeCell ref="RFA225:RFF225"/>
    <mergeCell ref="RFG225:RFL225"/>
    <mergeCell ref="RFM225:RFR225"/>
    <mergeCell ref="RFS225:RFX225"/>
    <mergeCell ref="RFY225:RGD225"/>
    <mergeCell ref="RGE225:RGJ225"/>
    <mergeCell ref="RCG225:RCL225"/>
    <mergeCell ref="RCM225:RCR225"/>
    <mergeCell ref="RCS225:RCX225"/>
    <mergeCell ref="RCY225:RDD225"/>
    <mergeCell ref="RDE225:RDJ225"/>
    <mergeCell ref="RDK225:RDP225"/>
    <mergeCell ref="RDQ225:RDV225"/>
    <mergeCell ref="RDW225:REB225"/>
    <mergeCell ref="REC225:REH225"/>
    <mergeCell ref="RAE225:RAJ225"/>
    <mergeCell ref="RAK225:RAP225"/>
    <mergeCell ref="RAQ225:RAV225"/>
    <mergeCell ref="RAW225:RBB225"/>
    <mergeCell ref="RBC225:RBH225"/>
    <mergeCell ref="RBI225:RBN225"/>
    <mergeCell ref="RBO225:RBT225"/>
    <mergeCell ref="RBU225:RBZ225"/>
    <mergeCell ref="RCA225:RCF225"/>
    <mergeCell ref="QYC225:QYH225"/>
    <mergeCell ref="QYI225:QYN225"/>
    <mergeCell ref="QYO225:QYT225"/>
    <mergeCell ref="QYU225:QYZ225"/>
    <mergeCell ref="QZA225:QZF225"/>
    <mergeCell ref="QZG225:QZL225"/>
    <mergeCell ref="QZM225:QZR225"/>
    <mergeCell ref="QZS225:QZX225"/>
    <mergeCell ref="QZY225:RAD225"/>
    <mergeCell ref="QWA225:QWF225"/>
    <mergeCell ref="QWG225:QWL225"/>
    <mergeCell ref="QWM225:QWR225"/>
    <mergeCell ref="QWS225:QWX225"/>
    <mergeCell ref="QWY225:QXD225"/>
    <mergeCell ref="QXE225:QXJ225"/>
    <mergeCell ref="QXK225:QXP225"/>
    <mergeCell ref="QXQ225:QXV225"/>
    <mergeCell ref="QXW225:QYB225"/>
    <mergeCell ref="QTY225:QUD225"/>
    <mergeCell ref="QUE225:QUJ225"/>
    <mergeCell ref="QUK225:QUP225"/>
    <mergeCell ref="QUQ225:QUV225"/>
    <mergeCell ref="QUW225:QVB225"/>
    <mergeCell ref="QVC225:QVH225"/>
    <mergeCell ref="QVI225:QVN225"/>
    <mergeCell ref="QVO225:QVT225"/>
    <mergeCell ref="QVU225:QVZ225"/>
    <mergeCell ref="QRW225:QSB225"/>
    <mergeCell ref="QSC225:QSH225"/>
    <mergeCell ref="QSI225:QSN225"/>
    <mergeCell ref="QSO225:QST225"/>
    <mergeCell ref="QSU225:QSZ225"/>
    <mergeCell ref="QTA225:QTF225"/>
    <mergeCell ref="QTG225:QTL225"/>
    <mergeCell ref="QTM225:QTR225"/>
    <mergeCell ref="QTS225:QTX225"/>
    <mergeCell ref="QPU225:QPZ225"/>
    <mergeCell ref="QQA225:QQF225"/>
    <mergeCell ref="QQG225:QQL225"/>
    <mergeCell ref="QQM225:QQR225"/>
    <mergeCell ref="QQS225:QQX225"/>
    <mergeCell ref="QQY225:QRD225"/>
    <mergeCell ref="QRE225:QRJ225"/>
    <mergeCell ref="QRK225:QRP225"/>
    <mergeCell ref="QRQ225:QRV225"/>
    <mergeCell ref="QNS225:QNX225"/>
    <mergeCell ref="QNY225:QOD225"/>
    <mergeCell ref="QOE225:QOJ225"/>
    <mergeCell ref="QOK225:QOP225"/>
    <mergeCell ref="QOQ225:QOV225"/>
    <mergeCell ref="QOW225:QPB225"/>
    <mergeCell ref="QPC225:QPH225"/>
    <mergeCell ref="QPI225:QPN225"/>
    <mergeCell ref="QPO225:QPT225"/>
    <mergeCell ref="QLQ225:QLV225"/>
    <mergeCell ref="QLW225:QMB225"/>
    <mergeCell ref="QMC225:QMH225"/>
    <mergeCell ref="QMI225:QMN225"/>
    <mergeCell ref="QMO225:QMT225"/>
    <mergeCell ref="QMU225:QMZ225"/>
    <mergeCell ref="QNA225:QNF225"/>
    <mergeCell ref="QNG225:QNL225"/>
    <mergeCell ref="QNM225:QNR225"/>
    <mergeCell ref="QJO225:QJT225"/>
    <mergeCell ref="QJU225:QJZ225"/>
    <mergeCell ref="QKA225:QKF225"/>
    <mergeCell ref="QKG225:QKL225"/>
    <mergeCell ref="QKM225:QKR225"/>
    <mergeCell ref="QKS225:QKX225"/>
    <mergeCell ref="QKY225:QLD225"/>
    <mergeCell ref="QLE225:QLJ225"/>
    <mergeCell ref="QLK225:QLP225"/>
    <mergeCell ref="QHM225:QHR225"/>
    <mergeCell ref="QHS225:QHX225"/>
    <mergeCell ref="QHY225:QID225"/>
    <mergeCell ref="QIE225:QIJ225"/>
    <mergeCell ref="QIK225:QIP225"/>
    <mergeCell ref="QIQ225:QIV225"/>
    <mergeCell ref="QIW225:QJB225"/>
    <mergeCell ref="QJC225:QJH225"/>
    <mergeCell ref="QJI225:QJN225"/>
    <mergeCell ref="QFK225:QFP225"/>
    <mergeCell ref="QFQ225:QFV225"/>
    <mergeCell ref="QFW225:QGB225"/>
    <mergeCell ref="QGC225:QGH225"/>
    <mergeCell ref="QGI225:QGN225"/>
    <mergeCell ref="QGO225:QGT225"/>
    <mergeCell ref="QGU225:QGZ225"/>
    <mergeCell ref="QHA225:QHF225"/>
    <mergeCell ref="QHG225:QHL225"/>
    <mergeCell ref="QDI225:QDN225"/>
    <mergeCell ref="QDO225:QDT225"/>
    <mergeCell ref="QDU225:QDZ225"/>
    <mergeCell ref="QEA225:QEF225"/>
    <mergeCell ref="QEG225:QEL225"/>
    <mergeCell ref="QEM225:QER225"/>
    <mergeCell ref="QES225:QEX225"/>
    <mergeCell ref="QEY225:QFD225"/>
    <mergeCell ref="QFE225:QFJ225"/>
    <mergeCell ref="QBG225:QBL225"/>
    <mergeCell ref="QBM225:QBR225"/>
    <mergeCell ref="QBS225:QBX225"/>
    <mergeCell ref="QBY225:QCD225"/>
    <mergeCell ref="QCE225:QCJ225"/>
    <mergeCell ref="QCK225:QCP225"/>
    <mergeCell ref="QCQ225:QCV225"/>
    <mergeCell ref="QCW225:QDB225"/>
    <mergeCell ref="QDC225:QDH225"/>
    <mergeCell ref="PZE225:PZJ225"/>
    <mergeCell ref="PZK225:PZP225"/>
    <mergeCell ref="PZQ225:PZV225"/>
    <mergeCell ref="PZW225:QAB225"/>
    <mergeCell ref="QAC225:QAH225"/>
    <mergeCell ref="QAI225:QAN225"/>
    <mergeCell ref="QAO225:QAT225"/>
    <mergeCell ref="QAU225:QAZ225"/>
    <mergeCell ref="QBA225:QBF225"/>
    <mergeCell ref="PXC225:PXH225"/>
    <mergeCell ref="PXI225:PXN225"/>
    <mergeCell ref="PXO225:PXT225"/>
    <mergeCell ref="PXU225:PXZ225"/>
    <mergeCell ref="PYA225:PYF225"/>
    <mergeCell ref="PYG225:PYL225"/>
    <mergeCell ref="PYM225:PYR225"/>
    <mergeCell ref="PYS225:PYX225"/>
    <mergeCell ref="PYY225:PZD225"/>
    <mergeCell ref="PVA225:PVF225"/>
    <mergeCell ref="PVG225:PVL225"/>
    <mergeCell ref="PVM225:PVR225"/>
    <mergeCell ref="PVS225:PVX225"/>
    <mergeCell ref="PVY225:PWD225"/>
    <mergeCell ref="PWE225:PWJ225"/>
    <mergeCell ref="PWK225:PWP225"/>
    <mergeCell ref="PWQ225:PWV225"/>
    <mergeCell ref="PWW225:PXB225"/>
    <mergeCell ref="PSY225:PTD225"/>
    <mergeCell ref="PTE225:PTJ225"/>
    <mergeCell ref="PTK225:PTP225"/>
    <mergeCell ref="PTQ225:PTV225"/>
    <mergeCell ref="PTW225:PUB225"/>
    <mergeCell ref="PUC225:PUH225"/>
    <mergeCell ref="PUI225:PUN225"/>
    <mergeCell ref="PUO225:PUT225"/>
    <mergeCell ref="PUU225:PUZ225"/>
    <mergeCell ref="PQW225:PRB225"/>
    <mergeCell ref="PRC225:PRH225"/>
    <mergeCell ref="PRI225:PRN225"/>
    <mergeCell ref="PRO225:PRT225"/>
    <mergeCell ref="PRU225:PRZ225"/>
    <mergeCell ref="PSA225:PSF225"/>
    <mergeCell ref="PSG225:PSL225"/>
    <mergeCell ref="PSM225:PSR225"/>
    <mergeCell ref="PSS225:PSX225"/>
    <mergeCell ref="POU225:POZ225"/>
    <mergeCell ref="PPA225:PPF225"/>
    <mergeCell ref="PPG225:PPL225"/>
    <mergeCell ref="PPM225:PPR225"/>
    <mergeCell ref="PPS225:PPX225"/>
    <mergeCell ref="PPY225:PQD225"/>
    <mergeCell ref="PQE225:PQJ225"/>
    <mergeCell ref="PQK225:PQP225"/>
    <mergeCell ref="PQQ225:PQV225"/>
    <mergeCell ref="PMS225:PMX225"/>
    <mergeCell ref="PMY225:PND225"/>
    <mergeCell ref="PNE225:PNJ225"/>
    <mergeCell ref="PNK225:PNP225"/>
    <mergeCell ref="PNQ225:PNV225"/>
    <mergeCell ref="PNW225:POB225"/>
    <mergeCell ref="POC225:POH225"/>
    <mergeCell ref="POI225:PON225"/>
    <mergeCell ref="POO225:POT225"/>
    <mergeCell ref="PKQ225:PKV225"/>
    <mergeCell ref="PKW225:PLB225"/>
    <mergeCell ref="PLC225:PLH225"/>
    <mergeCell ref="PLI225:PLN225"/>
    <mergeCell ref="PLO225:PLT225"/>
    <mergeCell ref="PLU225:PLZ225"/>
    <mergeCell ref="PMA225:PMF225"/>
    <mergeCell ref="PMG225:PML225"/>
    <mergeCell ref="PMM225:PMR225"/>
    <mergeCell ref="PIO225:PIT225"/>
    <mergeCell ref="PIU225:PIZ225"/>
    <mergeCell ref="PJA225:PJF225"/>
    <mergeCell ref="PJG225:PJL225"/>
    <mergeCell ref="PJM225:PJR225"/>
    <mergeCell ref="PJS225:PJX225"/>
    <mergeCell ref="PJY225:PKD225"/>
    <mergeCell ref="PKE225:PKJ225"/>
    <mergeCell ref="PKK225:PKP225"/>
    <mergeCell ref="PGM225:PGR225"/>
    <mergeCell ref="PGS225:PGX225"/>
    <mergeCell ref="PGY225:PHD225"/>
    <mergeCell ref="PHE225:PHJ225"/>
    <mergeCell ref="PHK225:PHP225"/>
    <mergeCell ref="PHQ225:PHV225"/>
    <mergeCell ref="PHW225:PIB225"/>
    <mergeCell ref="PIC225:PIH225"/>
    <mergeCell ref="PII225:PIN225"/>
    <mergeCell ref="PEK225:PEP225"/>
    <mergeCell ref="PEQ225:PEV225"/>
    <mergeCell ref="PEW225:PFB225"/>
    <mergeCell ref="PFC225:PFH225"/>
    <mergeCell ref="PFI225:PFN225"/>
    <mergeCell ref="PFO225:PFT225"/>
    <mergeCell ref="PFU225:PFZ225"/>
    <mergeCell ref="PGA225:PGF225"/>
    <mergeCell ref="PGG225:PGL225"/>
    <mergeCell ref="PCI225:PCN225"/>
    <mergeCell ref="PCO225:PCT225"/>
    <mergeCell ref="PCU225:PCZ225"/>
    <mergeCell ref="PDA225:PDF225"/>
    <mergeCell ref="PDG225:PDL225"/>
    <mergeCell ref="PDM225:PDR225"/>
    <mergeCell ref="PDS225:PDX225"/>
    <mergeCell ref="PDY225:PED225"/>
    <mergeCell ref="PEE225:PEJ225"/>
    <mergeCell ref="PAG225:PAL225"/>
    <mergeCell ref="PAM225:PAR225"/>
    <mergeCell ref="PAS225:PAX225"/>
    <mergeCell ref="PAY225:PBD225"/>
    <mergeCell ref="PBE225:PBJ225"/>
    <mergeCell ref="PBK225:PBP225"/>
    <mergeCell ref="PBQ225:PBV225"/>
    <mergeCell ref="PBW225:PCB225"/>
    <mergeCell ref="PCC225:PCH225"/>
    <mergeCell ref="OYE225:OYJ225"/>
    <mergeCell ref="OYK225:OYP225"/>
    <mergeCell ref="OYQ225:OYV225"/>
    <mergeCell ref="OYW225:OZB225"/>
    <mergeCell ref="OZC225:OZH225"/>
    <mergeCell ref="OZI225:OZN225"/>
    <mergeCell ref="OZO225:OZT225"/>
    <mergeCell ref="OZU225:OZZ225"/>
    <mergeCell ref="PAA225:PAF225"/>
    <mergeCell ref="OWC225:OWH225"/>
    <mergeCell ref="OWI225:OWN225"/>
    <mergeCell ref="OWO225:OWT225"/>
    <mergeCell ref="OWU225:OWZ225"/>
    <mergeCell ref="OXA225:OXF225"/>
    <mergeCell ref="OXG225:OXL225"/>
    <mergeCell ref="OXM225:OXR225"/>
    <mergeCell ref="OXS225:OXX225"/>
    <mergeCell ref="OXY225:OYD225"/>
    <mergeCell ref="OUA225:OUF225"/>
    <mergeCell ref="OUG225:OUL225"/>
    <mergeCell ref="OUM225:OUR225"/>
    <mergeCell ref="OUS225:OUX225"/>
    <mergeCell ref="OUY225:OVD225"/>
    <mergeCell ref="OVE225:OVJ225"/>
    <mergeCell ref="OVK225:OVP225"/>
    <mergeCell ref="OVQ225:OVV225"/>
    <mergeCell ref="OVW225:OWB225"/>
    <mergeCell ref="ORY225:OSD225"/>
    <mergeCell ref="OSE225:OSJ225"/>
    <mergeCell ref="OSK225:OSP225"/>
    <mergeCell ref="OSQ225:OSV225"/>
    <mergeCell ref="OSW225:OTB225"/>
    <mergeCell ref="OTC225:OTH225"/>
    <mergeCell ref="OTI225:OTN225"/>
    <mergeCell ref="OTO225:OTT225"/>
    <mergeCell ref="OTU225:OTZ225"/>
    <mergeCell ref="OPW225:OQB225"/>
    <mergeCell ref="OQC225:OQH225"/>
    <mergeCell ref="OQI225:OQN225"/>
    <mergeCell ref="OQO225:OQT225"/>
    <mergeCell ref="OQU225:OQZ225"/>
    <mergeCell ref="ORA225:ORF225"/>
    <mergeCell ref="ORG225:ORL225"/>
    <mergeCell ref="ORM225:ORR225"/>
    <mergeCell ref="ORS225:ORX225"/>
    <mergeCell ref="ONU225:ONZ225"/>
    <mergeCell ref="OOA225:OOF225"/>
    <mergeCell ref="OOG225:OOL225"/>
    <mergeCell ref="OOM225:OOR225"/>
    <mergeCell ref="OOS225:OOX225"/>
    <mergeCell ref="OOY225:OPD225"/>
    <mergeCell ref="OPE225:OPJ225"/>
    <mergeCell ref="OPK225:OPP225"/>
    <mergeCell ref="OPQ225:OPV225"/>
    <mergeCell ref="OLS225:OLX225"/>
    <mergeCell ref="OLY225:OMD225"/>
    <mergeCell ref="OME225:OMJ225"/>
    <mergeCell ref="OMK225:OMP225"/>
    <mergeCell ref="OMQ225:OMV225"/>
    <mergeCell ref="OMW225:ONB225"/>
    <mergeCell ref="ONC225:ONH225"/>
    <mergeCell ref="ONI225:ONN225"/>
    <mergeCell ref="ONO225:ONT225"/>
    <mergeCell ref="OJQ225:OJV225"/>
    <mergeCell ref="OJW225:OKB225"/>
    <mergeCell ref="OKC225:OKH225"/>
    <mergeCell ref="OKI225:OKN225"/>
    <mergeCell ref="OKO225:OKT225"/>
    <mergeCell ref="OKU225:OKZ225"/>
    <mergeCell ref="OLA225:OLF225"/>
    <mergeCell ref="OLG225:OLL225"/>
    <mergeCell ref="OLM225:OLR225"/>
    <mergeCell ref="OHO225:OHT225"/>
    <mergeCell ref="OHU225:OHZ225"/>
    <mergeCell ref="OIA225:OIF225"/>
    <mergeCell ref="OIG225:OIL225"/>
    <mergeCell ref="OIM225:OIR225"/>
    <mergeCell ref="OIS225:OIX225"/>
    <mergeCell ref="OIY225:OJD225"/>
    <mergeCell ref="OJE225:OJJ225"/>
    <mergeCell ref="OJK225:OJP225"/>
    <mergeCell ref="OFM225:OFR225"/>
    <mergeCell ref="OFS225:OFX225"/>
    <mergeCell ref="OFY225:OGD225"/>
    <mergeCell ref="OGE225:OGJ225"/>
    <mergeCell ref="OGK225:OGP225"/>
    <mergeCell ref="OGQ225:OGV225"/>
    <mergeCell ref="OGW225:OHB225"/>
    <mergeCell ref="OHC225:OHH225"/>
    <mergeCell ref="OHI225:OHN225"/>
    <mergeCell ref="ODK225:ODP225"/>
    <mergeCell ref="ODQ225:ODV225"/>
    <mergeCell ref="ODW225:OEB225"/>
    <mergeCell ref="OEC225:OEH225"/>
    <mergeCell ref="OEI225:OEN225"/>
    <mergeCell ref="OEO225:OET225"/>
    <mergeCell ref="OEU225:OEZ225"/>
    <mergeCell ref="OFA225:OFF225"/>
    <mergeCell ref="OFG225:OFL225"/>
    <mergeCell ref="OBI225:OBN225"/>
    <mergeCell ref="OBO225:OBT225"/>
    <mergeCell ref="OBU225:OBZ225"/>
    <mergeCell ref="OCA225:OCF225"/>
    <mergeCell ref="OCG225:OCL225"/>
    <mergeCell ref="OCM225:OCR225"/>
    <mergeCell ref="OCS225:OCX225"/>
    <mergeCell ref="OCY225:ODD225"/>
    <mergeCell ref="ODE225:ODJ225"/>
    <mergeCell ref="NZG225:NZL225"/>
    <mergeCell ref="NZM225:NZR225"/>
    <mergeCell ref="NZS225:NZX225"/>
    <mergeCell ref="NZY225:OAD225"/>
    <mergeCell ref="OAE225:OAJ225"/>
    <mergeCell ref="OAK225:OAP225"/>
    <mergeCell ref="OAQ225:OAV225"/>
    <mergeCell ref="OAW225:OBB225"/>
    <mergeCell ref="OBC225:OBH225"/>
    <mergeCell ref="NXE225:NXJ225"/>
    <mergeCell ref="NXK225:NXP225"/>
    <mergeCell ref="NXQ225:NXV225"/>
    <mergeCell ref="NXW225:NYB225"/>
    <mergeCell ref="NYC225:NYH225"/>
    <mergeCell ref="NYI225:NYN225"/>
    <mergeCell ref="NYO225:NYT225"/>
    <mergeCell ref="NYU225:NYZ225"/>
    <mergeCell ref="NZA225:NZF225"/>
    <mergeCell ref="NVC225:NVH225"/>
    <mergeCell ref="NVI225:NVN225"/>
    <mergeCell ref="NVO225:NVT225"/>
    <mergeCell ref="NVU225:NVZ225"/>
    <mergeCell ref="NWA225:NWF225"/>
    <mergeCell ref="NWG225:NWL225"/>
    <mergeCell ref="NWM225:NWR225"/>
    <mergeCell ref="NWS225:NWX225"/>
    <mergeCell ref="NWY225:NXD225"/>
    <mergeCell ref="NTA225:NTF225"/>
    <mergeCell ref="NTG225:NTL225"/>
    <mergeCell ref="NTM225:NTR225"/>
    <mergeCell ref="NTS225:NTX225"/>
    <mergeCell ref="NTY225:NUD225"/>
    <mergeCell ref="NUE225:NUJ225"/>
    <mergeCell ref="NUK225:NUP225"/>
    <mergeCell ref="NUQ225:NUV225"/>
    <mergeCell ref="NUW225:NVB225"/>
    <mergeCell ref="NQY225:NRD225"/>
    <mergeCell ref="NRE225:NRJ225"/>
    <mergeCell ref="NRK225:NRP225"/>
    <mergeCell ref="NRQ225:NRV225"/>
    <mergeCell ref="NRW225:NSB225"/>
    <mergeCell ref="NSC225:NSH225"/>
    <mergeCell ref="NSI225:NSN225"/>
    <mergeCell ref="NSO225:NST225"/>
    <mergeCell ref="NSU225:NSZ225"/>
    <mergeCell ref="NOW225:NPB225"/>
    <mergeCell ref="NPC225:NPH225"/>
    <mergeCell ref="NPI225:NPN225"/>
    <mergeCell ref="NPO225:NPT225"/>
    <mergeCell ref="NPU225:NPZ225"/>
    <mergeCell ref="NQA225:NQF225"/>
    <mergeCell ref="NQG225:NQL225"/>
    <mergeCell ref="NQM225:NQR225"/>
    <mergeCell ref="NQS225:NQX225"/>
    <mergeCell ref="NMU225:NMZ225"/>
    <mergeCell ref="NNA225:NNF225"/>
    <mergeCell ref="NNG225:NNL225"/>
    <mergeCell ref="NNM225:NNR225"/>
    <mergeCell ref="NNS225:NNX225"/>
    <mergeCell ref="NNY225:NOD225"/>
    <mergeCell ref="NOE225:NOJ225"/>
    <mergeCell ref="NOK225:NOP225"/>
    <mergeCell ref="NOQ225:NOV225"/>
    <mergeCell ref="NKS225:NKX225"/>
    <mergeCell ref="NKY225:NLD225"/>
    <mergeCell ref="NLE225:NLJ225"/>
    <mergeCell ref="NLK225:NLP225"/>
    <mergeCell ref="NLQ225:NLV225"/>
    <mergeCell ref="NLW225:NMB225"/>
    <mergeCell ref="NMC225:NMH225"/>
    <mergeCell ref="NMI225:NMN225"/>
    <mergeCell ref="NMO225:NMT225"/>
    <mergeCell ref="NIQ225:NIV225"/>
    <mergeCell ref="NIW225:NJB225"/>
    <mergeCell ref="NJC225:NJH225"/>
    <mergeCell ref="NJI225:NJN225"/>
    <mergeCell ref="NJO225:NJT225"/>
    <mergeCell ref="NJU225:NJZ225"/>
    <mergeCell ref="NKA225:NKF225"/>
    <mergeCell ref="NKG225:NKL225"/>
    <mergeCell ref="NKM225:NKR225"/>
    <mergeCell ref="NGO225:NGT225"/>
    <mergeCell ref="NGU225:NGZ225"/>
    <mergeCell ref="NHA225:NHF225"/>
    <mergeCell ref="NHG225:NHL225"/>
    <mergeCell ref="NHM225:NHR225"/>
    <mergeCell ref="NHS225:NHX225"/>
    <mergeCell ref="NHY225:NID225"/>
    <mergeCell ref="NIE225:NIJ225"/>
    <mergeCell ref="NIK225:NIP225"/>
    <mergeCell ref="NEM225:NER225"/>
    <mergeCell ref="NES225:NEX225"/>
    <mergeCell ref="NEY225:NFD225"/>
    <mergeCell ref="NFE225:NFJ225"/>
    <mergeCell ref="NFK225:NFP225"/>
    <mergeCell ref="NFQ225:NFV225"/>
    <mergeCell ref="NFW225:NGB225"/>
    <mergeCell ref="NGC225:NGH225"/>
    <mergeCell ref="NGI225:NGN225"/>
    <mergeCell ref="NCK225:NCP225"/>
    <mergeCell ref="NCQ225:NCV225"/>
    <mergeCell ref="NCW225:NDB225"/>
    <mergeCell ref="NDC225:NDH225"/>
    <mergeCell ref="NDI225:NDN225"/>
    <mergeCell ref="NDO225:NDT225"/>
    <mergeCell ref="NDU225:NDZ225"/>
    <mergeCell ref="NEA225:NEF225"/>
    <mergeCell ref="NEG225:NEL225"/>
    <mergeCell ref="NAI225:NAN225"/>
    <mergeCell ref="NAO225:NAT225"/>
    <mergeCell ref="NAU225:NAZ225"/>
    <mergeCell ref="NBA225:NBF225"/>
    <mergeCell ref="NBG225:NBL225"/>
    <mergeCell ref="NBM225:NBR225"/>
    <mergeCell ref="NBS225:NBX225"/>
    <mergeCell ref="NBY225:NCD225"/>
    <mergeCell ref="NCE225:NCJ225"/>
    <mergeCell ref="MYG225:MYL225"/>
    <mergeCell ref="MYM225:MYR225"/>
    <mergeCell ref="MYS225:MYX225"/>
    <mergeCell ref="MYY225:MZD225"/>
    <mergeCell ref="MZE225:MZJ225"/>
    <mergeCell ref="MZK225:MZP225"/>
    <mergeCell ref="MZQ225:MZV225"/>
    <mergeCell ref="MZW225:NAB225"/>
    <mergeCell ref="NAC225:NAH225"/>
    <mergeCell ref="MWE225:MWJ225"/>
    <mergeCell ref="MWK225:MWP225"/>
    <mergeCell ref="MWQ225:MWV225"/>
    <mergeCell ref="MWW225:MXB225"/>
    <mergeCell ref="MXC225:MXH225"/>
    <mergeCell ref="MXI225:MXN225"/>
    <mergeCell ref="MXO225:MXT225"/>
    <mergeCell ref="MXU225:MXZ225"/>
    <mergeCell ref="MYA225:MYF225"/>
    <mergeCell ref="MUC225:MUH225"/>
    <mergeCell ref="MUI225:MUN225"/>
    <mergeCell ref="MUO225:MUT225"/>
    <mergeCell ref="MUU225:MUZ225"/>
    <mergeCell ref="MVA225:MVF225"/>
    <mergeCell ref="MVG225:MVL225"/>
    <mergeCell ref="MVM225:MVR225"/>
    <mergeCell ref="MVS225:MVX225"/>
    <mergeCell ref="MVY225:MWD225"/>
    <mergeCell ref="MSA225:MSF225"/>
    <mergeCell ref="MSG225:MSL225"/>
    <mergeCell ref="MSM225:MSR225"/>
    <mergeCell ref="MSS225:MSX225"/>
    <mergeCell ref="MSY225:MTD225"/>
    <mergeCell ref="MTE225:MTJ225"/>
    <mergeCell ref="MTK225:MTP225"/>
    <mergeCell ref="MTQ225:MTV225"/>
    <mergeCell ref="MTW225:MUB225"/>
    <mergeCell ref="MPY225:MQD225"/>
    <mergeCell ref="MQE225:MQJ225"/>
    <mergeCell ref="MQK225:MQP225"/>
    <mergeCell ref="MQQ225:MQV225"/>
    <mergeCell ref="MQW225:MRB225"/>
    <mergeCell ref="MRC225:MRH225"/>
    <mergeCell ref="MRI225:MRN225"/>
    <mergeCell ref="MRO225:MRT225"/>
    <mergeCell ref="MRU225:MRZ225"/>
    <mergeCell ref="MNW225:MOB225"/>
    <mergeCell ref="MOC225:MOH225"/>
    <mergeCell ref="MOI225:MON225"/>
    <mergeCell ref="MOO225:MOT225"/>
    <mergeCell ref="MOU225:MOZ225"/>
    <mergeCell ref="MPA225:MPF225"/>
    <mergeCell ref="MPG225:MPL225"/>
    <mergeCell ref="MPM225:MPR225"/>
    <mergeCell ref="MPS225:MPX225"/>
    <mergeCell ref="MLU225:MLZ225"/>
    <mergeCell ref="MMA225:MMF225"/>
    <mergeCell ref="MMG225:MML225"/>
    <mergeCell ref="MMM225:MMR225"/>
    <mergeCell ref="MMS225:MMX225"/>
    <mergeCell ref="MMY225:MND225"/>
    <mergeCell ref="MNE225:MNJ225"/>
    <mergeCell ref="MNK225:MNP225"/>
    <mergeCell ref="MNQ225:MNV225"/>
    <mergeCell ref="MJS225:MJX225"/>
    <mergeCell ref="MJY225:MKD225"/>
    <mergeCell ref="MKE225:MKJ225"/>
    <mergeCell ref="MKK225:MKP225"/>
    <mergeCell ref="MKQ225:MKV225"/>
    <mergeCell ref="MKW225:MLB225"/>
    <mergeCell ref="MLC225:MLH225"/>
    <mergeCell ref="MLI225:MLN225"/>
    <mergeCell ref="MLO225:MLT225"/>
    <mergeCell ref="MHQ225:MHV225"/>
    <mergeCell ref="MHW225:MIB225"/>
    <mergeCell ref="MIC225:MIH225"/>
    <mergeCell ref="MII225:MIN225"/>
    <mergeCell ref="MIO225:MIT225"/>
    <mergeCell ref="MIU225:MIZ225"/>
    <mergeCell ref="MJA225:MJF225"/>
    <mergeCell ref="MJG225:MJL225"/>
    <mergeCell ref="MJM225:MJR225"/>
    <mergeCell ref="MFO225:MFT225"/>
    <mergeCell ref="MFU225:MFZ225"/>
    <mergeCell ref="MGA225:MGF225"/>
    <mergeCell ref="MGG225:MGL225"/>
    <mergeCell ref="MGM225:MGR225"/>
    <mergeCell ref="MGS225:MGX225"/>
    <mergeCell ref="MGY225:MHD225"/>
    <mergeCell ref="MHE225:MHJ225"/>
    <mergeCell ref="MHK225:MHP225"/>
    <mergeCell ref="MDM225:MDR225"/>
    <mergeCell ref="MDS225:MDX225"/>
    <mergeCell ref="MDY225:MED225"/>
    <mergeCell ref="MEE225:MEJ225"/>
    <mergeCell ref="MEK225:MEP225"/>
    <mergeCell ref="MEQ225:MEV225"/>
    <mergeCell ref="MEW225:MFB225"/>
    <mergeCell ref="MFC225:MFH225"/>
    <mergeCell ref="MFI225:MFN225"/>
    <mergeCell ref="MBK225:MBP225"/>
    <mergeCell ref="MBQ225:MBV225"/>
    <mergeCell ref="MBW225:MCB225"/>
    <mergeCell ref="MCC225:MCH225"/>
    <mergeCell ref="MCI225:MCN225"/>
    <mergeCell ref="MCO225:MCT225"/>
    <mergeCell ref="MCU225:MCZ225"/>
    <mergeCell ref="MDA225:MDF225"/>
    <mergeCell ref="MDG225:MDL225"/>
    <mergeCell ref="LZI225:LZN225"/>
    <mergeCell ref="LZO225:LZT225"/>
    <mergeCell ref="LZU225:LZZ225"/>
    <mergeCell ref="MAA225:MAF225"/>
    <mergeCell ref="MAG225:MAL225"/>
    <mergeCell ref="MAM225:MAR225"/>
    <mergeCell ref="MAS225:MAX225"/>
    <mergeCell ref="MAY225:MBD225"/>
    <mergeCell ref="MBE225:MBJ225"/>
    <mergeCell ref="LXG225:LXL225"/>
    <mergeCell ref="LXM225:LXR225"/>
    <mergeCell ref="LXS225:LXX225"/>
    <mergeCell ref="LXY225:LYD225"/>
    <mergeCell ref="LYE225:LYJ225"/>
    <mergeCell ref="LYK225:LYP225"/>
    <mergeCell ref="LYQ225:LYV225"/>
    <mergeCell ref="LYW225:LZB225"/>
    <mergeCell ref="LZC225:LZH225"/>
    <mergeCell ref="LVE225:LVJ225"/>
    <mergeCell ref="LVK225:LVP225"/>
    <mergeCell ref="LVQ225:LVV225"/>
    <mergeCell ref="LVW225:LWB225"/>
    <mergeCell ref="LWC225:LWH225"/>
    <mergeCell ref="LWI225:LWN225"/>
    <mergeCell ref="LWO225:LWT225"/>
    <mergeCell ref="LWU225:LWZ225"/>
    <mergeCell ref="LXA225:LXF225"/>
    <mergeCell ref="LTC225:LTH225"/>
    <mergeCell ref="LTI225:LTN225"/>
    <mergeCell ref="LTO225:LTT225"/>
    <mergeCell ref="LTU225:LTZ225"/>
    <mergeCell ref="LUA225:LUF225"/>
    <mergeCell ref="LUG225:LUL225"/>
    <mergeCell ref="LUM225:LUR225"/>
    <mergeCell ref="LUS225:LUX225"/>
    <mergeCell ref="LUY225:LVD225"/>
    <mergeCell ref="LRA225:LRF225"/>
    <mergeCell ref="LRG225:LRL225"/>
    <mergeCell ref="LRM225:LRR225"/>
    <mergeCell ref="LRS225:LRX225"/>
    <mergeCell ref="LRY225:LSD225"/>
    <mergeCell ref="LSE225:LSJ225"/>
    <mergeCell ref="LSK225:LSP225"/>
    <mergeCell ref="LSQ225:LSV225"/>
    <mergeCell ref="LSW225:LTB225"/>
    <mergeCell ref="LOY225:LPD225"/>
    <mergeCell ref="LPE225:LPJ225"/>
    <mergeCell ref="LPK225:LPP225"/>
    <mergeCell ref="LPQ225:LPV225"/>
    <mergeCell ref="LPW225:LQB225"/>
    <mergeCell ref="LQC225:LQH225"/>
    <mergeCell ref="LQI225:LQN225"/>
    <mergeCell ref="LQO225:LQT225"/>
    <mergeCell ref="LQU225:LQZ225"/>
    <mergeCell ref="LMW225:LNB225"/>
    <mergeCell ref="LNC225:LNH225"/>
    <mergeCell ref="LNI225:LNN225"/>
    <mergeCell ref="LNO225:LNT225"/>
    <mergeCell ref="LNU225:LNZ225"/>
    <mergeCell ref="LOA225:LOF225"/>
    <mergeCell ref="LOG225:LOL225"/>
    <mergeCell ref="LOM225:LOR225"/>
    <mergeCell ref="LOS225:LOX225"/>
    <mergeCell ref="LKU225:LKZ225"/>
    <mergeCell ref="LLA225:LLF225"/>
    <mergeCell ref="LLG225:LLL225"/>
    <mergeCell ref="LLM225:LLR225"/>
    <mergeCell ref="LLS225:LLX225"/>
    <mergeCell ref="LLY225:LMD225"/>
    <mergeCell ref="LME225:LMJ225"/>
    <mergeCell ref="LMK225:LMP225"/>
    <mergeCell ref="LMQ225:LMV225"/>
    <mergeCell ref="LIS225:LIX225"/>
    <mergeCell ref="LIY225:LJD225"/>
    <mergeCell ref="LJE225:LJJ225"/>
    <mergeCell ref="LJK225:LJP225"/>
    <mergeCell ref="LJQ225:LJV225"/>
    <mergeCell ref="LJW225:LKB225"/>
    <mergeCell ref="LKC225:LKH225"/>
    <mergeCell ref="LKI225:LKN225"/>
    <mergeCell ref="LKO225:LKT225"/>
    <mergeCell ref="LGQ225:LGV225"/>
    <mergeCell ref="LGW225:LHB225"/>
    <mergeCell ref="LHC225:LHH225"/>
    <mergeCell ref="LHI225:LHN225"/>
    <mergeCell ref="LHO225:LHT225"/>
    <mergeCell ref="LHU225:LHZ225"/>
    <mergeCell ref="LIA225:LIF225"/>
    <mergeCell ref="LIG225:LIL225"/>
    <mergeCell ref="LIM225:LIR225"/>
    <mergeCell ref="LEO225:LET225"/>
    <mergeCell ref="LEU225:LEZ225"/>
    <mergeCell ref="LFA225:LFF225"/>
    <mergeCell ref="LFG225:LFL225"/>
    <mergeCell ref="LFM225:LFR225"/>
    <mergeCell ref="LFS225:LFX225"/>
    <mergeCell ref="LFY225:LGD225"/>
    <mergeCell ref="LGE225:LGJ225"/>
    <mergeCell ref="LGK225:LGP225"/>
    <mergeCell ref="LCM225:LCR225"/>
    <mergeCell ref="LCS225:LCX225"/>
    <mergeCell ref="LCY225:LDD225"/>
    <mergeCell ref="LDE225:LDJ225"/>
    <mergeCell ref="LDK225:LDP225"/>
    <mergeCell ref="LDQ225:LDV225"/>
    <mergeCell ref="LDW225:LEB225"/>
    <mergeCell ref="LEC225:LEH225"/>
    <mergeCell ref="LEI225:LEN225"/>
    <mergeCell ref="LAK225:LAP225"/>
    <mergeCell ref="LAQ225:LAV225"/>
    <mergeCell ref="LAW225:LBB225"/>
    <mergeCell ref="LBC225:LBH225"/>
    <mergeCell ref="LBI225:LBN225"/>
    <mergeCell ref="LBO225:LBT225"/>
    <mergeCell ref="LBU225:LBZ225"/>
    <mergeCell ref="LCA225:LCF225"/>
    <mergeCell ref="LCG225:LCL225"/>
    <mergeCell ref="KYI225:KYN225"/>
    <mergeCell ref="KYO225:KYT225"/>
    <mergeCell ref="KYU225:KYZ225"/>
    <mergeCell ref="KZA225:KZF225"/>
    <mergeCell ref="KZG225:KZL225"/>
    <mergeCell ref="KZM225:KZR225"/>
    <mergeCell ref="KZS225:KZX225"/>
    <mergeCell ref="KZY225:LAD225"/>
    <mergeCell ref="LAE225:LAJ225"/>
    <mergeCell ref="KWG225:KWL225"/>
    <mergeCell ref="KWM225:KWR225"/>
    <mergeCell ref="KWS225:KWX225"/>
    <mergeCell ref="KWY225:KXD225"/>
    <mergeCell ref="KXE225:KXJ225"/>
    <mergeCell ref="KXK225:KXP225"/>
    <mergeCell ref="KXQ225:KXV225"/>
    <mergeCell ref="KXW225:KYB225"/>
    <mergeCell ref="KYC225:KYH225"/>
    <mergeCell ref="KUE225:KUJ225"/>
    <mergeCell ref="KUK225:KUP225"/>
    <mergeCell ref="KUQ225:KUV225"/>
    <mergeCell ref="KUW225:KVB225"/>
    <mergeCell ref="KVC225:KVH225"/>
    <mergeCell ref="KVI225:KVN225"/>
    <mergeCell ref="KVO225:KVT225"/>
    <mergeCell ref="KVU225:KVZ225"/>
    <mergeCell ref="KWA225:KWF225"/>
    <mergeCell ref="KSC225:KSH225"/>
    <mergeCell ref="KSI225:KSN225"/>
    <mergeCell ref="KSO225:KST225"/>
    <mergeCell ref="KSU225:KSZ225"/>
    <mergeCell ref="KTA225:KTF225"/>
    <mergeCell ref="KTG225:KTL225"/>
    <mergeCell ref="KTM225:KTR225"/>
    <mergeCell ref="KTS225:KTX225"/>
    <mergeCell ref="KTY225:KUD225"/>
    <mergeCell ref="KQA225:KQF225"/>
    <mergeCell ref="KQG225:KQL225"/>
    <mergeCell ref="KQM225:KQR225"/>
    <mergeCell ref="KQS225:KQX225"/>
    <mergeCell ref="KQY225:KRD225"/>
    <mergeCell ref="KRE225:KRJ225"/>
    <mergeCell ref="KRK225:KRP225"/>
    <mergeCell ref="KRQ225:KRV225"/>
    <mergeCell ref="KRW225:KSB225"/>
    <mergeCell ref="KNY225:KOD225"/>
    <mergeCell ref="KOE225:KOJ225"/>
    <mergeCell ref="KOK225:KOP225"/>
    <mergeCell ref="KOQ225:KOV225"/>
    <mergeCell ref="KOW225:KPB225"/>
    <mergeCell ref="KPC225:KPH225"/>
    <mergeCell ref="KPI225:KPN225"/>
    <mergeCell ref="KPO225:KPT225"/>
    <mergeCell ref="KPU225:KPZ225"/>
    <mergeCell ref="KLW225:KMB225"/>
    <mergeCell ref="KMC225:KMH225"/>
    <mergeCell ref="KMI225:KMN225"/>
    <mergeCell ref="KMO225:KMT225"/>
    <mergeCell ref="KMU225:KMZ225"/>
    <mergeCell ref="KNA225:KNF225"/>
    <mergeCell ref="KNG225:KNL225"/>
    <mergeCell ref="KNM225:KNR225"/>
    <mergeCell ref="KNS225:KNX225"/>
    <mergeCell ref="KJU225:KJZ225"/>
    <mergeCell ref="KKA225:KKF225"/>
    <mergeCell ref="KKG225:KKL225"/>
    <mergeCell ref="KKM225:KKR225"/>
    <mergeCell ref="KKS225:KKX225"/>
    <mergeCell ref="KKY225:KLD225"/>
    <mergeCell ref="KLE225:KLJ225"/>
    <mergeCell ref="KLK225:KLP225"/>
    <mergeCell ref="KLQ225:KLV225"/>
    <mergeCell ref="KHS225:KHX225"/>
    <mergeCell ref="KHY225:KID225"/>
    <mergeCell ref="KIE225:KIJ225"/>
    <mergeCell ref="KIK225:KIP225"/>
    <mergeCell ref="KIQ225:KIV225"/>
    <mergeCell ref="KIW225:KJB225"/>
    <mergeCell ref="KJC225:KJH225"/>
    <mergeCell ref="KJI225:KJN225"/>
    <mergeCell ref="KJO225:KJT225"/>
    <mergeCell ref="KFQ225:KFV225"/>
    <mergeCell ref="KFW225:KGB225"/>
    <mergeCell ref="KGC225:KGH225"/>
    <mergeCell ref="KGI225:KGN225"/>
    <mergeCell ref="KGO225:KGT225"/>
    <mergeCell ref="KGU225:KGZ225"/>
    <mergeCell ref="KHA225:KHF225"/>
    <mergeCell ref="KHG225:KHL225"/>
    <mergeCell ref="KHM225:KHR225"/>
    <mergeCell ref="KDO225:KDT225"/>
    <mergeCell ref="KDU225:KDZ225"/>
    <mergeCell ref="KEA225:KEF225"/>
    <mergeCell ref="KEG225:KEL225"/>
    <mergeCell ref="KEM225:KER225"/>
    <mergeCell ref="KES225:KEX225"/>
    <mergeCell ref="KEY225:KFD225"/>
    <mergeCell ref="KFE225:KFJ225"/>
    <mergeCell ref="KFK225:KFP225"/>
    <mergeCell ref="KBM225:KBR225"/>
    <mergeCell ref="KBS225:KBX225"/>
    <mergeCell ref="KBY225:KCD225"/>
    <mergeCell ref="KCE225:KCJ225"/>
    <mergeCell ref="KCK225:KCP225"/>
    <mergeCell ref="KCQ225:KCV225"/>
    <mergeCell ref="KCW225:KDB225"/>
    <mergeCell ref="KDC225:KDH225"/>
    <mergeCell ref="KDI225:KDN225"/>
    <mergeCell ref="JZK225:JZP225"/>
    <mergeCell ref="JZQ225:JZV225"/>
    <mergeCell ref="JZW225:KAB225"/>
    <mergeCell ref="KAC225:KAH225"/>
    <mergeCell ref="KAI225:KAN225"/>
    <mergeCell ref="KAO225:KAT225"/>
    <mergeCell ref="KAU225:KAZ225"/>
    <mergeCell ref="KBA225:KBF225"/>
    <mergeCell ref="KBG225:KBL225"/>
    <mergeCell ref="JXI225:JXN225"/>
    <mergeCell ref="JXO225:JXT225"/>
    <mergeCell ref="JXU225:JXZ225"/>
    <mergeCell ref="JYA225:JYF225"/>
    <mergeCell ref="JYG225:JYL225"/>
    <mergeCell ref="JYM225:JYR225"/>
    <mergeCell ref="JYS225:JYX225"/>
    <mergeCell ref="JYY225:JZD225"/>
    <mergeCell ref="JZE225:JZJ225"/>
    <mergeCell ref="JVG225:JVL225"/>
    <mergeCell ref="JVM225:JVR225"/>
    <mergeCell ref="JVS225:JVX225"/>
    <mergeCell ref="JVY225:JWD225"/>
    <mergeCell ref="JWE225:JWJ225"/>
    <mergeCell ref="JWK225:JWP225"/>
    <mergeCell ref="JWQ225:JWV225"/>
    <mergeCell ref="JWW225:JXB225"/>
    <mergeCell ref="JXC225:JXH225"/>
    <mergeCell ref="JTE225:JTJ225"/>
    <mergeCell ref="JTK225:JTP225"/>
    <mergeCell ref="JTQ225:JTV225"/>
    <mergeCell ref="JTW225:JUB225"/>
    <mergeCell ref="JUC225:JUH225"/>
    <mergeCell ref="JUI225:JUN225"/>
    <mergeCell ref="JUO225:JUT225"/>
    <mergeCell ref="JUU225:JUZ225"/>
    <mergeCell ref="JVA225:JVF225"/>
    <mergeCell ref="JRC225:JRH225"/>
    <mergeCell ref="JRI225:JRN225"/>
    <mergeCell ref="JRO225:JRT225"/>
    <mergeCell ref="JRU225:JRZ225"/>
    <mergeCell ref="JSA225:JSF225"/>
    <mergeCell ref="JSG225:JSL225"/>
    <mergeCell ref="JSM225:JSR225"/>
    <mergeCell ref="JSS225:JSX225"/>
    <mergeCell ref="JSY225:JTD225"/>
    <mergeCell ref="JPA225:JPF225"/>
    <mergeCell ref="JPG225:JPL225"/>
    <mergeCell ref="JPM225:JPR225"/>
    <mergeCell ref="JPS225:JPX225"/>
    <mergeCell ref="JPY225:JQD225"/>
    <mergeCell ref="JQE225:JQJ225"/>
    <mergeCell ref="JQK225:JQP225"/>
    <mergeCell ref="JQQ225:JQV225"/>
    <mergeCell ref="JQW225:JRB225"/>
    <mergeCell ref="JMY225:JND225"/>
    <mergeCell ref="JNE225:JNJ225"/>
    <mergeCell ref="JNK225:JNP225"/>
    <mergeCell ref="JNQ225:JNV225"/>
    <mergeCell ref="JNW225:JOB225"/>
    <mergeCell ref="JOC225:JOH225"/>
    <mergeCell ref="JOI225:JON225"/>
    <mergeCell ref="JOO225:JOT225"/>
    <mergeCell ref="JOU225:JOZ225"/>
    <mergeCell ref="JKW225:JLB225"/>
    <mergeCell ref="JLC225:JLH225"/>
    <mergeCell ref="JLI225:JLN225"/>
    <mergeCell ref="JLO225:JLT225"/>
    <mergeCell ref="JLU225:JLZ225"/>
    <mergeCell ref="JMA225:JMF225"/>
    <mergeCell ref="JMG225:JML225"/>
    <mergeCell ref="JMM225:JMR225"/>
    <mergeCell ref="JMS225:JMX225"/>
    <mergeCell ref="JIU225:JIZ225"/>
    <mergeCell ref="JJA225:JJF225"/>
    <mergeCell ref="JJG225:JJL225"/>
    <mergeCell ref="JJM225:JJR225"/>
    <mergeCell ref="JJS225:JJX225"/>
    <mergeCell ref="JJY225:JKD225"/>
    <mergeCell ref="JKE225:JKJ225"/>
    <mergeCell ref="JKK225:JKP225"/>
    <mergeCell ref="JKQ225:JKV225"/>
    <mergeCell ref="JGS225:JGX225"/>
    <mergeCell ref="JGY225:JHD225"/>
    <mergeCell ref="JHE225:JHJ225"/>
    <mergeCell ref="JHK225:JHP225"/>
    <mergeCell ref="JHQ225:JHV225"/>
    <mergeCell ref="JHW225:JIB225"/>
    <mergeCell ref="JIC225:JIH225"/>
    <mergeCell ref="JII225:JIN225"/>
    <mergeCell ref="JIO225:JIT225"/>
    <mergeCell ref="JEQ225:JEV225"/>
    <mergeCell ref="JEW225:JFB225"/>
    <mergeCell ref="JFC225:JFH225"/>
    <mergeCell ref="JFI225:JFN225"/>
    <mergeCell ref="JFO225:JFT225"/>
    <mergeCell ref="JFU225:JFZ225"/>
    <mergeCell ref="JGA225:JGF225"/>
    <mergeCell ref="JGG225:JGL225"/>
    <mergeCell ref="JGM225:JGR225"/>
    <mergeCell ref="JCO225:JCT225"/>
    <mergeCell ref="JCU225:JCZ225"/>
    <mergeCell ref="JDA225:JDF225"/>
    <mergeCell ref="JDG225:JDL225"/>
    <mergeCell ref="JDM225:JDR225"/>
    <mergeCell ref="JDS225:JDX225"/>
    <mergeCell ref="JDY225:JED225"/>
    <mergeCell ref="JEE225:JEJ225"/>
    <mergeCell ref="JEK225:JEP225"/>
    <mergeCell ref="JAM225:JAR225"/>
    <mergeCell ref="JAS225:JAX225"/>
    <mergeCell ref="JAY225:JBD225"/>
    <mergeCell ref="JBE225:JBJ225"/>
    <mergeCell ref="JBK225:JBP225"/>
    <mergeCell ref="JBQ225:JBV225"/>
    <mergeCell ref="JBW225:JCB225"/>
    <mergeCell ref="JCC225:JCH225"/>
    <mergeCell ref="JCI225:JCN225"/>
    <mergeCell ref="IYK225:IYP225"/>
    <mergeCell ref="IYQ225:IYV225"/>
    <mergeCell ref="IYW225:IZB225"/>
    <mergeCell ref="IZC225:IZH225"/>
    <mergeCell ref="IZI225:IZN225"/>
    <mergeCell ref="IZO225:IZT225"/>
    <mergeCell ref="IZU225:IZZ225"/>
    <mergeCell ref="JAA225:JAF225"/>
    <mergeCell ref="JAG225:JAL225"/>
    <mergeCell ref="IWI225:IWN225"/>
    <mergeCell ref="IWO225:IWT225"/>
    <mergeCell ref="IWU225:IWZ225"/>
    <mergeCell ref="IXA225:IXF225"/>
    <mergeCell ref="IXG225:IXL225"/>
    <mergeCell ref="IXM225:IXR225"/>
    <mergeCell ref="IXS225:IXX225"/>
    <mergeCell ref="IXY225:IYD225"/>
    <mergeCell ref="IYE225:IYJ225"/>
    <mergeCell ref="IUG225:IUL225"/>
    <mergeCell ref="IUM225:IUR225"/>
    <mergeCell ref="IUS225:IUX225"/>
    <mergeCell ref="IUY225:IVD225"/>
    <mergeCell ref="IVE225:IVJ225"/>
    <mergeCell ref="IVK225:IVP225"/>
    <mergeCell ref="IVQ225:IVV225"/>
    <mergeCell ref="IVW225:IWB225"/>
    <mergeCell ref="IWC225:IWH225"/>
    <mergeCell ref="ISE225:ISJ225"/>
    <mergeCell ref="ISK225:ISP225"/>
    <mergeCell ref="ISQ225:ISV225"/>
    <mergeCell ref="ISW225:ITB225"/>
    <mergeCell ref="ITC225:ITH225"/>
    <mergeCell ref="ITI225:ITN225"/>
    <mergeCell ref="ITO225:ITT225"/>
    <mergeCell ref="ITU225:ITZ225"/>
    <mergeCell ref="IUA225:IUF225"/>
    <mergeCell ref="IQC225:IQH225"/>
    <mergeCell ref="IQI225:IQN225"/>
    <mergeCell ref="IQO225:IQT225"/>
    <mergeCell ref="IQU225:IQZ225"/>
    <mergeCell ref="IRA225:IRF225"/>
    <mergeCell ref="IRG225:IRL225"/>
    <mergeCell ref="IRM225:IRR225"/>
    <mergeCell ref="IRS225:IRX225"/>
    <mergeCell ref="IRY225:ISD225"/>
    <mergeCell ref="IOA225:IOF225"/>
    <mergeCell ref="IOG225:IOL225"/>
    <mergeCell ref="IOM225:IOR225"/>
    <mergeCell ref="IOS225:IOX225"/>
    <mergeCell ref="IOY225:IPD225"/>
    <mergeCell ref="IPE225:IPJ225"/>
    <mergeCell ref="IPK225:IPP225"/>
    <mergeCell ref="IPQ225:IPV225"/>
    <mergeCell ref="IPW225:IQB225"/>
    <mergeCell ref="ILY225:IMD225"/>
    <mergeCell ref="IME225:IMJ225"/>
    <mergeCell ref="IMK225:IMP225"/>
    <mergeCell ref="IMQ225:IMV225"/>
    <mergeCell ref="IMW225:INB225"/>
    <mergeCell ref="INC225:INH225"/>
    <mergeCell ref="INI225:INN225"/>
    <mergeCell ref="INO225:INT225"/>
    <mergeCell ref="INU225:INZ225"/>
    <mergeCell ref="IJW225:IKB225"/>
    <mergeCell ref="IKC225:IKH225"/>
    <mergeCell ref="IKI225:IKN225"/>
    <mergeCell ref="IKO225:IKT225"/>
    <mergeCell ref="IKU225:IKZ225"/>
    <mergeCell ref="ILA225:ILF225"/>
    <mergeCell ref="ILG225:ILL225"/>
    <mergeCell ref="ILM225:ILR225"/>
    <mergeCell ref="ILS225:ILX225"/>
    <mergeCell ref="IHU225:IHZ225"/>
    <mergeCell ref="IIA225:IIF225"/>
    <mergeCell ref="IIG225:IIL225"/>
    <mergeCell ref="IIM225:IIR225"/>
    <mergeCell ref="IIS225:IIX225"/>
    <mergeCell ref="IIY225:IJD225"/>
    <mergeCell ref="IJE225:IJJ225"/>
    <mergeCell ref="IJK225:IJP225"/>
    <mergeCell ref="IJQ225:IJV225"/>
    <mergeCell ref="IFS225:IFX225"/>
    <mergeCell ref="IFY225:IGD225"/>
    <mergeCell ref="IGE225:IGJ225"/>
    <mergeCell ref="IGK225:IGP225"/>
    <mergeCell ref="IGQ225:IGV225"/>
    <mergeCell ref="IGW225:IHB225"/>
    <mergeCell ref="IHC225:IHH225"/>
    <mergeCell ref="IHI225:IHN225"/>
    <mergeCell ref="IHO225:IHT225"/>
    <mergeCell ref="IDQ225:IDV225"/>
    <mergeCell ref="IDW225:IEB225"/>
    <mergeCell ref="IEC225:IEH225"/>
    <mergeCell ref="IEI225:IEN225"/>
    <mergeCell ref="IEO225:IET225"/>
    <mergeCell ref="IEU225:IEZ225"/>
    <mergeCell ref="IFA225:IFF225"/>
    <mergeCell ref="IFG225:IFL225"/>
    <mergeCell ref="IFM225:IFR225"/>
    <mergeCell ref="IBO225:IBT225"/>
    <mergeCell ref="IBU225:IBZ225"/>
    <mergeCell ref="ICA225:ICF225"/>
    <mergeCell ref="ICG225:ICL225"/>
    <mergeCell ref="ICM225:ICR225"/>
    <mergeCell ref="ICS225:ICX225"/>
    <mergeCell ref="ICY225:IDD225"/>
    <mergeCell ref="IDE225:IDJ225"/>
    <mergeCell ref="IDK225:IDP225"/>
    <mergeCell ref="HZM225:HZR225"/>
    <mergeCell ref="HZS225:HZX225"/>
    <mergeCell ref="HZY225:IAD225"/>
    <mergeCell ref="IAE225:IAJ225"/>
    <mergeCell ref="IAK225:IAP225"/>
    <mergeCell ref="IAQ225:IAV225"/>
    <mergeCell ref="IAW225:IBB225"/>
    <mergeCell ref="IBC225:IBH225"/>
    <mergeCell ref="IBI225:IBN225"/>
    <mergeCell ref="HXK225:HXP225"/>
    <mergeCell ref="HXQ225:HXV225"/>
    <mergeCell ref="HXW225:HYB225"/>
    <mergeCell ref="HYC225:HYH225"/>
    <mergeCell ref="HYI225:HYN225"/>
    <mergeCell ref="HYO225:HYT225"/>
    <mergeCell ref="HYU225:HYZ225"/>
    <mergeCell ref="HZA225:HZF225"/>
    <mergeCell ref="HZG225:HZL225"/>
    <mergeCell ref="HVI225:HVN225"/>
    <mergeCell ref="HVO225:HVT225"/>
    <mergeCell ref="HVU225:HVZ225"/>
    <mergeCell ref="HWA225:HWF225"/>
    <mergeCell ref="HWG225:HWL225"/>
    <mergeCell ref="HWM225:HWR225"/>
    <mergeCell ref="HWS225:HWX225"/>
    <mergeCell ref="HWY225:HXD225"/>
    <mergeCell ref="HXE225:HXJ225"/>
    <mergeCell ref="HTG225:HTL225"/>
    <mergeCell ref="HTM225:HTR225"/>
    <mergeCell ref="HTS225:HTX225"/>
    <mergeCell ref="HTY225:HUD225"/>
    <mergeCell ref="HUE225:HUJ225"/>
    <mergeCell ref="HUK225:HUP225"/>
    <mergeCell ref="HUQ225:HUV225"/>
    <mergeCell ref="HUW225:HVB225"/>
    <mergeCell ref="HVC225:HVH225"/>
    <mergeCell ref="HRE225:HRJ225"/>
    <mergeCell ref="HRK225:HRP225"/>
    <mergeCell ref="HRQ225:HRV225"/>
    <mergeCell ref="HRW225:HSB225"/>
    <mergeCell ref="HSC225:HSH225"/>
    <mergeCell ref="HSI225:HSN225"/>
    <mergeCell ref="HSO225:HST225"/>
    <mergeCell ref="HSU225:HSZ225"/>
    <mergeCell ref="HTA225:HTF225"/>
    <mergeCell ref="HPC225:HPH225"/>
    <mergeCell ref="HPI225:HPN225"/>
    <mergeCell ref="HPO225:HPT225"/>
    <mergeCell ref="HPU225:HPZ225"/>
    <mergeCell ref="HQA225:HQF225"/>
    <mergeCell ref="HQG225:HQL225"/>
    <mergeCell ref="HQM225:HQR225"/>
    <mergeCell ref="HQS225:HQX225"/>
    <mergeCell ref="HQY225:HRD225"/>
    <mergeCell ref="HNA225:HNF225"/>
    <mergeCell ref="HNG225:HNL225"/>
    <mergeCell ref="HNM225:HNR225"/>
    <mergeCell ref="HNS225:HNX225"/>
    <mergeCell ref="HNY225:HOD225"/>
    <mergeCell ref="HOE225:HOJ225"/>
    <mergeCell ref="HOK225:HOP225"/>
    <mergeCell ref="HOQ225:HOV225"/>
    <mergeCell ref="HOW225:HPB225"/>
    <mergeCell ref="HKY225:HLD225"/>
    <mergeCell ref="HLE225:HLJ225"/>
    <mergeCell ref="HLK225:HLP225"/>
    <mergeCell ref="HLQ225:HLV225"/>
    <mergeCell ref="HLW225:HMB225"/>
    <mergeCell ref="HMC225:HMH225"/>
    <mergeCell ref="HMI225:HMN225"/>
    <mergeCell ref="HMO225:HMT225"/>
    <mergeCell ref="HMU225:HMZ225"/>
    <mergeCell ref="HIW225:HJB225"/>
    <mergeCell ref="HJC225:HJH225"/>
    <mergeCell ref="HJI225:HJN225"/>
    <mergeCell ref="HJO225:HJT225"/>
    <mergeCell ref="HJU225:HJZ225"/>
    <mergeCell ref="HKA225:HKF225"/>
    <mergeCell ref="HKG225:HKL225"/>
    <mergeCell ref="HKM225:HKR225"/>
    <mergeCell ref="HKS225:HKX225"/>
    <mergeCell ref="HGU225:HGZ225"/>
    <mergeCell ref="HHA225:HHF225"/>
    <mergeCell ref="HHG225:HHL225"/>
    <mergeCell ref="HHM225:HHR225"/>
    <mergeCell ref="HHS225:HHX225"/>
    <mergeCell ref="HHY225:HID225"/>
    <mergeCell ref="HIE225:HIJ225"/>
    <mergeCell ref="HIK225:HIP225"/>
    <mergeCell ref="HIQ225:HIV225"/>
    <mergeCell ref="HES225:HEX225"/>
    <mergeCell ref="HEY225:HFD225"/>
    <mergeCell ref="HFE225:HFJ225"/>
    <mergeCell ref="HFK225:HFP225"/>
    <mergeCell ref="HFQ225:HFV225"/>
    <mergeCell ref="HFW225:HGB225"/>
    <mergeCell ref="HGC225:HGH225"/>
    <mergeCell ref="HGI225:HGN225"/>
    <mergeCell ref="HGO225:HGT225"/>
    <mergeCell ref="HCQ225:HCV225"/>
    <mergeCell ref="HCW225:HDB225"/>
    <mergeCell ref="HDC225:HDH225"/>
    <mergeCell ref="HDI225:HDN225"/>
    <mergeCell ref="HDO225:HDT225"/>
    <mergeCell ref="HDU225:HDZ225"/>
    <mergeCell ref="HEA225:HEF225"/>
    <mergeCell ref="HEG225:HEL225"/>
    <mergeCell ref="HEM225:HER225"/>
    <mergeCell ref="HAO225:HAT225"/>
    <mergeCell ref="HAU225:HAZ225"/>
    <mergeCell ref="HBA225:HBF225"/>
    <mergeCell ref="HBG225:HBL225"/>
    <mergeCell ref="HBM225:HBR225"/>
    <mergeCell ref="HBS225:HBX225"/>
    <mergeCell ref="HBY225:HCD225"/>
    <mergeCell ref="HCE225:HCJ225"/>
    <mergeCell ref="HCK225:HCP225"/>
    <mergeCell ref="GYM225:GYR225"/>
    <mergeCell ref="GYS225:GYX225"/>
    <mergeCell ref="GYY225:GZD225"/>
    <mergeCell ref="GZE225:GZJ225"/>
    <mergeCell ref="GZK225:GZP225"/>
    <mergeCell ref="GZQ225:GZV225"/>
    <mergeCell ref="GZW225:HAB225"/>
    <mergeCell ref="HAC225:HAH225"/>
    <mergeCell ref="HAI225:HAN225"/>
    <mergeCell ref="GWK225:GWP225"/>
    <mergeCell ref="GWQ225:GWV225"/>
    <mergeCell ref="GWW225:GXB225"/>
    <mergeCell ref="GXC225:GXH225"/>
    <mergeCell ref="GXI225:GXN225"/>
    <mergeCell ref="GXO225:GXT225"/>
    <mergeCell ref="GXU225:GXZ225"/>
    <mergeCell ref="GYA225:GYF225"/>
    <mergeCell ref="GYG225:GYL225"/>
    <mergeCell ref="GUI225:GUN225"/>
    <mergeCell ref="GUO225:GUT225"/>
    <mergeCell ref="GUU225:GUZ225"/>
    <mergeCell ref="GVA225:GVF225"/>
    <mergeCell ref="GVG225:GVL225"/>
    <mergeCell ref="GVM225:GVR225"/>
    <mergeCell ref="GVS225:GVX225"/>
    <mergeCell ref="GVY225:GWD225"/>
    <mergeCell ref="GWE225:GWJ225"/>
    <mergeCell ref="GSG225:GSL225"/>
    <mergeCell ref="GSM225:GSR225"/>
    <mergeCell ref="GSS225:GSX225"/>
    <mergeCell ref="GSY225:GTD225"/>
    <mergeCell ref="GTE225:GTJ225"/>
    <mergeCell ref="GTK225:GTP225"/>
    <mergeCell ref="GTQ225:GTV225"/>
    <mergeCell ref="GTW225:GUB225"/>
    <mergeCell ref="GUC225:GUH225"/>
    <mergeCell ref="GQE225:GQJ225"/>
    <mergeCell ref="GQK225:GQP225"/>
    <mergeCell ref="GQQ225:GQV225"/>
    <mergeCell ref="GQW225:GRB225"/>
    <mergeCell ref="GRC225:GRH225"/>
    <mergeCell ref="GRI225:GRN225"/>
    <mergeCell ref="GRO225:GRT225"/>
    <mergeCell ref="GRU225:GRZ225"/>
    <mergeCell ref="GSA225:GSF225"/>
    <mergeCell ref="GOC225:GOH225"/>
    <mergeCell ref="GOI225:GON225"/>
    <mergeCell ref="GOO225:GOT225"/>
    <mergeCell ref="GOU225:GOZ225"/>
    <mergeCell ref="GPA225:GPF225"/>
    <mergeCell ref="GPG225:GPL225"/>
    <mergeCell ref="GPM225:GPR225"/>
    <mergeCell ref="GPS225:GPX225"/>
    <mergeCell ref="GPY225:GQD225"/>
    <mergeCell ref="GMA225:GMF225"/>
    <mergeCell ref="GMG225:GML225"/>
    <mergeCell ref="GMM225:GMR225"/>
    <mergeCell ref="GMS225:GMX225"/>
    <mergeCell ref="GMY225:GND225"/>
    <mergeCell ref="GNE225:GNJ225"/>
    <mergeCell ref="GNK225:GNP225"/>
    <mergeCell ref="GNQ225:GNV225"/>
    <mergeCell ref="GNW225:GOB225"/>
    <mergeCell ref="GJY225:GKD225"/>
    <mergeCell ref="GKE225:GKJ225"/>
    <mergeCell ref="GKK225:GKP225"/>
    <mergeCell ref="GKQ225:GKV225"/>
    <mergeCell ref="GKW225:GLB225"/>
    <mergeCell ref="GLC225:GLH225"/>
    <mergeCell ref="GLI225:GLN225"/>
    <mergeCell ref="GLO225:GLT225"/>
    <mergeCell ref="GLU225:GLZ225"/>
    <mergeCell ref="GHW225:GIB225"/>
    <mergeCell ref="GIC225:GIH225"/>
    <mergeCell ref="GII225:GIN225"/>
    <mergeCell ref="GIO225:GIT225"/>
    <mergeCell ref="GIU225:GIZ225"/>
    <mergeCell ref="GJA225:GJF225"/>
    <mergeCell ref="GJG225:GJL225"/>
    <mergeCell ref="GJM225:GJR225"/>
    <mergeCell ref="GJS225:GJX225"/>
    <mergeCell ref="GFU225:GFZ225"/>
    <mergeCell ref="GGA225:GGF225"/>
    <mergeCell ref="GGG225:GGL225"/>
    <mergeCell ref="GGM225:GGR225"/>
    <mergeCell ref="GGS225:GGX225"/>
    <mergeCell ref="GGY225:GHD225"/>
    <mergeCell ref="GHE225:GHJ225"/>
    <mergeCell ref="GHK225:GHP225"/>
    <mergeCell ref="GHQ225:GHV225"/>
    <mergeCell ref="GDS225:GDX225"/>
    <mergeCell ref="GDY225:GED225"/>
    <mergeCell ref="GEE225:GEJ225"/>
    <mergeCell ref="GEK225:GEP225"/>
    <mergeCell ref="GEQ225:GEV225"/>
    <mergeCell ref="GEW225:GFB225"/>
    <mergeCell ref="GFC225:GFH225"/>
    <mergeCell ref="GFI225:GFN225"/>
    <mergeCell ref="GFO225:GFT225"/>
    <mergeCell ref="GBQ225:GBV225"/>
    <mergeCell ref="GBW225:GCB225"/>
    <mergeCell ref="GCC225:GCH225"/>
    <mergeCell ref="GCI225:GCN225"/>
    <mergeCell ref="GCO225:GCT225"/>
    <mergeCell ref="GCU225:GCZ225"/>
    <mergeCell ref="GDA225:GDF225"/>
    <mergeCell ref="GDG225:GDL225"/>
    <mergeCell ref="GDM225:GDR225"/>
    <mergeCell ref="FZO225:FZT225"/>
    <mergeCell ref="FZU225:FZZ225"/>
    <mergeCell ref="GAA225:GAF225"/>
    <mergeCell ref="GAG225:GAL225"/>
    <mergeCell ref="GAM225:GAR225"/>
    <mergeCell ref="GAS225:GAX225"/>
    <mergeCell ref="GAY225:GBD225"/>
    <mergeCell ref="GBE225:GBJ225"/>
    <mergeCell ref="GBK225:GBP225"/>
    <mergeCell ref="FXM225:FXR225"/>
    <mergeCell ref="FXS225:FXX225"/>
    <mergeCell ref="FXY225:FYD225"/>
    <mergeCell ref="FYE225:FYJ225"/>
    <mergeCell ref="FYK225:FYP225"/>
    <mergeCell ref="FYQ225:FYV225"/>
    <mergeCell ref="FYW225:FZB225"/>
    <mergeCell ref="FZC225:FZH225"/>
    <mergeCell ref="FZI225:FZN225"/>
    <mergeCell ref="FVK225:FVP225"/>
    <mergeCell ref="FVQ225:FVV225"/>
    <mergeCell ref="FVW225:FWB225"/>
    <mergeCell ref="FWC225:FWH225"/>
    <mergeCell ref="FWI225:FWN225"/>
    <mergeCell ref="FWO225:FWT225"/>
    <mergeCell ref="FWU225:FWZ225"/>
    <mergeCell ref="FXA225:FXF225"/>
    <mergeCell ref="FXG225:FXL225"/>
    <mergeCell ref="FTI225:FTN225"/>
    <mergeCell ref="FTO225:FTT225"/>
    <mergeCell ref="FTU225:FTZ225"/>
    <mergeCell ref="FUA225:FUF225"/>
    <mergeCell ref="FUG225:FUL225"/>
    <mergeCell ref="FUM225:FUR225"/>
    <mergeCell ref="FUS225:FUX225"/>
    <mergeCell ref="FUY225:FVD225"/>
    <mergeCell ref="FVE225:FVJ225"/>
    <mergeCell ref="FRG225:FRL225"/>
    <mergeCell ref="FRM225:FRR225"/>
    <mergeCell ref="FRS225:FRX225"/>
    <mergeCell ref="FRY225:FSD225"/>
    <mergeCell ref="FSE225:FSJ225"/>
    <mergeCell ref="FSK225:FSP225"/>
    <mergeCell ref="FSQ225:FSV225"/>
    <mergeCell ref="FSW225:FTB225"/>
    <mergeCell ref="FTC225:FTH225"/>
    <mergeCell ref="FPE225:FPJ225"/>
    <mergeCell ref="FPK225:FPP225"/>
    <mergeCell ref="FPQ225:FPV225"/>
    <mergeCell ref="FPW225:FQB225"/>
    <mergeCell ref="FQC225:FQH225"/>
    <mergeCell ref="FQI225:FQN225"/>
    <mergeCell ref="FQO225:FQT225"/>
    <mergeCell ref="FQU225:FQZ225"/>
    <mergeCell ref="FRA225:FRF225"/>
    <mergeCell ref="FNC225:FNH225"/>
    <mergeCell ref="FNI225:FNN225"/>
    <mergeCell ref="FNO225:FNT225"/>
    <mergeCell ref="FNU225:FNZ225"/>
    <mergeCell ref="FOA225:FOF225"/>
    <mergeCell ref="FOG225:FOL225"/>
    <mergeCell ref="FOM225:FOR225"/>
    <mergeCell ref="FOS225:FOX225"/>
    <mergeCell ref="FOY225:FPD225"/>
    <mergeCell ref="FLA225:FLF225"/>
    <mergeCell ref="FLG225:FLL225"/>
    <mergeCell ref="FLM225:FLR225"/>
    <mergeCell ref="FLS225:FLX225"/>
    <mergeCell ref="FLY225:FMD225"/>
    <mergeCell ref="FME225:FMJ225"/>
    <mergeCell ref="FMK225:FMP225"/>
    <mergeCell ref="FMQ225:FMV225"/>
    <mergeCell ref="FMW225:FNB225"/>
    <mergeCell ref="FIY225:FJD225"/>
    <mergeCell ref="FJE225:FJJ225"/>
    <mergeCell ref="FJK225:FJP225"/>
    <mergeCell ref="FJQ225:FJV225"/>
    <mergeCell ref="FJW225:FKB225"/>
    <mergeCell ref="FKC225:FKH225"/>
    <mergeCell ref="FKI225:FKN225"/>
    <mergeCell ref="FKO225:FKT225"/>
    <mergeCell ref="FKU225:FKZ225"/>
    <mergeCell ref="FGW225:FHB225"/>
    <mergeCell ref="FHC225:FHH225"/>
    <mergeCell ref="FHI225:FHN225"/>
    <mergeCell ref="FHO225:FHT225"/>
    <mergeCell ref="FHU225:FHZ225"/>
    <mergeCell ref="FIA225:FIF225"/>
    <mergeCell ref="FIG225:FIL225"/>
    <mergeCell ref="FIM225:FIR225"/>
    <mergeCell ref="FIS225:FIX225"/>
    <mergeCell ref="FEU225:FEZ225"/>
    <mergeCell ref="FFA225:FFF225"/>
    <mergeCell ref="FFG225:FFL225"/>
    <mergeCell ref="FFM225:FFR225"/>
    <mergeCell ref="FFS225:FFX225"/>
    <mergeCell ref="FFY225:FGD225"/>
    <mergeCell ref="FGE225:FGJ225"/>
    <mergeCell ref="FGK225:FGP225"/>
    <mergeCell ref="FGQ225:FGV225"/>
    <mergeCell ref="FCS225:FCX225"/>
    <mergeCell ref="FCY225:FDD225"/>
    <mergeCell ref="FDE225:FDJ225"/>
    <mergeCell ref="FDK225:FDP225"/>
    <mergeCell ref="FDQ225:FDV225"/>
    <mergeCell ref="FDW225:FEB225"/>
    <mergeCell ref="FEC225:FEH225"/>
    <mergeCell ref="FEI225:FEN225"/>
    <mergeCell ref="FEO225:FET225"/>
    <mergeCell ref="FAQ225:FAV225"/>
    <mergeCell ref="FAW225:FBB225"/>
    <mergeCell ref="FBC225:FBH225"/>
    <mergeCell ref="FBI225:FBN225"/>
    <mergeCell ref="FBO225:FBT225"/>
    <mergeCell ref="FBU225:FBZ225"/>
    <mergeCell ref="FCA225:FCF225"/>
    <mergeCell ref="FCG225:FCL225"/>
    <mergeCell ref="FCM225:FCR225"/>
    <mergeCell ref="EYO225:EYT225"/>
    <mergeCell ref="EYU225:EYZ225"/>
    <mergeCell ref="EZA225:EZF225"/>
    <mergeCell ref="EZG225:EZL225"/>
    <mergeCell ref="EZM225:EZR225"/>
    <mergeCell ref="EZS225:EZX225"/>
    <mergeCell ref="EZY225:FAD225"/>
    <mergeCell ref="FAE225:FAJ225"/>
    <mergeCell ref="FAK225:FAP225"/>
    <mergeCell ref="EWM225:EWR225"/>
    <mergeCell ref="EWS225:EWX225"/>
    <mergeCell ref="EWY225:EXD225"/>
    <mergeCell ref="EXE225:EXJ225"/>
    <mergeCell ref="EXK225:EXP225"/>
    <mergeCell ref="EXQ225:EXV225"/>
    <mergeCell ref="EXW225:EYB225"/>
    <mergeCell ref="EYC225:EYH225"/>
    <mergeCell ref="EYI225:EYN225"/>
    <mergeCell ref="EUK225:EUP225"/>
    <mergeCell ref="EUQ225:EUV225"/>
    <mergeCell ref="EUW225:EVB225"/>
    <mergeCell ref="EVC225:EVH225"/>
    <mergeCell ref="EVI225:EVN225"/>
    <mergeCell ref="EVO225:EVT225"/>
    <mergeCell ref="EVU225:EVZ225"/>
    <mergeCell ref="EWA225:EWF225"/>
    <mergeCell ref="EWG225:EWL225"/>
    <mergeCell ref="ESI225:ESN225"/>
    <mergeCell ref="ESO225:EST225"/>
    <mergeCell ref="ESU225:ESZ225"/>
    <mergeCell ref="ETA225:ETF225"/>
    <mergeCell ref="ETG225:ETL225"/>
    <mergeCell ref="ETM225:ETR225"/>
    <mergeCell ref="ETS225:ETX225"/>
    <mergeCell ref="ETY225:EUD225"/>
    <mergeCell ref="EUE225:EUJ225"/>
    <mergeCell ref="EQG225:EQL225"/>
    <mergeCell ref="EQM225:EQR225"/>
    <mergeCell ref="EQS225:EQX225"/>
    <mergeCell ref="EQY225:ERD225"/>
    <mergeCell ref="ERE225:ERJ225"/>
    <mergeCell ref="ERK225:ERP225"/>
    <mergeCell ref="ERQ225:ERV225"/>
    <mergeCell ref="ERW225:ESB225"/>
    <mergeCell ref="ESC225:ESH225"/>
    <mergeCell ref="EOE225:EOJ225"/>
    <mergeCell ref="EOK225:EOP225"/>
    <mergeCell ref="EOQ225:EOV225"/>
    <mergeCell ref="EOW225:EPB225"/>
    <mergeCell ref="EPC225:EPH225"/>
    <mergeCell ref="EPI225:EPN225"/>
    <mergeCell ref="EPO225:EPT225"/>
    <mergeCell ref="EPU225:EPZ225"/>
    <mergeCell ref="EQA225:EQF225"/>
    <mergeCell ref="EMC225:EMH225"/>
    <mergeCell ref="EMI225:EMN225"/>
    <mergeCell ref="EMO225:EMT225"/>
    <mergeCell ref="EMU225:EMZ225"/>
    <mergeCell ref="ENA225:ENF225"/>
    <mergeCell ref="ENG225:ENL225"/>
    <mergeCell ref="ENM225:ENR225"/>
    <mergeCell ref="ENS225:ENX225"/>
    <mergeCell ref="ENY225:EOD225"/>
    <mergeCell ref="EKA225:EKF225"/>
    <mergeCell ref="EKG225:EKL225"/>
    <mergeCell ref="EKM225:EKR225"/>
    <mergeCell ref="EKS225:EKX225"/>
    <mergeCell ref="EKY225:ELD225"/>
    <mergeCell ref="ELE225:ELJ225"/>
    <mergeCell ref="ELK225:ELP225"/>
    <mergeCell ref="ELQ225:ELV225"/>
    <mergeCell ref="ELW225:EMB225"/>
    <mergeCell ref="EHY225:EID225"/>
    <mergeCell ref="EIE225:EIJ225"/>
    <mergeCell ref="EIK225:EIP225"/>
    <mergeCell ref="EIQ225:EIV225"/>
    <mergeCell ref="EIW225:EJB225"/>
    <mergeCell ref="EJC225:EJH225"/>
    <mergeCell ref="EJI225:EJN225"/>
    <mergeCell ref="EJO225:EJT225"/>
    <mergeCell ref="EJU225:EJZ225"/>
    <mergeCell ref="EFW225:EGB225"/>
    <mergeCell ref="EGC225:EGH225"/>
    <mergeCell ref="EGI225:EGN225"/>
    <mergeCell ref="EGO225:EGT225"/>
    <mergeCell ref="EGU225:EGZ225"/>
    <mergeCell ref="EHA225:EHF225"/>
    <mergeCell ref="EHG225:EHL225"/>
    <mergeCell ref="EHM225:EHR225"/>
    <mergeCell ref="EHS225:EHX225"/>
    <mergeCell ref="EDU225:EDZ225"/>
    <mergeCell ref="EEA225:EEF225"/>
    <mergeCell ref="EEG225:EEL225"/>
    <mergeCell ref="EEM225:EER225"/>
    <mergeCell ref="EES225:EEX225"/>
    <mergeCell ref="EEY225:EFD225"/>
    <mergeCell ref="EFE225:EFJ225"/>
    <mergeCell ref="EFK225:EFP225"/>
    <mergeCell ref="EFQ225:EFV225"/>
    <mergeCell ref="EBS225:EBX225"/>
    <mergeCell ref="EBY225:ECD225"/>
    <mergeCell ref="ECE225:ECJ225"/>
    <mergeCell ref="ECK225:ECP225"/>
    <mergeCell ref="ECQ225:ECV225"/>
    <mergeCell ref="ECW225:EDB225"/>
    <mergeCell ref="EDC225:EDH225"/>
    <mergeCell ref="EDI225:EDN225"/>
    <mergeCell ref="EDO225:EDT225"/>
    <mergeCell ref="DZQ225:DZV225"/>
    <mergeCell ref="DZW225:EAB225"/>
    <mergeCell ref="EAC225:EAH225"/>
    <mergeCell ref="EAI225:EAN225"/>
    <mergeCell ref="EAO225:EAT225"/>
    <mergeCell ref="EAU225:EAZ225"/>
    <mergeCell ref="EBA225:EBF225"/>
    <mergeCell ref="EBG225:EBL225"/>
    <mergeCell ref="EBM225:EBR225"/>
    <mergeCell ref="DXO225:DXT225"/>
    <mergeCell ref="DXU225:DXZ225"/>
    <mergeCell ref="DYA225:DYF225"/>
    <mergeCell ref="DYG225:DYL225"/>
    <mergeCell ref="DYM225:DYR225"/>
    <mergeCell ref="DYS225:DYX225"/>
    <mergeCell ref="DYY225:DZD225"/>
    <mergeCell ref="DZE225:DZJ225"/>
    <mergeCell ref="DZK225:DZP225"/>
    <mergeCell ref="DVM225:DVR225"/>
    <mergeCell ref="DVS225:DVX225"/>
    <mergeCell ref="DVY225:DWD225"/>
    <mergeCell ref="DWE225:DWJ225"/>
    <mergeCell ref="DWK225:DWP225"/>
    <mergeCell ref="DWQ225:DWV225"/>
    <mergeCell ref="DWW225:DXB225"/>
    <mergeCell ref="DXC225:DXH225"/>
    <mergeCell ref="DXI225:DXN225"/>
    <mergeCell ref="DTK225:DTP225"/>
    <mergeCell ref="DTQ225:DTV225"/>
    <mergeCell ref="DTW225:DUB225"/>
    <mergeCell ref="DUC225:DUH225"/>
    <mergeCell ref="DUI225:DUN225"/>
    <mergeCell ref="DUO225:DUT225"/>
    <mergeCell ref="DUU225:DUZ225"/>
    <mergeCell ref="DVA225:DVF225"/>
    <mergeCell ref="DVG225:DVL225"/>
    <mergeCell ref="DRI225:DRN225"/>
    <mergeCell ref="DRO225:DRT225"/>
    <mergeCell ref="DRU225:DRZ225"/>
    <mergeCell ref="DSA225:DSF225"/>
    <mergeCell ref="DSG225:DSL225"/>
    <mergeCell ref="DSM225:DSR225"/>
    <mergeCell ref="DSS225:DSX225"/>
    <mergeCell ref="DSY225:DTD225"/>
    <mergeCell ref="DTE225:DTJ225"/>
    <mergeCell ref="DPG225:DPL225"/>
    <mergeCell ref="DPM225:DPR225"/>
    <mergeCell ref="DPS225:DPX225"/>
    <mergeCell ref="DPY225:DQD225"/>
    <mergeCell ref="DQE225:DQJ225"/>
    <mergeCell ref="DQK225:DQP225"/>
    <mergeCell ref="DQQ225:DQV225"/>
    <mergeCell ref="DQW225:DRB225"/>
    <mergeCell ref="DRC225:DRH225"/>
    <mergeCell ref="DNE225:DNJ225"/>
    <mergeCell ref="DNK225:DNP225"/>
    <mergeCell ref="DNQ225:DNV225"/>
    <mergeCell ref="DNW225:DOB225"/>
    <mergeCell ref="DOC225:DOH225"/>
    <mergeCell ref="DOI225:DON225"/>
    <mergeCell ref="DOO225:DOT225"/>
    <mergeCell ref="DOU225:DOZ225"/>
    <mergeCell ref="DPA225:DPF225"/>
    <mergeCell ref="DLC225:DLH225"/>
    <mergeCell ref="DLI225:DLN225"/>
    <mergeCell ref="DLO225:DLT225"/>
    <mergeCell ref="DLU225:DLZ225"/>
    <mergeCell ref="DMA225:DMF225"/>
    <mergeCell ref="DMG225:DML225"/>
    <mergeCell ref="DMM225:DMR225"/>
    <mergeCell ref="DMS225:DMX225"/>
    <mergeCell ref="DMY225:DND225"/>
    <mergeCell ref="DJA225:DJF225"/>
    <mergeCell ref="DJG225:DJL225"/>
    <mergeCell ref="DJM225:DJR225"/>
    <mergeCell ref="DJS225:DJX225"/>
    <mergeCell ref="DJY225:DKD225"/>
    <mergeCell ref="DKE225:DKJ225"/>
    <mergeCell ref="DKK225:DKP225"/>
    <mergeCell ref="DKQ225:DKV225"/>
    <mergeCell ref="DKW225:DLB225"/>
    <mergeCell ref="DGY225:DHD225"/>
    <mergeCell ref="DHE225:DHJ225"/>
    <mergeCell ref="DHK225:DHP225"/>
    <mergeCell ref="DHQ225:DHV225"/>
    <mergeCell ref="DHW225:DIB225"/>
    <mergeCell ref="DIC225:DIH225"/>
    <mergeCell ref="DII225:DIN225"/>
    <mergeCell ref="DIO225:DIT225"/>
    <mergeCell ref="DIU225:DIZ225"/>
    <mergeCell ref="DEW225:DFB225"/>
    <mergeCell ref="DFC225:DFH225"/>
    <mergeCell ref="DFI225:DFN225"/>
    <mergeCell ref="DFO225:DFT225"/>
    <mergeCell ref="DFU225:DFZ225"/>
    <mergeCell ref="DGA225:DGF225"/>
    <mergeCell ref="DGG225:DGL225"/>
    <mergeCell ref="DGM225:DGR225"/>
    <mergeCell ref="DGS225:DGX225"/>
    <mergeCell ref="DCU225:DCZ225"/>
    <mergeCell ref="DDA225:DDF225"/>
    <mergeCell ref="DDG225:DDL225"/>
    <mergeCell ref="DDM225:DDR225"/>
    <mergeCell ref="DDS225:DDX225"/>
    <mergeCell ref="DDY225:DED225"/>
    <mergeCell ref="DEE225:DEJ225"/>
    <mergeCell ref="DEK225:DEP225"/>
    <mergeCell ref="DEQ225:DEV225"/>
    <mergeCell ref="DAS225:DAX225"/>
    <mergeCell ref="DAY225:DBD225"/>
    <mergeCell ref="DBE225:DBJ225"/>
    <mergeCell ref="DBK225:DBP225"/>
    <mergeCell ref="DBQ225:DBV225"/>
    <mergeCell ref="DBW225:DCB225"/>
    <mergeCell ref="DCC225:DCH225"/>
    <mergeCell ref="DCI225:DCN225"/>
    <mergeCell ref="DCO225:DCT225"/>
    <mergeCell ref="CYQ225:CYV225"/>
    <mergeCell ref="CYW225:CZB225"/>
    <mergeCell ref="CZC225:CZH225"/>
    <mergeCell ref="CZI225:CZN225"/>
    <mergeCell ref="CZO225:CZT225"/>
    <mergeCell ref="CZU225:CZZ225"/>
    <mergeCell ref="DAA225:DAF225"/>
    <mergeCell ref="DAG225:DAL225"/>
    <mergeCell ref="DAM225:DAR225"/>
    <mergeCell ref="CWO225:CWT225"/>
    <mergeCell ref="CWU225:CWZ225"/>
    <mergeCell ref="CXA225:CXF225"/>
    <mergeCell ref="CXG225:CXL225"/>
    <mergeCell ref="CXM225:CXR225"/>
    <mergeCell ref="CXS225:CXX225"/>
    <mergeCell ref="CXY225:CYD225"/>
    <mergeCell ref="CYE225:CYJ225"/>
    <mergeCell ref="CYK225:CYP225"/>
    <mergeCell ref="CUM225:CUR225"/>
    <mergeCell ref="CUS225:CUX225"/>
    <mergeCell ref="CUY225:CVD225"/>
    <mergeCell ref="CVE225:CVJ225"/>
    <mergeCell ref="CVK225:CVP225"/>
    <mergeCell ref="CVQ225:CVV225"/>
    <mergeCell ref="CVW225:CWB225"/>
    <mergeCell ref="CWC225:CWH225"/>
    <mergeCell ref="CWI225:CWN225"/>
    <mergeCell ref="CSK225:CSP225"/>
    <mergeCell ref="CSQ225:CSV225"/>
    <mergeCell ref="CSW225:CTB225"/>
    <mergeCell ref="CTC225:CTH225"/>
    <mergeCell ref="CTI225:CTN225"/>
    <mergeCell ref="CTO225:CTT225"/>
    <mergeCell ref="CTU225:CTZ225"/>
    <mergeCell ref="CUA225:CUF225"/>
    <mergeCell ref="CUG225:CUL225"/>
    <mergeCell ref="CQI225:CQN225"/>
    <mergeCell ref="CQO225:CQT225"/>
    <mergeCell ref="CQU225:CQZ225"/>
    <mergeCell ref="CRA225:CRF225"/>
    <mergeCell ref="CRG225:CRL225"/>
    <mergeCell ref="CRM225:CRR225"/>
    <mergeCell ref="CRS225:CRX225"/>
    <mergeCell ref="CRY225:CSD225"/>
    <mergeCell ref="CSE225:CSJ225"/>
    <mergeCell ref="COG225:COL225"/>
    <mergeCell ref="COM225:COR225"/>
    <mergeCell ref="COS225:COX225"/>
    <mergeCell ref="COY225:CPD225"/>
    <mergeCell ref="CPE225:CPJ225"/>
    <mergeCell ref="CPK225:CPP225"/>
    <mergeCell ref="CPQ225:CPV225"/>
    <mergeCell ref="CPW225:CQB225"/>
    <mergeCell ref="CQC225:CQH225"/>
    <mergeCell ref="CME225:CMJ225"/>
    <mergeCell ref="CMK225:CMP225"/>
    <mergeCell ref="CMQ225:CMV225"/>
    <mergeCell ref="CMW225:CNB225"/>
    <mergeCell ref="CNC225:CNH225"/>
    <mergeCell ref="CNI225:CNN225"/>
    <mergeCell ref="CNO225:CNT225"/>
    <mergeCell ref="CNU225:CNZ225"/>
    <mergeCell ref="COA225:COF225"/>
    <mergeCell ref="CKC225:CKH225"/>
    <mergeCell ref="CKI225:CKN225"/>
    <mergeCell ref="CKO225:CKT225"/>
    <mergeCell ref="CKU225:CKZ225"/>
    <mergeCell ref="CLA225:CLF225"/>
    <mergeCell ref="CLG225:CLL225"/>
    <mergeCell ref="CLM225:CLR225"/>
    <mergeCell ref="CLS225:CLX225"/>
    <mergeCell ref="CLY225:CMD225"/>
    <mergeCell ref="CIA225:CIF225"/>
    <mergeCell ref="CIG225:CIL225"/>
    <mergeCell ref="CIM225:CIR225"/>
    <mergeCell ref="CIS225:CIX225"/>
    <mergeCell ref="CIY225:CJD225"/>
    <mergeCell ref="CJE225:CJJ225"/>
    <mergeCell ref="CJK225:CJP225"/>
    <mergeCell ref="CJQ225:CJV225"/>
    <mergeCell ref="CJW225:CKB225"/>
    <mergeCell ref="CFY225:CGD225"/>
    <mergeCell ref="CGE225:CGJ225"/>
    <mergeCell ref="CGK225:CGP225"/>
    <mergeCell ref="CGQ225:CGV225"/>
    <mergeCell ref="CGW225:CHB225"/>
    <mergeCell ref="CHC225:CHH225"/>
    <mergeCell ref="CHI225:CHN225"/>
    <mergeCell ref="CHO225:CHT225"/>
    <mergeCell ref="CHU225:CHZ225"/>
    <mergeCell ref="CDW225:CEB225"/>
    <mergeCell ref="CEC225:CEH225"/>
    <mergeCell ref="CEI225:CEN225"/>
    <mergeCell ref="CEO225:CET225"/>
    <mergeCell ref="CEU225:CEZ225"/>
    <mergeCell ref="CFA225:CFF225"/>
    <mergeCell ref="CFG225:CFL225"/>
    <mergeCell ref="CFM225:CFR225"/>
    <mergeCell ref="CFS225:CFX225"/>
    <mergeCell ref="CBU225:CBZ225"/>
    <mergeCell ref="CCA225:CCF225"/>
    <mergeCell ref="CCG225:CCL225"/>
    <mergeCell ref="CCM225:CCR225"/>
    <mergeCell ref="CCS225:CCX225"/>
    <mergeCell ref="CCY225:CDD225"/>
    <mergeCell ref="CDE225:CDJ225"/>
    <mergeCell ref="CDK225:CDP225"/>
    <mergeCell ref="CDQ225:CDV225"/>
    <mergeCell ref="BZS225:BZX225"/>
    <mergeCell ref="BZY225:CAD225"/>
    <mergeCell ref="CAE225:CAJ225"/>
    <mergeCell ref="CAK225:CAP225"/>
    <mergeCell ref="CAQ225:CAV225"/>
    <mergeCell ref="CAW225:CBB225"/>
    <mergeCell ref="CBC225:CBH225"/>
    <mergeCell ref="CBI225:CBN225"/>
    <mergeCell ref="CBO225:CBT225"/>
    <mergeCell ref="BXQ225:BXV225"/>
    <mergeCell ref="BXW225:BYB225"/>
    <mergeCell ref="BYC225:BYH225"/>
    <mergeCell ref="BYI225:BYN225"/>
    <mergeCell ref="BYO225:BYT225"/>
    <mergeCell ref="BYU225:BYZ225"/>
    <mergeCell ref="BZA225:BZF225"/>
    <mergeCell ref="BZG225:BZL225"/>
    <mergeCell ref="BZM225:BZR225"/>
    <mergeCell ref="BVO225:BVT225"/>
    <mergeCell ref="BVU225:BVZ225"/>
    <mergeCell ref="BWA225:BWF225"/>
    <mergeCell ref="BWG225:BWL225"/>
    <mergeCell ref="BWM225:BWR225"/>
    <mergeCell ref="BWS225:BWX225"/>
    <mergeCell ref="BWY225:BXD225"/>
    <mergeCell ref="BXE225:BXJ225"/>
    <mergeCell ref="BXK225:BXP225"/>
    <mergeCell ref="BTM225:BTR225"/>
    <mergeCell ref="BTS225:BTX225"/>
    <mergeCell ref="BTY225:BUD225"/>
    <mergeCell ref="BUE225:BUJ225"/>
    <mergeCell ref="BUK225:BUP225"/>
    <mergeCell ref="BUQ225:BUV225"/>
    <mergeCell ref="BUW225:BVB225"/>
    <mergeCell ref="BVC225:BVH225"/>
    <mergeCell ref="BVI225:BVN225"/>
    <mergeCell ref="BRK225:BRP225"/>
    <mergeCell ref="BRQ225:BRV225"/>
    <mergeCell ref="BRW225:BSB225"/>
    <mergeCell ref="BSC225:BSH225"/>
    <mergeCell ref="BSI225:BSN225"/>
    <mergeCell ref="BSO225:BST225"/>
    <mergeCell ref="BSU225:BSZ225"/>
    <mergeCell ref="BTA225:BTF225"/>
    <mergeCell ref="BTG225:BTL225"/>
    <mergeCell ref="BPI225:BPN225"/>
    <mergeCell ref="BPO225:BPT225"/>
    <mergeCell ref="BPU225:BPZ225"/>
    <mergeCell ref="BQA225:BQF225"/>
    <mergeCell ref="BQG225:BQL225"/>
    <mergeCell ref="BQM225:BQR225"/>
    <mergeCell ref="BQS225:BQX225"/>
    <mergeCell ref="BQY225:BRD225"/>
    <mergeCell ref="BRE225:BRJ225"/>
    <mergeCell ref="BNG225:BNL225"/>
    <mergeCell ref="BNM225:BNR225"/>
    <mergeCell ref="BNS225:BNX225"/>
    <mergeCell ref="BNY225:BOD225"/>
    <mergeCell ref="BOE225:BOJ225"/>
    <mergeCell ref="BOK225:BOP225"/>
    <mergeCell ref="BOQ225:BOV225"/>
    <mergeCell ref="BOW225:BPB225"/>
    <mergeCell ref="BPC225:BPH225"/>
    <mergeCell ref="BLE225:BLJ225"/>
    <mergeCell ref="BLK225:BLP225"/>
    <mergeCell ref="BLQ225:BLV225"/>
    <mergeCell ref="BLW225:BMB225"/>
    <mergeCell ref="BMC225:BMH225"/>
    <mergeCell ref="BMI225:BMN225"/>
    <mergeCell ref="BMO225:BMT225"/>
    <mergeCell ref="BMU225:BMZ225"/>
    <mergeCell ref="BNA225:BNF225"/>
    <mergeCell ref="BJC225:BJH225"/>
    <mergeCell ref="BJI225:BJN225"/>
    <mergeCell ref="BJO225:BJT225"/>
    <mergeCell ref="BJU225:BJZ225"/>
    <mergeCell ref="BKA225:BKF225"/>
    <mergeCell ref="BKG225:BKL225"/>
    <mergeCell ref="BKM225:BKR225"/>
    <mergeCell ref="BKS225:BKX225"/>
    <mergeCell ref="BKY225:BLD225"/>
    <mergeCell ref="BHA225:BHF225"/>
    <mergeCell ref="BHG225:BHL225"/>
    <mergeCell ref="BHM225:BHR225"/>
    <mergeCell ref="BHS225:BHX225"/>
    <mergeCell ref="BHY225:BID225"/>
    <mergeCell ref="BIE225:BIJ225"/>
    <mergeCell ref="BIK225:BIP225"/>
    <mergeCell ref="BIQ225:BIV225"/>
    <mergeCell ref="BIW225:BJB225"/>
    <mergeCell ref="BEY225:BFD225"/>
    <mergeCell ref="BFE225:BFJ225"/>
    <mergeCell ref="BFK225:BFP225"/>
    <mergeCell ref="BFQ225:BFV225"/>
    <mergeCell ref="BFW225:BGB225"/>
    <mergeCell ref="BGC225:BGH225"/>
    <mergeCell ref="BGI225:BGN225"/>
    <mergeCell ref="BGO225:BGT225"/>
    <mergeCell ref="BGU225:BGZ225"/>
    <mergeCell ref="BCW225:BDB225"/>
    <mergeCell ref="BDC225:BDH225"/>
    <mergeCell ref="BDI225:BDN225"/>
    <mergeCell ref="BDO225:BDT225"/>
    <mergeCell ref="BDU225:BDZ225"/>
    <mergeCell ref="BEA225:BEF225"/>
    <mergeCell ref="BEG225:BEL225"/>
    <mergeCell ref="BEM225:BER225"/>
    <mergeCell ref="BES225:BEX225"/>
    <mergeCell ref="BAU225:BAZ225"/>
    <mergeCell ref="BBA225:BBF225"/>
    <mergeCell ref="BBG225:BBL225"/>
    <mergeCell ref="BBM225:BBR225"/>
    <mergeCell ref="BBS225:BBX225"/>
    <mergeCell ref="BBY225:BCD225"/>
    <mergeCell ref="BCE225:BCJ225"/>
    <mergeCell ref="BCK225:BCP225"/>
    <mergeCell ref="BCQ225:BCV225"/>
    <mergeCell ref="AYS225:AYX225"/>
    <mergeCell ref="AYY225:AZD225"/>
    <mergeCell ref="AZE225:AZJ225"/>
    <mergeCell ref="AZK225:AZP225"/>
    <mergeCell ref="AZQ225:AZV225"/>
    <mergeCell ref="AZW225:BAB225"/>
    <mergeCell ref="BAC225:BAH225"/>
    <mergeCell ref="BAI225:BAN225"/>
    <mergeCell ref="BAO225:BAT225"/>
    <mergeCell ref="AWQ225:AWV225"/>
    <mergeCell ref="AWW225:AXB225"/>
    <mergeCell ref="AXC225:AXH225"/>
    <mergeCell ref="AXI225:AXN225"/>
    <mergeCell ref="AXO225:AXT225"/>
    <mergeCell ref="AXU225:AXZ225"/>
    <mergeCell ref="AYA225:AYF225"/>
    <mergeCell ref="AYG225:AYL225"/>
    <mergeCell ref="AYM225:AYR225"/>
    <mergeCell ref="AUO225:AUT225"/>
    <mergeCell ref="AUU225:AUZ225"/>
    <mergeCell ref="AVA225:AVF225"/>
    <mergeCell ref="AVG225:AVL225"/>
    <mergeCell ref="AVM225:AVR225"/>
    <mergeCell ref="AVS225:AVX225"/>
    <mergeCell ref="AVY225:AWD225"/>
    <mergeCell ref="AWE225:AWJ225"/>
    <mergeCell ref="AWK225:AWP225"/>
    <mergeCell ref="ASM225:ASR225"/>
    <mergeCell ref="ASS225:ASX225"/>
    <mergeCell ref="ASY225:ATD225"/>
    <mergeCell ref="ATE225:ATJ225"/>
    <mergeCell ref="ATK225:ATP225"/>
    <mergeCell ref="ATQ225:ATV225"/>
    <mergeCell ref="ATW225:AUB225"/>
    <mergeCell ref="AUC225:AUH225"/>
    <mergeCell ref="AUI225:AUN225"/>
    <mergeCell ref="AQK225:AQP225"/>
    <mergeCell ref="AQQ225:AQV225"/>
    <mergeCell ref="AQW225:ARB225"/>
    <mergeCell ref="ARC225:ARH225"/>
    <mergeCell ref="ARI225:ARN225"/>
    <mergeCell ref="ARO225:ART225"/>
    <mergeCell ref="ARU225:ARZ225"/>
    <mergeCell ref="ASA225:ASF225"/>
    <mergeCell ref="ASG225:ASL225"/>
    <mergeCell ref="AOI225:AON225"/>
    <mergeCell ref="AOO225:AOT225"/>
    <mergeCell ref="AOU225:AOZ225"/>
    <mergeCell ref="APA225:APF225"/>
    <mergeCell ref="APG225:APL225"/>
    <mergeCell ref="APM225:APR225"/>
    <mergeCell ref="APS225:APX225"/>
    <mergeCell ref="APY225:AQD225"/>
    <mergeCell ref="AQE225:AQJ225"/>
    <mergeCell ref="AMG225:AML225"/>
    <mergeCell ref="AMM225:AMR225"/>
    <mergeCell ref="AMS225:AMX225"/>
    <mergeCell ref="AMY225:AND225"/>
    <mergeCell ref="ANE225:ANJ225"/>
    <mergeCell ref="ANK225:ANP225"/>
    <mergeCell ref="ANQ225:ANV225"/>
    <mergeCell ref="ANW225:AOB225"/>
    <mergeCell ref="AOC225:AOH225"/>
    <mergeCell ref="AKE225:AKJ225"/>
    <mergeCell ref="AKK225:AKP225"/>
    <mergeCell ref="AKQ225:AKV225"/>
    <mergeCell ref="AKW225:ALB225"/>
    <mergeCell ref="ALC225:ALH225"/>
    <mergeCell ref="ALI225:ALN225"/>
    <mergeCell ref="ALO225:ALT225"/>
    <mergeCell ref="ALU225:ALZ225"/>
    <mergeCell ref="AMA225:AMF225"/>
    <mergeCell ref="AIC225:AIH225"/>
    <mergeCell ref="AII225:AIN225"/>
    <mergeCell ref="AIO225:AIT225"/>
    <mergeCell ref="AIU225:AIZ225"/>
    <mergeCell ref="AJA225:AJF225"/>
    <mergeCell ref="AJG225:AJL225"/>
    <mergeCell ref="AJM225:AJR225"/>
    <mergeCell ref="AJS225:AJX225"/>
    <mergeCell ref="AJY225:AKD225"/>
    <mergeCell ref="AGA225:AGF225"/>
    <mergeCell ref="AGG225:AGL225"/>
    <mergeCell ref="AGM225:AGR225"/>
    <mergeCell ref="AGS225:AGX225"/>
    <mergeCell ref="AGY225:AHD225"/>
    <mergeCell ref="AHE225:AHJ225"/>
    <mergeCell ref="AHK225:AHP225"/>
    <mergeCell ref="AHQ225:AHV225"/>
    <mergeCell ref="AHW225:AIB225"/>
    <mergeCell ref="ADY225:AED225"/>
    <mergeCell ref="AEE225:AEJ225"/>
    <mergeCell ref="AEK225:AEP225"/>
    <mergeCell ref="AEQ225:AEV225"/>
    <mergeCell ref="AEW225:AFB225"/>
    <mergeCell ref="AFC225:AFH225"/>
    <mergeCell ref="AFI225:AFN225"/>
    <mergeCell ref="AFO225:AFT225"/>
    <mergeCell ref="AFU225:AFZ225"/>
    <mergeCell ref="ABW225:ACB225"/>
    <mergeCell ref="ACC225:ACH225"/>
    <mergeCell ref="ACI225:ACN225"/>
    <mergeCell ref="ACO225:ACT225"/>
    <mergeCell ref="ACU225:ACZ225"/>
    <mergeCell ref="ADA225:ADF225"/>
    <mergeCell ref="ADG225:ADL225"/>
    <mergeCell ref="ADM225:ADR225"/>
    <mergeCell ref="ADS225:ADX225"/>
    <mergeCell ref="ZU225:ZZ225"/>
    <mergeCell ref="AAA225:AAF225"/>
    <mergeCell ref="AAG225:AAL225"/>
    <mergeCell ref="AAM225:AAR225"/>
    <mergeCell ref="AAS225:AAX225"/>
    <mergeCell ref="AAY225:ABD225"/>
    <mergeCell ref="ABE225:ABJ225"/>
    <mergeCell ref="ABK225:ABP225"/>
    <mergeCell ref="ABQ225:ABV225"/>
    <mergeCell ref="XS225:XX225"/>
    <mergeCell ref="XY225:YD225"/>
    <mergeCell ref="YE225:YJ225"/>
    <mergeCell ref="YK225:YP225"/>
    <mergeCell ref="YQ225:YV225"/>
    <mergeCell ref="YW225:ZB225"/>
    <mergeCell ref="ZC225:ZH225"/>
    <mergeCell ref="ZI225:ZN225"/>
    <mergeCell ref="ZO225:ZT225"/>
    <mergeCell ref="VQ225:VV225"/>
    <mergeCell ref="VW225:WB225"/>
    <mergeCell ref="WC225:WH225"/>
    <mergeCell ref="WI225:WN225"/>
    <mergeCell ref="WO225:WT225"/>
    <mergeCell ref="WU225:WZ225"/>
    <mergeCell ref="XA225:XF225"/>
    <mergeCell ref="XG225:XL225"/>
    <mergeCell ref="XM225:XR225"/>
    <mergeCell ref="TO225:TT225"/>
    <mergeCell ref="TU225:TZ225"/>
    <mergeCell ref="UA225:UF225"/>
    <mergeCell ref="UG225:UL225"/>
    <mergeCell ref="UM225:UR225"/>
    <mergeCell ref="US225:UX225"/>
    <mergeCell ref="UY225:VD225"/>
    <mergeCell ref="VE225:VJ225"/>
    <mergeCell ref="VK225:VP225"/>
    <mergeCell ref="RM225:RR225"/>
    <mergeCell ref="RS225:RX225"/>
    <mergeCell ref="RY225:SD225"/>
    <mergeCell ref="SE225:SJ225"/>
    <mergeCell ref="SK225:SP225"/>
    <mergeCell ref="SQ225:SV225"/>
    <mergeCell ref="SW225:TB225"/>
    <mergeCell ref="TC225:TH225"/>
    <mergeCell ref="TI225:TN225"/>
    <mergeCell ref="PK225:PP225"/>
    <mergeCell ref="PQ225:PV225"/>
    <mergeCell ref="PW225:QB225"/>
    <mergeCell ref="QC225:QH225"/>
    <mergeCell ref="QI225:QN225"/>
    <mergeCell ref="QO225:QT225"/>
    <mergeCell ref="QU225:QZ225"/>
    <mergeCell ref="RA225:RF225"/>
    <mergeCell ref="RG225:RL225"/>
    <mergeCell ref="NI225:NN225"/>
    <mergeCell ref="NO225:NT225"/>
    <mergeCell ref="NU225:NZ225"/>
    <mergeCell ref="OA225:OF225"/>
    <mergeCell ref="OG225:OL225"/>
    <mergeCell ref="OM225:OR225"/>
    <mergeCell ref="OS225:OX225"/>
    <mergeCell ref="OY225:PD225"/>
    <mergeCell ref="PE225:PJ225"/>
    <mergeCell ref="LY225:MD225"/>
    <mergeCell ref="ME225:MJ225"/>
    <mergeCell ref="HC225:HH225"/>
    <mergeCell ref="HI225:HN225"/>
    <mergeCell ref="HO225:HT225"/>
    <mergeCell ref="HU225:HZ225"/>
    <mergeCell ref="IA225:IF225"/>
    <mergeCell ref="IG225:IL225"/>
    <mergeCell ref="MK225:MP225"/>
    <mergeCell ref="MQ225:MV225"/>
    <mergeCell ref="MW225:NB225"/>
    <mergeCell ref="NC225:NH225"/>
    <mergeCell ref="JE225:JJ225"/>
    <mergeCell ref="JK225:JP225"/>
    <mergeCell ref="JQ225:JV225"/>
    <mergeCell ref="JW225:KB225"/>
    <mergeCell ref="KC225:KH225"/>
    <mergeCell ref="KI225:KN225"/>
    <mergeCell ref="KO225:KT225"/>
    <mergeCell ref="KU225:KZ225"/>
    <mergeCell ref="LA225:LF225"/>
    <mergeCell ref="IM225:IR225"/>
    <mergeCell ref="IS225:IX225"/>
    <mergeCell ref="B158:C158"/>
    <mergeCell ref="D158:F158"/>
    <mergeCell ref="B142:C142"/>
    <mergeCell ref="IY225:JD225"/>
    <mergeCell ref="LM225:LR225"/>
    <mergeCell ref="LS225:LX225"/>
    <mergeCell ref="B89:C89"/>
    <mergeCell ref="B126:C126"/>
    <mergeCell ref="D126:F126"/>
    <mergeCell ref="B130:C130"/>
    <mergeCell ref="D130:F130"/>
    <mergeCell ref="B102:C102"/>
    <mergeCell ref="D102:F102"/>
    <mergeCell ref="B103:C103"/>
    <mergeCell ref="D103:F103"/>
    <mergeCell ref="B90:C90"/>
    <mergeCell ref="D89:F89"/>
    <mergeCell ref="B150:C150"/>
    <mergeCell ref="D150:F150"/>
    <mergeCell ref="B146:C146"/>
    <mergeCell ref="B179:C179"/>
    <mergeCell ref="B104:C104"/>
    <mergeCell ref="D104:F104"/>
    <mergeCell ref="CY225:DD225"/>
    <mergeCell ref="DE225:DJ225"/>
    <mergeCell ref="DK225:DP225"/>
    <mergeCell ref="D153:F153"/>
    <mergeCell ref="B157:C157"/>
    <mergeCell ref="D157:F157"/>
    <mergeCell ref="B128:C128"/>
    <mergeCell ref="D128:F128"/>
    <mergeCell ref="D156:F156"/>
    <mergeCell ref="D187:F187"/>
    <mergeCell ref="B188:C188"/>
    <mergeCell ref="D188:F188"/>
    <mergeCell ref="B169:C169"/>
    <mergeCell ref="FA225:FF225"/>
    <mergeCell ref="FG225:FL225"/>
    <mergeCell ref="FM225:FR225"/>
    <mergeCell ref="FS225:FX225"/>
    <mergeCell ref="FY225:GD225"/>
    <mergeCell ref="GE225:GJ225"/>
    <mergeCell ref="GK225:GP225"/>
    <mergeCell ref="GQ225:GV225"/>
    <mergeCell ref="GW225:HB225"/>
    <mergeCell ref="B198:C198"/>
    <mergeCell ref="D198:F198"/>
    <mergeCell ref="D193:F193"/>
    <mergeCell ref="B194:C194"/>
    <mergeCell ref="D194:F194"/>
    <mergeCell ref="B195:C195"/>
    <mergeCell ref="D195:F195"/>
    <mergeCell ref="B171:C171"/>
    <mergeCell ref="D171:F171"/>
    <mergeCell ref="B172:C172"/>
    <mergeCell ref="D172:F172"/>
    <mergeCell ref="D179:F179"/>
    <mergeCell ref="B206:G206"/>
    <mergeCell ref="D169:F169"/>
    <mergeCell ref="B176:C176"/>
    <mergeCell ref="D176:F176"/>
    <mergeCell ref="LG225:LL225"/>
    <mergeCell ref="B184:C184"/>
    <mergeCell ref="D184:F184"/>
    <mergeCell ref="B196:C196"/>
    <mergeCell ref="D196:F196"/>
    <mergeCell ref="B197:C197"/>
    <mergeCell ref="D197:F197"/>
    <mergeCell ref="H31:K31"/>
    <mergeCell ref="L31:O31"/>
    <mergeCell ref="H29:O29"/>
    <mergeCell ref="B105:C105"/>
    <mergeCell ref="D105:F105"/>
    <mergeCell ref="B107:C107"/>
    <mergeCell ref="D107:F107"/>
    <mergeCell ref="DQ225:DV225"/>
    <mergeCell ref="DW225:EB225"/>
    <mergeCell ref="EC225:EH225"/>
    <mergeCell ref="EI225:EN225"/>
    <mergeCell ref="EO225:ET225"/>
    <mergeCell ref="EU225:EZ225"/>
    <mergeCell ref="AW225:BB225"/>
    <mergeCell ref="BC225:BH225"/>
    <mergeCell ref="BI225:BN225"/>
    <mergeCell ref="BO225:BT225"/>
    <mergeCell ref="BU225:BZ225"/>
    <mergeCell ref="CA225:CF225"/>
    <mergeCell ref="CG225:CL225"/>
    <mergeCell ref="CM225:CR225"/>
    <mergeCell ref="CS225:CX225"/>
    <mergeCell ref="D148:F148"/>
    <mergeCell ref="B149:C149"/>
    <mergeCell ref="AQ225:AV225"/>
    <mergeCell ref="B71:C71"/>
    <mergeCell ref="D71:F71"/>
    <mergeCell ref="B78:C78"/>
    <mergeCell ref="D78:F78"/>
    <mergeCell ref="D62:F62"/>
    <mergeCell ref="B67:C67"/>
    <mergeCell ref="B45:C45"/>
    <mergeCell ref="B55:C55"/>
    <mergeCell ref="B39:C39"/>
    <mergeCell ref="B2:G2"/>
    <mergeCell ref="A225:F225"/>
    <mergeCell ref="G225:L225"/>
    <mergeCell ref="M225:R225"/>
    <mergeCell ref="S225:X225"/>
    <mergeCell ref="Y225:AD225"/>
    <mergeCell ref="AE225:AJ225"/>
    <mergeCell ref="AK225:AP225"/>
    <mergeCell ref="C16:G16"/>
    <mergeCell ref="C17:G17"/>
    <mergeCell ref="B8:G8"/>
    <mergeCell ref="C21:G21"/>
    <mergeCell ref="C22:G22"/>
    <mergeCell ref="B5:G5"/>
    <mergeCell ref="B56:C56"/>
    <mergeCell ref="D56:F56"/>
    <mergeCell ref="D46:F46"/>
    <mergeCell ref="D47:F47"/>
    <mergeCell ref="B64:C64"/>
    <mergeCell ref="B54:C54"/>
    <mergeCell ref="B61:C61"/>
    <mergeCell ref="B46:C46"/>
    <mergeCell ref="B47:C47"/>
    <mergeCell ref="D33:F33"/>
    <mergeCell ref="B34:C34"/>
    <mergeCell ref="H32:K32"/>
    <mergeCell ref="B43:C43"/>
    <mergeCell ref="B35:C35"/>
    <mergeCell ref="D35:F35"/>
    <mergeCell ref="B36:C36"/>
    <mergeCell ref="B40:C40"/>
    <mergeCell ref="D40:F40"/>
    <mergeCell ref="B41:C41"/>
    <mergeCell ref="D41:F41"/>
    <mergeCell ref="H44:K64"/>
    <mergeCell ref="D48:F48"/>
    <mergeCell ref="D49:F49"/>
    <mergeCell ref="D36:F36"/>
    <mergeCell ref="B32:C32"/>
    <mergeCell ref="D32:F32"/>
    <mergeCell ref="D51:F51"/>
    <mergeCell ref="B63:C63"/>
    <mergeCell ref="D43:F43"/>
    <mergeCell ref="B33:C33"/>
    <mergeCell ref="D44:F44"/>
    <mergeCell ref="D45:F45"/>
    <mergeCell ref="D39:F39"/>
    <mergeCell ref="B48:C48"/>
    <mergeCell ref="D34:F34"/>
    <mergeCell ref="D55:F55"/>
    <mergeCell ref="D42:F42"/>
    <mergeCell ref="D3:G3"/>
    <mergeCell ref="B4:G4"/>
    <mergeCell ref="B6:G6"/>
    <mergeCell ref="B12:G12"/>
    <mergeCell ref="B28:G28"/>
    <mergeCell ref="B7:G7"/>
    <mergeCell ref="B10:G10"/>
    <mergeCell ref="B11:G11"/>
    <mergeCell ref="B31:C31"/>
    <mergeCell ref="D31:F31"/>
    <mergeCell ref="C23:G23"/>
    <mergeCell ref="C24:G24"/>
    <mergeCell ref="C25:G25"/>
    <mergeCell ref="C26:G26"/>
    <mergeCell ref="C27:G27"/>
    <mergeCell ref="C19:G19"/>
    <mergeCell ref="C20:G20"/>
    <mergeCell ref="B3:C3"/>
    <mergeCell ref="C14:G14"/>
    <mergeCell ref="C15:G15"/>
    <mergeCell ref="C18:G18"/>
    <mergeCell ref="C13:G13"/>
    <mergeCell ref="B9:G9"/>
    <mergeCell ref="B29:G29"/>
    <mergeCell ref="B30:G30"/>
    <mergeCell ref="D69:F69"/>
    <mergeCell ref="D54:F54"/>
    <mergeCell ref="D66:F66"/>
    <mergeCell ref="B65:C65"/>
    <mergeCell ref="D65:F65"/>
    <mergeCell ref="B60:C60"/>
    <mergeCell ref="D60:F60"/>
    <mergeCell ref="B53:C53"/>
    <mergeCell ref="D53:F53"/>
    <mergeCell ref="B49:C49"/>
    <mergeCell ref="B44:C44"/>
    <mergeCell ref="D50:F50"/>
    <mergeCell ref="B62:C62"/>
    <mergeCell ref="D52:F52"/>
    <mergeCell ref="B52:C52"/>
    <mergeCell ref="D67:F67"/>
    <mergeCell ref="B68:C68"/>
    <mergeCell ref="D68:F68"/>
    <mergeCell ref="D63:F63"/>
    <mergeCell ref="D64:F64"/>
    <mergeCell ref="D61:F61"/>
    <mergeCell ref="B50:C50"/>
    <mergeCell ref="B51:C51"/>
    <mergeCell ref="B69:C69"/>
    <mergeCell ref="B72:C72"/>
    <mergeCell ref="D72:F72"/>
    <mergeCell ref="D84:F84"/>
    <mergeCell ref="B85:C85"/>
    <mergeCell ref="B82:C82"/>
    <mergeCell ref="D82:F82"/>
    <mergeCell ref="D96:F96"/>
    <mergeCell ref="B97:C97"/>
    <mergeCell ref="D97:F97"/>
    <mergeCell ref="B98:C98"/>
    <mergeCell ref="D98:F98"/>
    <mergeCell ref="B100:C100"/>
    <mergeCell ref="D90:F90"/>
    <mergeCell ref="B88:C88"/>
    <mergeCell ref="D88:F88"/>
    <mergeCell ref="B87:C87"/>
    <mergeCell ref="B76:C76"/>
    <mergeCell ref="D76:F76"/>
    <mergeCell ref="B83:C83"/>
    <mergeCell ref="D83:F83"/>
    <mergeCell ref="D77:F77"/>
    <mergeCell ref="B80:C80"/>
    <mergeCell ref="D80:F80"/>
    <mergeCell ref="D87:F87"/>
    <mergeCell ref="B73:C73"/>
    <mergeCell ref="D73:F73"/>
    <mergeCell ref="B74:C74"/>
    <mergeCell ref="D74:F74"/>
    <mergeCell ref="B77:C77"/>
    <mergeCell ref="B75:C75"/>
    <mergeCell ref="B81:C81"/>
    <mergeCell ref="D81:F81"/>
    <mergeCell ref="D100:F100"/>
    <mergeCell ref="B101:C101"/>
    <mergeCell ref="D101:F101"/>
    <mergeCell ref="B92:C92"/>
    <mergeCell ref="D92:F92"/>
    <mergeCell ref="B93:C93"/>
    <mergeCell ref="D93:F93"/>
    <mergeCell ref="B94:C94"/>
    <mergeCell ref="D94:F94"/>
    <mergeCell ref="B86:C86"/>
    <mergeCell ref="D86:F86"/>
    <mergeCell ref="D75:F75"/>
    <mergeCell ref="D91:F91"/>
    <mergeCell ref="B95:C95"/>
    <mergeCell ref="D95:F95"/>
    <mergeCell ref="B96:C96"/>
    <mergeCell ref="D115:F115"/>
    <mergeCell ref="B108:C108"/>
    <mergeCell ref="D111:F111"/>
    <mergeCell ref="B110:C110"/>
    <mergeCell ref="D110:F110"/>
    <mergeCell ref="B111:C111"/>
    <mergeCell ref="D142:F142"/>
    <mergeCell ref="B141:C141"/>
    <mergeCell ref="D141:F141"/>
    <mergeCell ref="B145:C145"/>
    <mergeCell ref="D145:F145"/>
    <mergeCell ref="B153:C153"/>
    <mergeCell ref="B261:C261"/>
    <mergeCell ref="B259:G259"/>
    <mergeCell ref="E248:G248"/>
    <mergeCell ref="B202:C202"/>
    <mergeCell ref="D201:F201"/>
    <mergeCell ref="B137:C137"/>
    <mergeCell ref="D137:F137"/>
    <mergeCell ref="B138:C138"/>
    <mergeCell ref="D138:F138"/>
    <mergeCell ref="B147:C147"/>
    <mergeCell ref="D149:F149"/>
    <mergeCell ref="E246:G246"/>
    <mergeCell ref="E247:G247"/>
    <mergeCell ref="B227:G227"/>
    <mergeCell ref="C221:G221"/>
    <mergeCell ref="C222:G222"/>
    <mergeCell ref="D147:F147"/>
    <mergeCell ref="D146:F146"/>
    <mergeCell ref="B154:C154"/>
    <mergeCell ref="D154:F154"/>
    <mergeCell ref="B175:C175"/>
    <mergeCell ref="D175:F175"/>
    <mergeCell ref="B165:C165"/>
    <mergeCell ref="D165:F165"/>
    <mergeCell ref="B166:C166"/>
    <mergeCell ref="D166:F166"/>
    <mergeCell ref="D168:F168"/>
    <mergeCell ref="B170:C170"/>
    <mergeCell ref="D170:F170"/>
    <mergeCell ref="B200:C200"/>
    <mergeCell ref="B229:D229"/>
    <mergeCell ref="B230:D230"/>
    <mergeCell ref="B231:D231"/>
    <mergeCell ref="B232:D232"/>
    <mergeCell ref="E244:G244"/>
    <mergeCell ref="E245:G245"/>
    <mergeCell ref="B173:C173"/>
    <mergeCell ref="C275:D275"/>
    <mergeCell ref="B251:G251"/>
    <mergeCell ref="B260:G260"/>
    <mergeCell ref="B256:C256"/>
    <mergeCell ref="B252:D252"/>
    <mergeCell ref="B250:G250"/>
    <mergeCell ref="C263:D263"/>
    <mergeCell ref="C258:D258"/>
    <mergeCell ref="B257:C257"/>
    <mergeCell ref="F252:G254"/>
    <mergeCell ref="B266:G266"/>
    <mergeCell ref="B267:C267"/>
    <mergeCell ref="B268:C268"/>
    <mergeCell ref="C269:D269"/>
    <mergeCell ref="B272:G272"/>
    <mergeCell ref="B273:C273"/>
    <mergeCell ref="B274:C274"/>
    <mergeCell ref="B262:C262"/>
    <mergeCell ref="B186:C186"/>
    <mergeCell ref="D186:F186"/>
    <mergeCell ref="B187:C187"/>
    <mergeCell ref="E239:G239"/>
    <mergeCell ref="E240:G240"/>
    <mergeCell ref="C209:G209"/>
    <mergeCell ref="C210:G210"/>
    <mergeCell ref="B201:C201"/>
    <mergeCell ref="E234:G234"/>
    <mergeCell ref="E235:G235"/>
    <mergeCell ref="E236:G236"/>
    <mergeCell ref="E237:G237"/>
    <mergeCell ref="E229:G229"/>
    <mergeCell ref="E230:G230"/>
    <mergeCell ref="E231:G231"/>
    <mergeCell ref="C217:G217"/>
    <mergeCell ref="C218:G218"/>
    <mergeCell ref="D202:F202"/>
    <mergeCell ref="B203:C203"/>
    <mergeCell ref="D203:F203"/>
    <mergeCell ref="B204:G204"/>
    <mergeCell ref="C219:G219"/>
    <mergeCell ref="C216:G216"/>
    <mergeCell ref="B228:C228"/>
    <mergeCell ref="C220:G220"/>
    <mergeCell ref="C213:G213"/>
    <mergeCell ref="B223:G223"/>
    <mergeCell ref="D151:F151"/>
    <mergeCell ref="B122:C122"/>
    <mergeCell ref="D122:F122"/>
    <mergeCell ref="B99:C99"/>
    <mergeCell ref="D99:F99"/>
    <mergeCell ref="B160:C160"/>
    <mergeCell ref="D160:F160"/>
    <mergeCell ref="B106:C106"/>
    <mergeCell ref="D106:F106"/>
    <mergeCell ref="B226:G226"/>
    <mergeCell ref="B224:G224"/>
    <mergeCell ref="C208:G208"/>
    <mergeCell ref="C211:G211"/>
    <mergeCell ref="C214:G214"/>
    <mergeCell ref="C215:G215"/>
    <mergeCell ref="C212:G212"/>
    <mergeCell ref="B177:C177"/>
    <mergeCell ref="D177:F177"/>
    <mergeCell ref="B178:C178"/>
    <mergeCell ref="D178:F178"/>
    <mergeCell ref="B180:C180"/>
    <mergeCell ref="B207:G207"/>
    <mergeCell ref="B123:C123"/>
    <mergeCell ref="D180:F180"/>
    <mergeCell ref="B181:C181"/>
    <mergeCell ref="D181:F181"/>
    <mergeCell ref="B185:C185"/>
    <mergeCell ref="D185:F185"/>
    <mergeCell ref="B205:G205"/>
    <mergeCell ref="B167:C167"/>
    <mergeCell ref="D167:F167"/>
    <mergeCell ref="B168:C168"/>
    <mergeCell ref="B249:G249"/>
    <mergeCell ref="B237:D237"/>
    <mergeCell ref="B247:D247"/>
    <mergeCell ref="B248:D248"/>
    <mergeCell ref="B238:D238"/>
    <mergeCell ref="B239:D239"/>
    <mergeCell ref="B240:D240"/>
    <mergeCell ref="B241:D241"/>
    <mergeCell ref="B242:D242"/>
    <mergeCell ref="B243:D243"/>
    <mergeCell ref="B244:D244"/>
    <mergeCell ref="B245:D245"/>
    <mergeCell ref="B246:D246"/>
    <mergeCell ref="B182:C182"/>
    <mergeCell ref="D182:F182"/>
    <mergeCell ref="B199:C199"/>
    <mergeCell ref="D199:F199"/>
    <mergeCell ref="D189:F189"/>
    <mergeCell ref="B190:C190"/>
    <mergeCell ref="D190:F190"/>
    <mergeCell ref="E241:G241"/>
    <mergeCell ref="E242:G242"/>
    <mergeCell ref="E243:G243"/>
    <mergeCell ref="B233:D233"/>
    <mergeCell ref="B234:D234"/>
    <mergeCell ref="B235:D235"/>
    <mergeCell ref="B236:D236"/>
    <mergeCell ref="E238:G238"/>
    <mergeCell ref="D200:F200"/>
    <mergeCell ref="E228:G228"/>
    <mergeCell ref="E232:G232"/>
    <mergeCell ref="E233:G233"/>
    <mergeCell ref="H30:O30"/>
    <mergeCell ref="B37:C37"/>
    <mergeCell ref="D37:F37"/>
    <mergeCell ref="B38:C38"/>
    <mergeCell ref="D38:F38"/>
    <mergeCell ref="B116:C116"/>
    <mergeCell ref="D116:F116"/>
    <mergeCell ref="B117:C117"/>
    <mergeCell ref="D117:F117"/>
    <mergeCell ref="B118:C118"/>
    <mergeCell ref="D118:F118"/>
    <mergeCell ref="D70:F70"/>
    <mergeCell ref="B113:C113"/>
    <mergeCell ref="D113:F113"/>
    <mergeCell ref="B114:C114"/>
    <mergeCell ref="D114:F114"/>
    <mergeCell ref="B66:C66"/>
    <mergeCell ref="B42:C42"/>
    <mergeCell ref="D85:F85"/>
    <mergeCell ref="B91:C91"/>
    <mergeCell ref="B84:C84"/>
    <mergeCell ref="B58:C58"/>
    <mergeCell ref="D58:F58"/>
    <mergeCell ref="B59:C59"/>
    <mergeCell ref="D59:F59"/>
    <mergeCell ref="B70:C70"/>
    <mergeCell ref="B79:C79"/>
    <mergeCell ref="D79:F79"/>
    <mergeCell ref="B112:C112"/>
    <mergeCell ref="D112:F112"/>
    <mergeCell ref="B57:C57"/>
    <mergeCell ref="D57:F57"/>
    <mergeCell ref="C253:D253"/>
    <mergeCell ref="B161:C161"/>
    <mergeCell ref="D161:F161"/>
    <mergeCell ref="B162:C162"/>
    <mergeCell ref="D162:F162"/>
    <mergeCell ref="B163:C163"/>
    <mergeCell ref="D163:F163"/>
    <mergeCell ref="B164:C164"/>
    <mergeCell ref="D164:F164"/>
    <mergeCell ref="D173:F173"/>
    <mergeCell ref="B174:C174"/>
    <mergeCell ref="D174:F174"/>
    <mergeCell ref="D108:F108"/>
    <mergeCell ref="D123:F123"/>
    <mergeCell ref="B124:C124"/>
    <mergeCell ref="D124:F124"/>
    <mergeCell ref="B125:C125"/>
    <mergeCell ref="D125:F125"/>
    <mergeCell ref="B119:C119"/>
    <mergeCell ref="D119:F119"/>
    <mergeCell ref="B120:C120"/>
    <mergeCell ref="D120:F120"/>
    <mergeCell ref="B121:C121"/>
    <mergeCell ref="D121:F121"/>
    <mergeCell ref="B189:C189"/>
    <mergeCell ref="B191:C191"/>
    <mergeCell ref="D191:F191"/>
    <mergeCell ref="B192:C192"/>
    <mergeCell ref="D192:F192"/>
    <mergeCell ref="B193:C193"/>
    <mergeCell ref="B183:C183"/>
    <mergeCell ref="D183:F183"/>
  </mergeCells>
  <conditionalFormatting sqref="B5">
    <cfRule type="expression" dxfId="770" priority="15">
      <formula>$B5="Paramedic"</formula>
    </cfRule>
    <cfRule type="expression" dxfId="769" priority="16">
      <formula>$B5="AEMT"</formula>
    </cfRule>
  </conditionalFormatting>
  <conditionalFormatting sqref="B9">
    <cfRule type="expression" dxfId="768" priority="13">
      <formula>$B9="Paramedic"</formula>
    </cfRule>
    <cfRule type="expression" dxfId="767" priority="14">
      <formula>$B9="AEMT"</formula>
    </cfRule>
  </conditionalFormatting>
  <conditionalFormatting sqref="B205">
    <cfRule type="expression" dxfId="766" priority="11">
      <formula>$B205="Paramedic"</formula>
    </cfRule>
    <cfRule type="expression" dxfId="765" priority="12">
      <formula>$B205="AEMT"</formula>
    </cfRule>
  </conditionalFormatting>
  <conditionalFormatting sqref="B223">
    <cfRule type="expression" dxfId="764" priority="9">
      <formula>$B223="Paramedic"</formula>
    </cfRule>
    <cfRule type="expression" dxfId="763" priority="10">
      <formula>$B223="AEMT"</formula>
    </cfRule>
  </conditionalFormatting>
  <conditionalFormatting sqref="B249">
    <cfRule type="expression" dxfId="762" priority="7">
      <formula>$B249="Paramedic"</formula>
    </cfRule>
    <cfRule type="expression" dxfId="761" priority="8">
      <formula>$B249="AEMT"</formula>
    </cfRule>
  </conditionalFormatting>
  <conditionalFormatting sqref="B50:C50">
    <cfRule type="expression" dxfId="760" priority="32">
      <formula>$B$50&lt;&gt;""</formula>
    </cfRule>
  </conditionalFormatting>
  <conditionalFormatting sqref="B51:C51">
    <cfRule type="expression" dxfId="759" priority="5">
      <formula>$B$51&lt;&gt;""</formula>
    </cfRule>
  </conditionalFormatting>
  <conditionalFormatting sqref="B52:C52">
    <cfRule type="expression" dxfId="758" priority="6">
      <formula>$B$52&lt;&gt;""</formula>
    </cfRule>
  </conditionalFormatting>
  <conditionalFormatting sqref="B57:C59">
    <cfRule type="expression" dxfId="757" priority="31">
      <formula>$B$57&lt;&gt;""</formula>
    </cfRule>
  </conditionalFormatting>
  <conditionalFormatting sqref="B62:C64">
    <cfRule type="expression" dxfId="756" priority="3">
      <formula>$B$62&lt;&gt;""</formula>
    </cfRule>
  </conditionalFormatting>
  <conditionalFormatting sqref="B69:C71">
    <cfRule type="expression" dxfId="755" priority="29">
      <formula>$B$69&lt;&gt;""</formula>
    </cfRule>
  </conditionalFormatting>
  <conditionalFormatting sqref="B77:C79">
    <cfRule type="expression" dxfId="754" priority="28">
      <formula>$B$77&lt;&gt;""</formula>
    </cfRule>
  </conditionalFormatting>
  <conditionalFormatting sqref="B80:C82">
    <cfRule type="expression" dxfId="753" priority="27">
      <formula>$B$80&lt;&gt;""</formula>
    </cfRule>
  </conditionalFormatting>
  <conditionalFormatting sqref="B109:C111">
    <cfRule type="expression" dxfId="752" priority="26">
      <formula>$B$109&lt;&gt;""</formula>
    </cfRule>
  </conditionalFormatting>
  <conditionalFormatting sqref="B126:C128">
    <cfRule type="expression" dxfId="751" priority="24">
      <formula>$B$126&lt;&gt;""</formula>
    </cfRule>
  </conditionalFormatting>
  <conditionalFormatting sqref="B130:C136">
    <cfRule type="expression" dxfId="750" priority="23">
      <formula>$B$130&lt;&gt;""</formula>
    </cfRule>
  </conditionalFormatting>
  <conditionalFormatting sqref="B138:C140">
    <cfRule type="expression" dxfId="749" priority="22">
      <formula>$B$138&lt;&gt;""</formula>
    </cfRule>
  </conditionalFormatting>
  <conditionalFormatting sqref="B142:C144">
    <cfRule type="expression" dxfId="748" priority="21">
      <formula>$B$142&lt;&gt;""</formula>
    </cfRule>
  </conditionalFormatting>
  <conditionalFormatting sqref="B147:C149">
    <cfRule type="expression" dxfId="747" priority="20">
      <formula>$B$147&lt;&gt;""</formula>
    </cfRule>
  </conditionalFormatting>
  <conditionalFormatting sqref="B154:C156">
    <cfRule type="expression" dxfId="746" priority="19">
      <formula>$B$154&lt;&gt;""</formula>
    </cfRule>
  </conditionalFormatting>
  <conditionalFormatting sqref="B182:C184">
    <cfRule type="expression" dxfId="745" priority="18">
      <formula>$B$182&lt;&gt;""</formula>
    </cfRule>
  </conditionalFormatting>
  <conditionalFormatting sqref="B196:C198">
    <cfRule type="expression" dxfId="744" priority="1">
      <formula>$B$198&lt;&gt;""</formula>
    </cfRule>
  </conditionalFormatting>
  <pageMargins left="0.45" right="0.45" top="0.5" bottom="0.5" header="0.3" footer="0.3"/>
  <pageSetup scale="81" fitToHeight="0" orientation="landscape" horizontalDpi="1200" verticalDpi="1200" r:id="rId3"/>
  <rowBreaks count="4" manualBreakCount="4">
    <brk id="11" max="6" man="1"/>
    <brk id="27" max="6" man="1"/>
    <brk id="223" max="6" man="1"/>
    <brk id="249" max="6" man="1"/>
  </rowBreaks>
  <colBreaks count="1" manualBreakCount="1">
    <brk id="7" max="1048575" man="1"/>
  </colBreaks>
  <drawing r:id="rId4"/>
  <legacyDrawing r:id="rId5"/>
  <mc:AlternateContent xmlns:mc="http://schemas.openxmlformats.org/markup-compatibility/2006">
    <mc:Choice Requires="x14">
      <controls>
        <mc:AlternateContent xmlns:mc="http://schemas.openxmlformats.org/markup-compatibility/2006">
          <mc:Choice Requires="x14">
            <control shapeId="8194" r:id="rId6" name="Check Box 2">
              <controlPr defaultSize="0" autoFill="0" autoLine="0" autoPict="0">
                <anchor moveWithCells="1">
                  <from>
                    <xdr:col>1</xdr:col>
                    <xdr:colOff>304800</xdr:colOff>
                    <xdr:row>257</xdr:row>
                    <xdr:rowOff>66675</xdr:rowOff>
                  </from>
                  <to>
                    <xdr:col>1</xdr:col>
                    <xdr:colOff>495300</xdr:colOff>
                    <xdr:row>257</xdr:row>
                    <xdr:rowOff>190500</xdr:rowOff>
                  </to>
                </anchor>
              </controlPr>
            </control>
          </mc:Choice>
        </mc:AlternateContent>
        <mc:AlternateContent xmlns:mc="http://schemas.openxmlformats.org/markup-compatibility/2006">
          <mc:Choice Requires="x14">
            <control shapeId="8195" r:id="rId7" name="Check Box 3">
              <controlPr defaultSize="0" autoFill="0" autoLine="0" autoPict="0">
                <anchor moveWithCells="1">
                  <from>
                    <xdr:col>1</xdr:col>
                    <xdr:colOff>304800</xdr:colOff>
                    <xdr:row>262</xdr:row>
                    <xdr:rowOff>66675</xdr:rowOff>
                  </from>
                  <to>
                    <xdr:col>1</xdr:col>
                    <xdr:colOff>495300</xdr:colOff>
                    <xdr:row>262</xdr:row>
                    <xdr:rowOff>190500</xdr:rowOff>
                  </to>
                </anchor>
              </controlPr>
            </control>
          </mc:Choice>
        </mc:AlternateContent>
        <mc:AlternateContent xmlns:mc="http://schemas.openxmlformats.org/markup-compatibility/2006">
          <mc:Choice Requires="x14">
            <control shapeId="8196" r:id="rId8" name="Check Box 4">
              <controlPr defaultSize="0" autoFill="0" autoLine="0" autoPict="0">
                <anchor moveWithCells="1">
                  <from>
                    <xdr:col>1</xdr:col>
                    <xdr:colOff>304800</xdr:colOff>
                    <xdr:row>268</xdr:row>
                    <xdr:rowOff>28575</xdr:rowOff>
                  </from>
                  <to>
                    <xdr:col>1</xdr:col>
                    <xdr:colOff>495300</xdr:colOff>
                    <xdr:row>268</xdr:row>
                    <xdr:rowOff>257175</xdr:rowOff>
                  </to>
                </anchor>
              </controlPr>
            </control>
          </mc:Choice>
        </mc:AlternateContent>
        <mc:AlternateContent xmlns:mc="http://schemas.openxmlformats.org/markup-compatibility/2006">
          <mc:Choice Requires="x14">
            <control shapeId="8197" r:id="rId9" name="Check Box 5">
              <controlPr defaultSize="0" autoFill="0" autoLine="0" autoPict="0">
                <anchor moveWithCells="1">
                  <from>
                    <xdr:col>1</xdr:col>
                    <xdr:colOff>295275</xdr:colOff>
                    <xdr:row>274</xdr:row>
                    <xdr:rowOff>28575</xdr:rowOff>
                  </from>
                  <to>
                    <xdr:col>1</xdr:col>
                    <xdr:colOff>523875</xdr:colOff>
                    <xdr:row>274</xdr:row>
                    <xdr:rowOff>238125</xdr:rowOff>
                  </to>
                </anchor>
              </controlPr>
            </control>
          </mc:Choice>
        </mc:AlternateContent>
        <mc:AlternateContent xmlns:mc="http://schemas.openxmlformats.org/markup-compatibility/2006">
          <mc:Choice Requires="x14">
            <control shapeId="8198" r:id="rId10" name="Check Box 6">
              <controlPr defaultSize="0" autoFill="0" autoLine="0" autoPict="0">
                <anchor moveWithCells="1">
                  <from>
                    <xdr:col>1</xdr:col>
                    <xdr:colOff>304800</xdr:colOff>
                    <xdr:row>252</xdr:row>
                    <xdr:rowOff>66675</xdr:rowOff>
                  </from>
                  <to>
                    <xdr:col>1</xdr:col>
                    <xdr:colOff>495300</xdr:colOff>
                    <xdr:row>252</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8693D-838F-46BC-86DD-D2A3B310773F}">
  <dimension ref="B2:CR149"/>
  <sheetViews>
    <sheetView showGridLines="0" zoomScaleNormal="100" workbookViewId="0">
      <selection activeCell="F60" sqref="F60:H60"/>
    </sheetView>
  </sheetViews>
  <sheetFormatPr defaultRowHeight="14.25"/>
  <cols>
    <col min="3" max="3" width="12" customWidth="1"/>
    <col min="5" max="5" width="12.375" customWidth="1"/>
    <col min="9" max="9" width="25.75" customWidth="1"/>
    <col min="10" max="10" width="17.625" customWidth="1"/>
    <col min="11" max="11" width="8.75" customWidth="1"/>
    <col min="12" max="12" width="10.125" customWidth="1"/>
    <col min="13" max="13" width="16.25" customWidth="1"/>
    <col min="14" max="14" width="43" customWidth="1"/>
    <col min="15" max="18" width="25.75" customWidth="1"/>
    <col min="19" max="19" width="43" customWidth="1"/>
    <col min="20" max="23" width="25.75" customWidth="1"/>
    <col min="24" max="24" width="43" customWidth="1"/>
    <col min="25" max="28" width="25.75" customWidth="1"/>
  </cols>
  <sheetData>
    <row r="2" spans="2:96" ht="37.5" customHeight="1">
      <c r="B2" s="814" t="str">
        <f>IF(OR('SV Findings'!G292&lt;&gt;"N/A",'SV Findings'!G293&lt;&gt;"N/A",'SV Findings'!G294&lt;&gt;"N/A"),"Site Visit Report Satellite(s) Addendum","No Active Satellites")</f>
        <v>No Active Satellites</v>
      </c>
      <c r="C2" s="814"/>
      <c r="D2" s="814"/>
      <c r="E2" s="814"/>
      <c r="F2" s="814"/>
      <c r="G2" s="814"/>
      <c r="H2" s="814"/>
      <c r="I2" s="814"/>
      <c r="J2" s="814"/>
      <c r="K2" s="814"/>
      <c r="L2" s="814"/>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row>
    <row r="3" spans="2:96" s="146" customFormat="1" ht="27" customHeight="1">
      <c r="B3" s="629" t="str">
        <f>IF('Cover Page'!$D$8&lt;&gt;"Please Select",'Cover Page'!$D$8, "")</f>
        <v/>
      </c>
      <c r="C3" s="629"/>
      <c r="D3" s="629"/>
      <c r="E3" s="629"/>
      <c r="F3" s="629"/>
      <c r="G3" s="629"/>
      <c r="H3" s="629"/>
      <c r="I3" s="629"/>
      <c r="J3" s="629"/>
      <c r="K3" s="629"/>
      <c r="L3" s="629"/>
    </row>
    <row r="4" spans="2:96" ht="70.5" customHeight="1">
      <c r="B4" s="815" t="str">
        <f>IF(B2&lt;&gt;"","Program Satellite …off-campus location(s) that are advertised or otherwise made known to individuals outside the sponsor.  "&amp;"The off-campus location(s) must offer all the professional didactic (which may include any distance education delivery modality) and laboratory content of the program.  "&amp;"Satellites(s) are included in the CAAHEP accreditation of the sponsor and function under the direction of the Key Personnel of the program.  "&amp;"The CoAEMSP may establish additional requirements that are consistent with CAAHEP Standards and policies.","")</f>
        <v>Program Satellite …off-campus location(s) that are advertised or otherwise made known to individuals outside the sponsor.  The off-campus location(s) must offer all the professional didactic (which may include any distance education delivery modality) and laboratory content of the program.  Satellites(s) are included in the CAAHEP accreditation of the sponsor and function under the direction of the Key Personnel of the program.  The CoAEMSP may establish additional requirements that are consistent with CAAHEP Standards and policies.</v>
      </c>
      <c r="C4" s="815"/>
      <c r="D4" s="815"/>
      <c r="E4" s="815"/>
      <c r="F4" s="815"/>
      <c r="G4" s="815"/>
      <c r="H4" s="815"/>
      <c r="I4" s="815"/>
      <c r="J4" s="815"/>
      <c r="K4" s="815"/>
      <c r="L4" s="815"/>
      <c r="M4" s="86">
        <f>SUM(H6,H7,H8)</f>
        <v>0</v>
      </c>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row>
    <row r="5" spans="2:96">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row>
    <row r="6" spans="2:96" s="7" customFormat="1" ht="36" customHeight="1">
      <c r="B6" s="819" t="s">
        <v>632</v>
      </c>
      <c r="C6" s="819"/>
      <c r="D6" s="819"/>
      <c r="E6" s="819"/>
      <c r="F6" s="819"/>
      <c r="G6" s="819"/>
      <c r="H6" s="275" t="str">
        <f>'SV Findings'!G292</f>
        <v>N/A</v>
      </c>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row>
    <row r="7" spans="2:96" s="7" customFormat="1" ht="36" customHeight="1">
      <c r="B7" s="819" t="s">
        <v>633</v>
      </c>
      <c r="C7" s="819"/>
      <c r="D7" s="819"/>
      <c r="E7" s="819"/>
      <c r="F7" s="819"/>
      <c r="G7" s="819"/>
      <c r="H7" s="275" t="str">
        <f>'SV Findings'!G293</f>
        <v>N/A</v>
      </c>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row>
    <row r="8" spans="2:96" s="7" customFormat="1" ht="36" customHeight="1">
      <c r="B8" s="818" t="str">
        <f>IF('SV Findings'!G294&lt;&gt;"N/A","Number of satellite locations not approved:","")</f>
        <v/>
      </c>
      <c r="C8" s="818"/>
      <c r="D8" s="818"/>
      <c r="E8" s="818"/>
      <c r="F8" s="818"/>
      <c r="G8" s="818"/>
      <c r="H8" s="277" t="str">
        <f>IF('SV Findings'!G295&lt;&gt;"",'SV Findings'!G295,"")</f>
        <v/>
      </c>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row>
    <row r="9" spans="2:96">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row>
    <row r="10" spans="2:96" ht="24.95" customHeight="1">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row>
    <row r="11" spans="2:96" ht="25.5" customHeight="1">
      <c r="B11" s="146"/>
      <c r="C11" s="813"/>
      <c r="D11" s="813"/>
      <c r="E11" s="813"/>
      <c r="F11" s="817" t="str">
        <f>IF(H6&lt;&gt;"N/A","Same State Satellite(s)","")</f>
        <v/>
      </c>
      <c r="G11" s="817"/>
      <c r="H11" s="817"/>
      <c r="I11" s="817"/>
      <c r="J11" s="817"/>
      <c r="K11" s="817"/>
      <c r="L11" s="817"/>
      <c r="M11" s="817"/>
      <c r="N11" s="19"/>
      <c r="O11" s="823" t="str">
        <f>IF(O12&lt;&gt;"","Same State Satellite(s)","")</f>
        <v/>
      </c>
      <c r="P11" s="823"/>
      <c r="Q11" s="823"/>
      <c r="R11" s="823"/>
      <c r="S11" s="19"/>
      <c r="T11" s="817" t="str">
        <f>IF(T12&lt;&gt;"","Same State Satellite(s)","")</f>
        <v/>
      </c>
      <c r="U11" s="817"/>
      <c r="V11" s="817"/>
      <c r="W11" s="817"/>
      <c r="X11" s="19"/>
      <c r="Y11" s="823" t="str">
        <f>IF(Y12&lt;&gt;"","Same State Satellite(s)","")</f>
        <v/>
      </c>
      <c r="Z11" s="823"/>
      <c r="AA11" s="823"/>
      <c r="AB11" s="823"/>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row>
    <row r="12" spans="2:96" ht="36.75" customHeight="1">
      <c r="B12" s="146"/>
      <c r="C12" s="704"/>
      <c r="D12" s="704"/>
      <c r="E12" s="704"/>
      <c r="F12" s="817" t="str">
        <f>IF(AND($H6&lt;&gt;"N/A",$H6&gt;=1),"Satellite Location #1","")</f>
        <v/>
      </c>
      <c r="G12" s="817"/>
      <c r="H12" s="817"/>
      <c r="I12" s="159" t="str">
        <f>IF(AND($H6&lt;&gt;"N/A",$H6&gt;=2),"Satellite Location #2","")</f>
        <v/>
      </c>
      <c r="J12" s="817" t="str">
        <f>IF(AND($H6&lt;&gt;"N/A",$H6&gt;=3),"Satellite Location #3","")</f>
        <v/>
      </c>
      <c r="K12" s="817"/>
      <c r="L12" s="817" t="str">
        <f>IF(AND($H6&lt;&gt;"N/A",$H6&gt;=4),"Satellite Location #4","")</f>
        <v/>
      </c>
      <c r="M12" s="817"/>
      <c r="N12" s="19"/>
      <c r="O12" s="159" t="str">
        <f>IF(AND($H6&lt;&gt;"N/A",$H6&gt;=5),"Satellite Location #5","")</f>
        <v/>
      </c>
      <c r="P12" s="159" t="str">
        <f>IF(AND($H6&lt;&gt;"N/A",$H6&gt;=6),"Satellite Location #6","")</f>
        <v/>
      </c>
      <c r="Q12" s="159" t="str">
        <f>IF(AND($H6&lt;&gt;"N/A",$H6&gt;=7),"Satellite Location #7","")</f>
        <v/>
      </c>
      <c r="R12" s="159" t="str">
        <f>IF(AND($H6&lt;&gt;"N/A",$H6&gt;=8),"Satellite Location #8","")</f>
        <v/>
      </c>
      <c r="S12" s="19"/>
      <c r="T12" s="159" t="str">
        <f>IF(AND($H6&lt;&gt;"N/A",$H6&gt;=9),"Satellite Location #9","")</f>
        <v/>
      </c>
      <c r="U12" s="159" t="str">
        <f>IF(AND($H6&lt;&gt;"N/A",$H6&gt;=10),"Satellite Location #10","")</f>
        <v/>
      </c>
      <c r="V12" s="159" t="str">
        <f>IF(AND($H6&lt;&gt;"N/A",$H6&gt;=11),"Satellite Location #11","")</f>
        <v/>
      </c>
      <c r="W12" s="159" t="str">
        <f>IF(AND($H6&lt;&gt;"N/A",$H6&gt;=12),"Satellite Location #12","")</f>
        <v/>
      </c>
      <c r="X12" s="19"/>
      <c r="Y12" s="159" t="str">
        <f>IF(AND($H6&lt;&gt;"N/A",$H6&gt;=13),"Satellite Location #13","")</f>
        <v/>
      </c>
      <c r="Z12" s="159" t="str">
        <f>IF(AND($H6&lt;&gt;"N/A",$H6&gt;=14),"Satellite Location #14","")</f>
        <v/>
      </c>
      <c r="AA12" s="159" t="str">
        <f>IF(AND($H6&lt;&gt;"N/A",$H6&gt;=15),"Satellite Location #15","")</f>
        <v/>
      </c>
      <c r="AB12" s="159" t="str">
        <f>IF(AND($H6&lt;&gt;"N/A",$H6&gt;=16),"Satellite Location #16","")</f>
        <v/>
      </c>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row>
    <row r="13" spans="2:96" ht="39.75" customHeight="1">
      <c r="B13" s="813" t="str">
        <f>IF(F12&lt;&gt;"","Satellite Name, City, State:","")</f>
        <v/>
      </c>
      <c r="C13" s="813"/>
      <c r="D13" s="813"/>
      <c r="E13" s="813"/>
      <c r="F13" s="821"/>
      <c r="G13" s="809"/>
      <c r="H13" s="809"/>
      <c r="I13" s="160"/>
      <c r="J13" s="821"/>
      <c r="K13" s="821"/>
      <c r="L13" s="821"/>
      <c r="M13" s="821"/>
      <c r="N13" s="278" t="str">
        <f>IF(O12&lt;&gt;"","Satellite Name, City, State:","")</f>
        <v/>
      </c>
      <c r="O13" s="160"/>
      <c r="P13" s="160"/>
      <c r="Q13" s="160"/>
      <c r="R13" s="160"/>
      <c r="S13" s="278" t="str">
        <f>IF(T12&lt;&gt;"","Satellite Name, City, State:","")</f>
        <v/>
      </c>
      <c r="T13" s="160"/>
      <c r="U13" s="160"/>
      <c r="V13" s="160"/>
      <c r="W13" s="160"/>
      <c r="X13" s="278" t="str">
        <f>IF(Y12&lt;&gt;"","Satellite Name, City, State:","")</f>
        <v/>
      </c>
      <c r="Y13" s="160"/>
      <c r="Z13" s="160"/>
      <c r="AA13" s="160"/>
      <c r="AB13" s="160"/>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row>
    <row r="14" spans="2:96" ht="39.75" customHeight="1">
      <c r="B14" s="813" t="str">
        <f>IF(F12&lt;&gt;"","Distance from main campus:
(in miles)","")</f>
        <v/>
      </c>
      <c r="C14" s="813"/>
      <c r="D14" s="813"/>
      <c r="E14" s="813"/>
      <c r="F14" s="824"/>
      <c r="G14" s="824"/>
      <c r="H14" s="824"/>
      <c r="I14" s="161"/>
      <c r="J14" s="812"/>
      <c r="K14" s="812"/>
      <c r="L14" s="812"/>
      <c r="M14" s="812"/>
      <c r="N14" s="289" t="str">
        <f>IF(O12&lt;&gt;"","Distance from main campus:
(in miles)","")</f>
        <v/>
      </c>
      <c r="O14" s="161"/>
      <c r="P14" s="161"/>
      <c r="Q14" s="161"/>
      <c r="R14" s="161"/>
      <c r="S14" s="279" t="str">
        <f>IF(T12&lt;&gt;"","Distance from main campus:
(in miles)","")</f>
        <v/>
      </c>
      <c r="T14" s="161"/>
      <c r="U14" s="161"/>
      <c r="V14" s="161"/>
      <c r="W14" s="161"/>
      <c r="X14" s="279" t="str">
        <f>IF(Y12&lt;&gt;"","Distance from main campus:
(in miles)","")</f>
        <v/>
      </c>
      <c r="Y14" s="161"/>
      <c r="Z14" s="161"/>
      <c r="AA14" s="161"/>
      <c r="AB14" s="161"/>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row>
    <row r="15" spans="2:96" ht="39.75" customHeight="1">
      <c r="B15" s="813" t="str">
        <f>IF(F12&lt;&gt;"","Maximum number of students:
(per cohort)","")</f>
        <v/>
      </c>
      <c r="C15" s="813"/>
      <c r="D15" s="813"/>
      <c r="E15" s="813"/>
      <c r="F15" s="824"/>
      <c r="G15" s="824"/>
      <c r="H15" s="824"/>
      <c r="I15" s="161"/>
      <c r="J15" s="812"/>
      <c r="K15" s="812"/>
      <c r="L15" s="812"/>
      <c r="M15" s="812"/>
      <c r="N15" s="279" t="str">
        <f>IF(O12&lt;&gt;"","Maximum number of students:
(per cohort)","")</f>
        <v/>
      </c>
      <c r="O15" s="161"/>
      <c r="P15" s="161"/>
      <c r="Q15" s="161"/>
      <c r="R15" s="161"/>
      <c r="S15" s="279" t="str">
        <f>IF(T12&lt;&gt;"","Maximum number of students:
(per cohort)","")</f>
        <v/>
      </c>
      <c r="T15" s="161"/>
      <c r="U15" s="161"/>
      <c r="V15" s="161"/>
      <c r="W15" s="161"/>
      <c r="X15" s="279" t="str">
        <f>IF(Y12&lt;&gt;"","Maximum number of students:
(per cohort)","")</f>
        <v/>
      </c>
      <c r="Y15" s="161"/>
      <c r="Z15" s="161"/>
      <c r="AA15" s="161"/>
      <c r="AB15" s="161"/>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row>
    <row r="16" spans="2:96" ht="39.75" customHeight="1">
      <c r="B16" s="813" t="str">
        <f>IF(F12&lt;&gt;"","Approved satellite Lead Instructor:","")</f>
        <v/>
      </c>
      <c r="C16" s="813"/>
      <c r="D16" s="813"/>
      <c r="E16" s="813"/>
      <c r="F16" s="809"/>
      <c r="G16" s="809"/>
      <c r="H16" s="809"/>
      <c r="I16" s="160"/>
      <c r="J16" s="821"/>
      <c r="K16" s="821"/>
      <c r="L16" s="821"/>
      <c r="M16" s="821"/>
      <c r="N16" s="278" t="str">
        <f>IF(O12&lt;&gt;"","Approved satellite Lead Instructor:","")</f>
        <v/>
      </c>
      <c r="O16" s="160"/>
      <c r="P16" s="160"/>
      <c r="Q16" s="160"/>
      <c r="R16" s="160"/>
      <c r="S16" s="278" t="str">
        <f>IF(T12&lt;&gt;"","Approved satellite Lead Instructor:","")</f>
        <v/>
      </c>
      <c r="T16" s="160"/>
      <c r="U16" s="160"/>
      <c r="V16" s="160"/>
      <c r="W16" s="160"/>
      <c r="X16" s="278" t="str">
        <f>IF(Y12&lt;&gt;"","Approved satellite Lead Instructor:","")</f>
        <v/>
      </c>
      <c r="Y16" s="160"/>
      <c r="Z16" s="160"/>
      <c r="AA16" s="160"/>
      <c r="AB16" s="160"/>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row>
    <row r="17" spans="2:96" ht="39.75" customHeight="1">
      <c r="B17" s="813" t="str">
        <f>IF(F12&lt;&gt;"","Approved satellite Medical Director:","")</f>
        <v/>
      </c>
      <c r="C17" s="813"/>
      <c r="D17" s="813"/>
      <c r="E17" s="813"/>
      <c r="F17" s="809"/>
      <c r="G17" s="809"/>
      <c r="H17" s="809"/>
      <c r="I17" s="160"/>
      <c r="J17" s="821"/>
      <c r="K17" s="821"/>
      <c r="L17" s="821"/>
      <c r="M17" s="821"/>
      <c r="N17" s="278" t="str">
        <f>IF(O12&lt;&gt;"","Approved satellite Medical Director:","")</f>
        <v/>
      </c>
      <c r="O17" s="160"/>
      <c r="P17" s="160"/>
      <c r="Q17" s="160"/>
      <c r="R17" s="160"/>
      <c r="S17" s="278" t="str">
        <f>IF(T12&lt;&gt;"","Approved satellite Medical Director:","")</f>
        <v/>
      </c>
      <c r="T17" s="160"/>
      <c r="U17" s="160"/>
      <c r="V17" s="160"/>
      <c r="W17" s="160"/>
      <c r="X17" s="278" t="str">
        <f>IF(Y12&lt;&gt;"","Approved satellite Medical Director:","")</f>
        <v/>
      </c>
      <c r="Y17" s="160"/>
      <c r="Z17" s="160"/>
      <c r="AA17" s="160"/>
      <c r="AB17" s="160"/>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row>
    <row r="18" spans="2:96" ht="64.5" customHeight="1">
      <c r="B18" s="813"/>
      <c r="C18" s="813"/>
      <c r="D18" s="813"/>
      <c r="E18" s="813"/>
      <c r="F18" s="822" t="str">
        <f>IF(F$12&lt;&gt;"","Site Visitors please provide the information below specifically for this satellite location:","")</f>
        <v/>
      </c>
      <c r="G18" s="822"/>
      <c r="H18" s="822"/>
      <c r="I18" s="166" t="str">
        <f>IF(I$12&lt;&gt;"","Site Visitors please provide the information below specifically for this satellite location:","")</f>
        <v/>
      </c>
      <c r="J18" s="822" t="str">
        <f>IF(J$12&lt;&gt;"","Site Visitors please provide the information below specifically for this satellite location:","")</f>
        <v/>
      </c>
      <c r="K18" s="822"/>
      <c r="L18" s="822" t="str">
        <f>IF(L$12&lt;&gt;"","Site Visitors please provide the information below specifically for this satellite location:","")</f>
        <v/>
      </c>
      <c r="M18" s="822"/>
      <c r="N18" s="19"/>
      <c r="O18" s="166" t="str">
        <f>IF(O$12&lt;&gt;"","Site Visitors please provide the information below specifically for this satellite location:","")</f>
        <v/>
      </c>
      <c r="P18" s="166" t="str">
        <f>IF(P$12&lt;&gt;"","Site Visitors please provide the information below specifically for this satellite location:","")</f>
        <v/>
      </c>
      <c r="Q18" s="166" t="str">
        <f>IF(Q$12&lt;&gt;"","Site Visitors please provide the information below specifically for this satellite location:","")</f>
        <v/>
      </c>
      <c r="R18" s="166" t="str">
        <f>IF(R$12&lt;&gt;"","Site Visitors please provide the information below specifically for this satellite location:","")</f>
        <v/>
      </c>
      <c r="S18" s="19"/>
      <c r="T18" s="166" t="str">
        <f>IF(T$12&lt;&gt;"","Site Visitors please provide the information below specifically for this satellite location:","")</f>
        <v/>
      </c>
      <c r="U18" s="166" t="str">
        <f>IF(U$12&lt;&gt;"","Site Visitors please provide the information below specifically for this satellite location:","")</f>
        <v/>
      </c>
      <c r="V18" s="166" t="str">
        <f>IF(V$12&lt;&gt;"","Site Visitors please provide the information below specifically for this satellite location:","")</f>
        <v/>
      </c>
      <c r="W18" s="166" t="str">
        <f>IF(W$12&lt;&gt;"","Site Visitors please provide the information below specifically for this satellite location:","")</f>
        <v/>
      </c>
      <c r="X18" s="19"/>
      <c r="Y18" s="166" t="str">
        <f>IF(Y$12&lt;&gt;"","Site Visitors please provide the information below specifically for this satellite location:","")</f>
        <v/>
      </c>
      <c r="Z18" s="166" t="str">
        <f>IF(Z$12&lt;&gt;"","Site Visitors please provide the information below specifically for this satellite location:","")</f>
        <v/>
      </c>
      <c r="AA18" s="166" t="str">
        <f>IF(AA$12&lt;&gt;"","Site Visitors please provide the information below specifically for this satellite location:","")</f>
        <v/>
      </c>
      <c r="AB18" s="166" t="str">
        <f>IF(AB$12&lt;&gt;"","Site Visitors please provide the information below specifically for this satellite location:","")</f>
        <v/>
      </c>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row>
    <row r="19" spans="2:96" ht="36" customHeight="1">
      <c r="B19" s="813" t="str">
        <f>IF(F12&lt;&gt;"","Did the site visit team visit (phisically or virtually) the satellite location(s)?","")</f>
        <v/>
      </c>
      <c r="C19" s="813"/>
      <c r="D19" s="813"/>
      <c r="E19" s="813"/>
      <c r="F19" s="809"/>
      <c r="G19" s="809"/>
      <c r="H19" s="809"/>
      <c r="I19" s="162"/>
      <c r="J19" s="809"/>
      <c r="K19" s="809"/>
      <c r="L19" s="809"/>
      <c r="M19" s="809"/>
      <c r="N19" s="279" t="str">
        <f>IF(O12&lt;&gt;"","Did the site visit team visit (phisically or virtually) the satellite location(s)?","")</f>
        <v/>
      </c>
      <c r="O19" s="162"/>
      <c r="P19" s="162"/>
      <c r="Q19" s="162"/>
      <c r="R19" s="162"/>
      <c r="S19" s="279" t="str">
        <f>IF(T12&lt;&gt;"","Did the site visit team visit (phisically or virtually) the satellite location(s)?","")</f>
        <v/>
      </c>
      <c r="T19" s="162"/>
      <c r="U19" s="162"/>
      <c r="V19" s="162"/>
      <c r="W19" s="162"/>
      <c r="X19" s="279" t="str">
        <f>IF(Y12&lt;&gt;"","Did the site visit team visit (phisically or virtually) the satellite location(s)?","")</f>
        <v/>
      </c>
      <c r="Y19" s="162"/>
      <c r="Z19" s="162"/>
      <c r="AA19" s="162"/>
      <c r="AB19" s="162"/>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row>
    <row r="20" spans="2:96" ht="42" customHeight="1">
      <c r="B20" s="813" t="str">
        <f>IF(F12&lt;&gt;"","Does the program utilize specific clinical or field affiliations for this location?","")</f>
        <v/>
      </c>
      <c r="C20" s="813"/>
      <c r="D20" s="813"/>
      <c r="E20" s="813"/>
      <c r="F20" s="809"/>
      <c r="G20" s="809"/>
      <c r="H20" s="809"/>
      <c r="I20" s="162"/>
      <c r="J20" s="809"/>
      <c r="K20" s="809"/>
      <c r="L20" s="809"/>
      <c r="M20" s="809"/>
      <c r="N20" s="279" t="str">
        <f>IF(O12&lt;&gt;"","Does the program utilize specific clinical or field affiliations for this location?","")</f>
        <v/>
      </c>
      <c r="O20" s="162"/>
      <c r="P20" s="162"/>
      <c r="Q20" s="162"/>
      <c r="R20" s="162"/>
      <c r="S20" s="279" t="str">
        <f>IF(T12&lt;&gt;"","Does the program utilize specific clinical or field affiliations for this location?","")</f>
        <v/>
      </c>
      <c r="T20" s="162"/>
      <c r="U20" s="162"/>
      <c r="V20" s="162"/>
      <c r="W20" s="162"/>
      <c r="X20" s="279" t="str">
        <f>IF(Y12&lt;&gt;"","Does the program utilize specific clinical or field affiliations for this location?","")</f>
        <v/>
      </c>
      <c r="Y20" s="162"/>
      <c r="Z20" s="162"/>
      <c r="AA20" s="162"/>
      <c r="AB20" s="162"/>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row>
    <row r="21" spans="2:96" ht="36" customHeight="1">
      <c r="B21" s="813" t="str">
        <f>IF(F12&lt;&gt;"","PD responsible for management:","")</f>
        <v/>
      </c>
      <c r="C21" s="813"/>
      <c r="D21" s="813"/>
      <c r="E21" s="813"/>
      <c r="F21" s="809"/>
      <c r="G21" s="809"/>
      <c r="H21" s="809"/>
      <c r="I21" s="162"/>
      <c r="J21" s="809"/>
      <c r="K21" s="809"/>
      <c r="L21" s="809"/>
      <c r="M21" s="809"/>
      <c r="N21" s="279" t="str">
        <f>IF(O12&lt;&gt;"","PD responsible for management:","")</f>
        <v/>
      </c>
      <c r="O21" s="162"/>
      <c r="P21" s="162"/>
      <c r="Q21" s="162"/>
      <c r="R21" s="162"/>
      <c r="S21" s="279" t="str">
        <f>IF(T12&lt;&gt;"","PD responsible for management:","")</f>
        <v/>
      </c>
      <c r="T21" s="162"/>
      <c r="U21" s="162"/>
      <c r="V21" s="162"/>
      <c r="W21" s="162"/>
      <c r="X21" s="279" t="str">
        <f>IF(Y12&lt;&gt;"","PD responsible for management:","")</f>
        <v/>
      </c>
      <c r="Y21" s="162"/>
      <c r="Z21" s="162"/>
      <c r="AA21" s="162"/>
      <c r="AB21" s="162"/>
      <c r="AC21" s="19"/>
      <c r="AD21" s="19"/>
      <c r="AE21" s="19"/>
      <c r="AF21" s="19"/>
      <c r="AG21" s="19"/>
      <c r="AH21" s="19"/>
      <c r="AI21" s="56"/>
      <c r="AJ21" s="56"/>
      <c r="AK21" s="56"/>
      <c r="AL21" s="56"/>
      <c r="AM21" s="59"/>
      <c r="AN21" s="56"/>
      <c r="AO21" s="56" t="str">
        <f>IF(P21="Not Met","f","")</f>
        <v/>
      </c>
      <c r="AP21" s="56" t="str">
        <f>IF(Q21="Not Met","g","")</f>
        <v/>
      </c>
      <c r="AQ21" s="56" t="str">
        <f>IF(R21="Not Met","h","")</f>
        <v/>
      </c>
      <c r="AR21" s="59" t="str">
        <f>CONCATENATE(AN21,AO21,AP21,AQ21)</f>
        <v/>
      </c>
      <c r="AS21" s="56" t="str">
        <f>IF(T21="Not Met","i","")</f>
        <v/>
      </c>
      <c r="AT21" s="56" t="str">
        <f>IF(U21="Not Met","j","")</f>
        <v/>
      </c>
      <c r="AU21" s="56" t="str">
        <f>IF(V21="Not Met","k","")</f>
        <v/>
      </c>
      <c r="AV21" s="56" t="str">
        <f>IF(W21="Not Met","l","")</f>
        <v/>
      </c>
      <c r="AW21" s="59" t="str">
        <f>CONCATENATE(AS21,AT21,AU21,AV21)</f>
        <v/>
      </c>
      <c r="AX21" s="56" t="str">
        <f>IF(Y21="Not Met","m","")</f>
        <v/>
      </c>
      <c r="AY21" s="56" t="str">
        <f>IF(Z21="Not Met","n","")</f>
        <v/>
      </c>
      <c r="AZ21" s="56" t="str">
        <f>IF(AA21="Not Met","o","")</f>
        <v/>
      </c>
      <c r="BA21" s="56" t="str">
        <f>IF(AB21="Not Met","p","")</f>
        <v/>
      </c>
      <c r="BB21" s="59" t="str">
        <f>CONCATENATE(AX21,AY21,AZ21,BA21)</f>
        <v/>
      </c>
      <c r="BC21" s="56"/>
      <c r="BD21" s="56"/>
      <c r="BE21" s="56"/>
      <c r="BF21" s="56"/>
      <c r="BG21" s="56"/>
      <c r="BH21" s="56"/>
      <c r="BI21" s="56"/>
      <c r="BJ21" s="56"/>
      <c r="BK21" s="56"/>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row>
    <row r="22" spans="2:96" ht="52.5" customHeight="1">
      <c r="B22" s="813" t="str">
        <f>IF(F12&lt;&gt;"","Satellite(s) Resources Assessment Matrix (RAM) completed 
(separate from main campus)?","")</f>
        <v/>
      </c>
      <c r="C22" s="813"/>
      <c r="D22" s="813"/>
      <c r="E22" s="813"/>
      <c r="F22" s="809"/>
      <c r="G22" s="809"/>
      <c r="H22" s="809"/>
      <c r="I22" s="162"/>
      <c r="J22" s="809"/>
      <c r="K22" s="809"/>
      <c r="L22" s="809"/>
      <c r="M22" s="809"/>
      <c r="N22" s="279" t="str">
        <f>IF(O12&lt;&gt;"","Satellite(s) Resources Assessment Matrix (RAM) completed 
(separate from main campus)?","")</f>
        <v/>
      </c>
      <c r="O22" s="162"/>
      <c r="P22" s="162"/>
      <c r="Q22" s="162"/>
      <c r="R22" s="162"/>
      <c r="S22" s="279" t="str">
        <f>IF(T12&lt;&gt;"","Satellite(s) Resources Assessment Matrix (RAM) completed 
(separate from main campus)?","")</f>
        <v/>
      </c>
      <c r="T22" s="162"/>
      <c r="U22" s="162"/>
      <c r="V22" s="162"/>
      <c r="W22" s="162"/>
      <c r="X22" s="279" t="str">
        <f>IF(Y12&lt;&gt;"","Satellite(s) Resources Assessment Matrix (RAM) completed 
(separate from main campus)?","")</f>
        <v/>
      </c>
      <c r="Y22" s="162"/>
      <c r="Z22" s="162"/>
      <c r="AA22" s="162"/>
      <c r="AB22" s="162"/>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row>
    <row r="23" spans="2:96" ht="39" customHeight="1">
      <c r="B23" s="813" t="str">
        <f>IF(F12&lt;&gt;"","Were the equipment &amp; supplies sufficient?","")</f>
        <v/>
      </c>
      <c r="C23" s="813"/>
      <c r="D23" s="813"/>
      <c r="E23" s="813"/>
      <c r="F23" s="809"/>
      <c r="G23" s="809"/>
      <c r="H23" s="809"/>
      <c r="I23" s="162"/>
      <c r="J23" s="809"/>
      <c r="K23" s="809"/>
      <c r="L23" s="809"/>
      <c r="M23" s="809"/>
      <c r="N23" s="279" t="str">
        <f>IF(O12&lt;&gt;"","Were the equipment &amp; supplies sufficient?","")</f>
        <v/>
      </c>
      <c r="O23" s="162"/>
      <c r="P23" s="162"/>
      <c r="Q23" s="162"/>
      <c r="R23" s="162"/>
      <c r="S23" s="279" t="str">
        <f>IF(T12&lt;&gt;"","Were the equipment &amp; supplies sufficient?","")</f>
        <v/>
      </c>
      <c r="T23" s="162"/>
      <c r="U23" s="162"/>
      <c r="V23" s="162"/>
      <c r="W23" s="162"/>
      <c r="X23" s="279" t="str">
        <f>IF(Y12&lt;&gt;"","Were the equipment &amp; supplies sufficient?","")</f>
        <v/>
      </c>
      <c r="Y23" s="162"/>
      <c r="Z23" s="162"/>
      <c r="AA23" s="162"/>
      <c r="AB23" s="162"/>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row>
    <row r="24" spans="2:96" ht="42" customHeight="1">
      <c r="B24" s="813" t="str">
        <f>IF(F12&lt;&gt;"","Were the facilities sufficient?","")</f>
        <v/>
      </c>
      <c r="C24" s="813"/>
      <c r="D24" s="813"/>
      <c r="E24" s="813"/>
      <c r="F24" s="809"/>
      <c r="G24" s="809"/>
      <c r="H24" s="809"/>
      <c r="I24" s="162"/>
      <c r="J24" s="809"/>
      <c r="K24" s="809"/>
      <c r="L24" s="809"/>
      <c r="M24" s="809"/>
      <c r="N24" s="279" t="str">
        <f>IF(O12&lt;&gt;"","Were the facilities sufficient?","")</f>
        <v/>
      </c>
      <c r="O24" s="162"/>
      <c r="P24" s="162"/>
      <c r="Q24" s="162"/>
      <c r="R24" s="162"/>
      <c r="S24" s="279" t="str">
        <f>IF(T12&lt;&gt;"","Were the facilities sufficient?","")</f>
        <v/>
      </c>
      <c r="T24" s="162"/>
      <c r="U24" s="162"/>
      <c r="V24" s="162"/>
      <c r="W24" s="162"/>
      <c r="X24" s="279" t="str">
        <f>IF(Y12&lt;&gt;"","Were the facilities sufficient?","")</f>
        <v/>
      </c>
      <c r="Y24" s="162"/>
      <c r="Z24" s="162"/>
      <c r="AA24" s="162"/>
      <c r="AB24" s="162"/>
      <c r="AC24" s="19"/>
      <c r="AD24" s="19"/>
      <c r="AE24" s="19"/>
      <c r="AF24" s="19"/>
      <c r="AG24" s="19"/>
      <c r="AH24" s="19"/>
      <c r="AI24" s="56"/>
      <c r="AJ24" s="56"/>
      <c r="AK24" s="56"/>
      <c r="AL24" s="56"/>
      <c r="AM24" s="59"/>
      <c r="AN24" s="56"/>
      <c r="AO24" s="56"/>
      <c r="AP24" s="56"/>
      <c r="AQ24" s="56"/>
      <c r="AR24" s="59"/>
      <c r="AS24" s="56"/>
      <c r="AT24" s="56"/>
      <c r="AU24" s="56"/>
      <c r="AV24" s="56"/>
      <c r="AW24" s="59"/>
      <c r="AX24" s="56"/>
      <c r="AY24" s="56"/>
      <c r="AZ24" s="56"/>
      <c r="BA24" s="56"/>
      <c r="BB24" s="56"/>
      <c r="BC24" s="56"/>
      <c r="BD24" s="19"/>
      <c r="BE24" s="56"/>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row>
    <row r="25" spans="2:96" ht="62.25" customHeight="1">
      <c r="B25" s="813" t="str">
        <f>IF(OR(F$24="Not Met",I$24="Not Met",J$24="Not Met",L$24="Not Met",O$24="Not Met"),"Rationale for 'Not Met' OR 
Clarification Needed for Facilities:","")</f>
        <v/>
      </c>
      <c r="C25" s="813"/>
      <c r="D25" s="813"/>
      <c r="E25" s="813"/>
      <c r="F25" s="811"/>
      <c r="G25" s="811"/>
      <c r="H25" s="811"/>
      <c r="I25" s="163"/>
      <c r="J25" s="811"/>
      <c r="K25" s="811"/>
      <c r="L25" s="811"/>
      <c r="M25" s="811"/>
      <c r="N25" s="279" t="str">
        <f>IF(OR(O$24="Not Met",P$24="Not Met",Q$24="Not Met",R$24="Not Met"),"Rationale for 'Not Met' OR 
Clarification Needed for Facilities:","")</f>
        <v/>
      </c>
      <c r="O25" s="163"/>
      <c r="P25" s="163"/>
      <c r="Q25" s="163"/>
      <c r="R25" s="163"/>
      <c r="S25" s="279" t="str">
        <f>IF(OR(T$24="Not Met",U$24="Not Met",V$24="Not Met",W$24="Not Met"),"Rationale for 'Not Met' OR 
Clarification Needed for Facilities:","")</f>
        <v/>
      </c>
      <c r="T25" s="163"/>
      <c r="U25" s="163"/>
      <c r="V25" s="163"/>
      <c r="W25" s="163"/>
      <c r="X25" s="279" t="str">
        <f>IF(OR(Y$24="Not Met",Z$24="Not Met",AA$24="Not Met",AB$24="Not Met"),"Rationale for 'Not Met' OR 
Clarification Needed for Facilities:","")</f>
        <v/>
      </c>
      <c r="Y25" s="163"/>
      <c r="Z25" s="163"/>
      <c r="AA25" s="163"/>
      <c r="AB25" s="163"/>
      <c r="AC25" s="19"/>
      <c r="AD25" s="19"/>
      <c r="AE25" s="19"/>
      <c r="AF25" s="19"/>
      <c r="AG25" s="19"/>
      <c r="AH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row>
    <row r="26" spans="2:96" ht="68.25" customHeight="1">
      <c r="B26" s="813" t="str">
        <f>IF(F12&lt;&gt;"","Program materials apply to the satellite course:
(program catalog, student handbook, policy manual, &amp; clinical/field internship materials)","")</f>
        <v/>
      </c>
      <c r="C26" s="813"/>
      <c r="D26" s="813"/>
      <c r="E26" s="813"/>
      <c r="F26" s="809"/>
      <c r="G26" s="809"/>
      <c r="H26" s="809"/>
      <c r="I26" s="162"/>
      <c r="J26" s="809"/>
      <c r="K26" s="809"/>
      <c r="L26" s="809"/>
      <c r="M26" s="809"/>
      <c r="N26" s="279" t="str">
        <f>IF(O12&lt;&gt;"","Program materials apply to the satellite course:
(program catalog, student handbook, policy manual, &amp; clinical/field internship materials)","")</f>
        <v/>
      </c>
      <c r="O26" s="162"/>
      <c r="P26" s="162"/>
      <c r="Q26" s="162"/>
      <c r="R26" s="162"/>
      <c r="S26" s="279" t="str">
        <f>IF(T12&lt;&gt;"","Program materials apply to the satellite course:
(program catalog, student handbook, policy manual, &amp; clinical/field internship materials)","")</f>
        <v/>
      </c>
      <c r="T26" s="162"/>
      <c r="U26" s="162"/>
      <c r="V26" s="162"/>
      <c r="W26" s="162"/>
      <c r="X26" s="279" t="str">
        <f>IF(Y12&lt;&gt;"","Program materials apply to the satellite course:
(program catalog, student handbook, policy manual, &amp; clinical/field internship materials)","")</f>
        <v/>
      </c>
      <c r="Y26" s="162"/>
      <c r="Z26" s="162"/>
      <c r="AA26" s="162"/>
      <c r="AB26" s="162"/>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row>
    <row r="27" spans="2:96" ht="62.25" customHeight="1">
      <c r="B27" s="813" t="str">
        <f>IF(OR(F$26="Not Met",I$26="Not Met",J$26="Not Met",L$26="Not Met",O$26="Not Met"),"Rationale for 'Not Met' OR Clarification 
Needed for Satellite Program Materials:","")</f>
        <v/>
      </c>
      <c r="C27" s="813"/>
      <c r="D27" s="813"/>
      <c r="E27" s="813"/>
      <c r="F27" s="811"/>
      <c r="G27" s="811"/>
      <c r="H27" s="811"/>
      <c r="I27" s="164"/>
      <c r="J27" s="810"/>
      <c r="K27" s="810"/>
      <c r="L27" s="810"/>
      <c r="M27" s="810"/>
      <c r="N27" s="279" t="str">
        <f>IF(OR(O$26="Not Met",P$26="Not Met",Q$26="Not Met",R$26="Not Met"),"Rationale for 'Not Met' OR Clarification 
Needed for Satellite Program Materials:","")</f>
        <v/>
      </c>
      <c r="O27" s="163"/>
      <c r="P27" s="163"/>
      <c r="Q27" s="163"/>
      <c r="R27" s="163"/>
      <c r="S27" s="279" t="str">
        <f>IF(OR(T$26="Not Met",U$26="Not Met",V$26="Not Met",W$26="Not Met"),"Rationale for 'Not Met' OR Clarification 
Needed for Satellite Program Materials:","")</f>
        <v/>
      </c>
      <c r="T27" s="163"/>
      <c r="U27" s="163"/>
      <c r="V27" s="163"/>
      <c r="W27" s="163"/>
      <c r="X27" s="279" t="str">
        <f>IF(OR(Y$26="Not Met",Z$26="Not Met",AA$26="Not Met",AB$26="Not Met"),"Rationale for 'Not Met' OR Clarification 
Needed for Satellite Program Materials:","")</f>
        <v/>
      </c>
      <c r="Y27" s="163"/>
      <c r="Z27" s="163"/>
      <c r="AA27" s="163"/>
      <c r="AB27" s="163"/>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row>
    <row r="28" spans="2:96" ht="42" customHeight="1">
      <c r="B28" s="813" t="str">
        <f>IF(F12&lt;&gt;"","Were students interviewed?","")</f>
        <v/>
      </c>
      <c r="C28" s="813"/>
      <c r="D28" s="813"/>
      <c r="E28" s="813"/>
      <c r="F28" s="809"/>
      <c r="G28" s="809"/>
      <c r="H28" s="809"/>
      <c r="I28" s="162"/>
      <c r="J28" s="809"/>
      <c r="K28" s="809"/>
      <c r="L28" s="809"/>
      <c r="M28" s="809"/>
      <c r="N28" s="279" t="str">
        <f>IF(O12&lt;&gt;"","Were students interviewed?","")</f>
        <v/>
      </c>
      <c r="O28" s="162"/>
      <c r="P28" s="162"/>
      <c r="Q28" s="162"/>
      <c r="R28" s="162"/>
      <c r="S28" s="279" t="str">
        <f>IF(T12&lt;&gt;"","Were students interviewed?","")</f>
        <v/>
      </c>
      <c r="T28" s="162"/>
      <c r="U28" s="162"/>
      <c r="V28" s="162"/>
      <c r="W28" s="162"/>
      <c r="X28" s="279" t="str">
        <f>IF(Y12&lt;&gt;"","Were students interviewed?","")</f>
        <v/>
      </c>
      <c r="Y28" s="162"/>
      <c r="Z28" s="162"/>
      <c r="AA28" s="162"/>
      <c r="AB28" s="162"/>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row>
    <row r="29" spans="2:96" ht="45" customHeight="1">
      <c r="B29" s="813" t="str">
        <f>IF(OR(F$28="Not Met",I$28="Not Met",J$28="Not Met",L$28="Not Met",O$28="Not Met"),"Rationale for 'Not Met' OR Clarification 
Needed for interviewing Students:","")</f>
        <v/>
      </c>
      <c r="C29" s="813"/>
      <c r="D29" s="813"/>
      <c r="E29" s="813"/>
      <c r="F29" s="811"/>
      <c r="G29" s="811"/>
      <c r="H29" s="811"/>
      <c r="I29" s="164"/>
      <c r="J29" s="810"/>
      <c r="K29" s="810"/>
      <c r="L29" s="810"/>
      <c r="M29" s="810"/>
      <c r="N29" s="279" t="str">
        <f>IF(OR(O$28="Not Met",P$28="Not Met",Q$28="Not Met",R$28="Not Met"),"Rationale for 'Not Met' OR Clarification 
Needed for interviewing Students:","")</f>
        <v/>
      </c>
      <c r="O29" s="163"/>
      <c r="P29" s="163"/>
      <c r="Q29" s="163"/>
      <c r="R29" s="163"/>
      <c r="S29" s="279" t="str">
        <f>IF(OR(T$28="Not Met",U$28="Not Met",V$28="Not Met",W$28="Not Met"),"Rationale for 'Not Met' OR Clarification 
Needed for interviewing Students:","")</f>
        <v/>
      </c>
      <c r="T29" s="163"/>
      <c r="U29" s="163"/>
      <c r="V29" s="163"/>
      <c r="W29" s="163"/>
      <c r="X29" s="279" t="str">
        <f>IF(OR(Y$28="Not Met",Z$28="Not Met",AA$28="Not Met",AB$28="Not Met"),"Rationale for 'Not Met' OR Clarification 
Needed for interviewing Students:","")</f>
        <v/>
      </c>
      <c r="Y29" s="163"/>
      <c r="Z29" s="163"/>
      <c r="AA29" s="163"/>
      <c r="AB29" s="163"/>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row>
    <row r="30" spans="2:96" ht="42" customHeight="1">
      <c r="B30" s="813" t="str">
        <f>IF(F12&lt;&gt;"","Were graduates interviewed?","")</f>
        <v/>
      </c>
      <c r="C30" s="813"/>
      <c r="D30" s="813"/>
      <c r="E30" s="813"/>
      <c r="F30" s="809"/>
      <c r="G30" s="809"/>
      <c r="H30" s="809"/>
      <c r="I30" s="162"/>
      <c r="J30" s="809"/>
      <c r="K30" s="809"/>
      <c r="L30" s="809"/>
      <c r="M30" s="809"/>
      <c r="N30" s="279" t="str">
        <f>IF(O12&lt;&gt;"","Were graduates interviewed?","")</f>
        <v/>
      </c>
      <c r="O30" s="162"/>
      <c r="P30" s="162"/>
      <c r="Q30" s="162"/>
      <c r="R30" s="162"/>
      <c r="S30" s="279" t="str">
        <f>IF(T12&lt;&gt;"","Were graduates interviewed?","")</f>
        <v/>
      </c>
      <c r="T30" s="162"/>
      <c r="U30" s="162"/>
      <c r="V30" s="162"/>
      <c r="W30" s="162"/>
      <c r="X30" s="279" t="str">
        <f>IF(Y12&lt;&gt;"","Were graduates interviewed?","")</f>
        <v/>
      </c>
      <c r="Y30" s="162"/>
      <c r="Z30" s="162"/>
      <c r="AA30" s="162"/>
      <c r="AB30" s="162"/>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row>
    <row r="31" spans="2:96" ht="45" customHeight="1">
      <c r="B31" s="813" t="str">
        <f>IF(OR(F$30="Not Met",I$30="Not Met",J$30="Not Met",L$30="Not Met",O$30="Not Met"),"Rationale for 'Not Met' OR Clarification 
Needed for interviewing Graduates:","")</f>
        <v/>
      </c>
      <c r="C31" s="813"/>
      <c r="D31" s="813"/>
      <c r="E31" s="813"/>
      <c r="F31" s="811"/>
      <c r="G31" s="811"/>
      <c r="H31" s="811"/>
      <c r="I31" s="164"/>
      <c r="J31" s="810"/>
      <c r="K31" s="810"/>
      <c r="L31" s="810"/>
      <c r="M31" s="810"/>
      <c r="N31" s="279" t="str">
        <f>IF(OR(O30="Not Met",P30="Not Met",Q30="Not Met",R30="Not Met"),"Rationale for 'Not Met' OR Clarification 
Needed for interviewing Graduates:","")</f>
        <v/>
      </c>
      <c r="O31" s="163"/>
      <c r="P31" s="163"/>
      <c r="Q31" s="163"/>
      <c r="R31" s="163"/>
      <c r="S31" s="279" t="str">
        <f>IF(OR(T30="Not Met",U30="Not Met",V30="Not Met",W30="Not Met"),"Rationale for 'Not Met' OR Clarification 
Needed for interviewing Graduates:","")</f>
        <v/>
      </c>
      <c r="T31" s="163"/>
      <c r="U31" s="163"/>
      <c r="V31" s="163"/>
      <c r="W31" s="163"/>
      <c r="X31" s="279" t="str">
        <f>IF(OR(Y30="Not Met",Z30="Not Met",AA30="Not Met",AB30="Not Met"),"Rationale for 'Not Met' OR Clarification 
Needed for interviewing Graduates:","")</f>
        <v/>
      </c>
      <c r="Y31" s="163"/>
      <c r="Z31" s="163"/>
      <c r="AA31" s="163"/>
      <c r="AB31" s="163"/>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row>
    <row r="32" spans="2:96" ht="57" customHeight="1">
      <c r="B32" s="813" t="str">
        <f>IF(F12&lt;&gt;"","If distant technology is used to deliver content, describe the tools used and the schedule:","")</f>
        <v/>
      </c>
      <c r="C32" s="813"/>
      <c r="D32" s="813"/>
      <c r="E32" s="813"/>
      <c r="F32" s="809"/>
      <c r="G32" s="809"/>
      <c r="H32" s="809"/>
      <c r="I32" s="162"/>
      <c r="J32" s="809"/>
      <c r="K32" s="809"/>
      <c r="L32" s="809"/>
      <c r="M32" s="809"/>
      <c r="N32" s="279" t="str">
        <f>IF(O12&lt;&gt;"","If distant technology is used to deliver content, describe the tools used and the schedule:","")</f>
        <v/>
      </c>
      <c r="O32" s="162"/>
      <c r="P32" s="162"/>
      <c r="Q32" s="162"/>
      <c r="R32" s="162"/>
      <c r="S32" s="279" t="str">
        <f>IF(T12&lt;&gt;"","If distant technology is used to deliver content, describe the tools used and the schedule:","")</f>
        <v/>
      </c>
      <c r="T32" s="162"/>
      <c r="U32" s="162"/>
      <c r="V32" s="162"/>
      <c r="W32" s="162"/>
      <c r="X32" s="279" t="str">
        <f>IF(Y12&lt;&gt;"","If distant technology is used to deliver content, describe the tools used and the schedule:","")</f>
        <v/>
      </c>
      <c r="Y32" s="162"/>
      <c r="Z32" s="162"/>
      <c r="AA32" s="162"/>
      <c r="AB32" s="162"/>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row>
    <row r="33" spans="2:96" ht="45" customHeight="1">
      <c r="B33" s="813" t="str">
        <f>IF(OR(F$32="Not Met",I$32="Not Met",J$32="Not Met",L$32="Not Met",O$32="Not Met"),"Rationale for 'Not Met' OR Clarification 
Needed for Distant Technology:","")</f>
        <v/>
      </c>
      <c r="C33" s="813"/>
      <c r="D33" s="813"/>
      <c r="E33" s="813"/>
      <c r="F33" s="811"/>
      <c r="G33" s="811"/>
      <c r="H33" s="811"/>
      <c r="I33" s="164"/>
      <c r="J33" s="810"/>
      <c r="K33" s="810"/>
      <c r="L33" s="810"/>
      <c r="M33" s="810"/>
      <c r="N33" s="279" t="str">
        <f>IF(OR(O32="Not Met",P32="Not Met",Q32="Not Met",R366="Not Met"),"Rationale for 'Not Met' OR Clarification 
Needed for Distant Technology:","")</f>
        <v/>
      </c>
      <c r="O33" s="163"/>
      <c r="P33" s="163"/>
      <c r="Q33" s="163"/>
      <c r="R33" s="163"/>
      <c r="S33" s="279" t="str">
        <f>IF(OR(T32="Not Met",U32="Not Met",V32="Not Met",W366="Not Met"),"Rationale for 'Not Met' OR Clarification 
Needed for Distant Technology:","")</f>
        <v/>
      </c>
      <c r="T33" s="163"/>
      <c r="U33" s="163"/>
      <c r="V33" s="163"/>
      <c r="W33" s="163"/>
      <c r="X33" s="279" t="str">
        <f>IF(OR(Y32="Not Met",Z32="Not Met",AA32="Not Met",AB366="Not Met"),"Rationale for 'Not Met' OR Clarification 
Needed for Distant Technology:","")</f>
        <v/>
      </c>
      <c r="Y33" s="163"/>
      <c r="Z33" s="163"/>
      <c r="AA33" s="163"/>
      <c r="AB33" s="163"/>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row>
    <row r="34" spans="2:96" ht="42" customHeight="1">
      <c r="B34" s="813" t="str">
        <f>IF(F12&lt;&gt;"","Is there a permanent location where
student records are maintained?","")</f>
        <v/>
      </c>
      <c r="C34" s="813"/>
      <c r="D34" s="813"/>
      <c r="E34" s="813"/>
      <c r="F34" s="809"/>
      <c r="G34" s="809"/>
      <c r="H34" s="809"/>
      <c r="I34" s="162"/>
      <c r="J34" s="809"/>
      <c r="K34" s="809"/>
      <c r="L34" s="809"/>
      <c r="M34" s="809"/>
      <c r="N34" s="279" t="str">
        <f>IF(O12&lt;&gt;"","Is there a permanent location where
student records are maintained?","")</f>
        <v/>
      </c>
      <c r="O34" s="162"/>
      <c r="P34" s="162"/>
      <c r="Q34" s="162"/>
      <c r="R34" s="162"/>
      <c r="S34" s="279" t="str">
        <f>IF(T12&lt;&gt;"","Is there a permanent location where
student records are maintained?","")</f>
        <v/>
      </c>
      <c r="T34" s="162"/>
      <c r="U34" s="162"/>
      <c r="V34" s="162"/>
      <c r="W34" s="162"/>
      <c r="X34" s="279" t="str">
        <f>IF(Y12&lt;&gt;"","Is there a permanent location where
student records are maintained?","")</f>
        <v/>
      </c>
      <c r="Y34" s="162"/>
      <c r="Z34" s="162"/>
      <c r="AA34" s="162"/>
      <c r="AB34" s="162"/>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row>
    <row r="35" spans="2:96" ht="98.25" customHeight="1">
      <c r="B35" s="813" t="str">
        <f>IF(OR(F$34&lt;&gt;"",I$34&lt;&gt;"",J$34&lt;&gt;"",L$34&lt;&gt;"",O$34&lt;&gt;""),"If 'Met', place location (address) where the permanent student records are maintained.   
If 'Not Met', place rationale OR clarification needed for permanent student records location.","")</f>
        <v/>
      </c>
      <c r="C35" s="813"/>
      <c r="D35" s="813"/>
      <c r="E35" s="813"/>
      <c r="F35" s="811"/>
      <c r="G35" s="811"/>
      <c r="H35" s="811"/>
      <c r="I35" s="164"/>
      <c r="J35" s="810"/>
      <c r="K35" s="810"/>
      <c r="L35" s="810"/>
      <c r="M35" s="810"/>
      <c r="N35" s="279" t="str">
        <f>IF(OR(O$34&lt;&gt;"",P$34&lt;&gt;"",Q$34&lt;&gt;"",R$34&lt;&gt;""),"If 'Met', place location (address) where the permanent student records are maintained.   
If 'Not Met', place rationale OR clarification needed for permanent student records location.","")</f>
        <v/>
      </c>
      <c r="O35" s="163"/>
      <c r="P35" s="163"/>
      <c r="Q35" s="163"/>
      <c r="R35" s="163"/>
      <c r="S35" s="279" t="str">
        <f>IF(OR(T$34&lt;&gt;"",U$34&lt;&gt;"",V$34&lt;&gt;"",W$34&lt;&gt;""),"If 'Met', place location (address) where the permanent student records are maintained.   
If 'Not Met', place rationale OR clarification needed for permanent student records location.","")</f>
        <v/>
      </c>
      <c r="T35" s="163"/>
      <c r="U35" s="163"/>
      <c r="V35" s="163"/>
      <c r="W35" s="163"/>
      <c r="X35" s="279" t="str">
        <f>IF(OR(Y$34&lt;&gt;"",Z$34&lt;&gt;"",AA$34&lt;&gt;"",AB$34&lt;&gt;""),"If 'Met', place location (address) where the permanent student records are maintained.   
If 'Not Met', place rationale OR clarification needed for permanent student records location.","")</f>
        <v/>
      </c>
      <c r="Y35" s="163"/>
      <c r="Z35" s="163"/>
      <c r="AA35" s="163"/>
      <c r="AB35" s="163"/>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row>
    <row r="36" spans="2:96" ht="38.1" customHeight="1">
      <c r="B36" s="816" t="str">
        <f>IF(F12&lt;&gt;"","There is evidence the following items are consistent with the main campus:","")</f>
        <v/>
      </c>
      <c r="C36" s="816"/>
      <c r="D36" s="816"/>
      <c r="E36" s="816"/>
      <c r="F36" s="820"/>
      <c r="G36" s="820"/>
      <c r="H36" s="820"/>
      <c r="I36" s="165"/>
      <c r="J36" s="704"/>
      <c r="K36" s="704"/>
      <c r="L36" s="704"/>
      <c r="M36" s="704"/>
      <c r="N36" s="280" t="str">
        <f>IF(O12&lt;&gt;"","There is evidence the following items are consistent with the main campus:","")</f>
        <v/>
      </c>
      <c r="O36" s="165"/>
      <c r="P36" s="165"/>
      <c r="Q36" s="165"/>
      <c r="R36" s="165"/>
      <c r="S36" s="280" t="str">
        <f>IF(T12&lt;&gt;"","There is evidence the following items are consistent with the main campus:","")</f>
        <v/>
      </c>
      <c r="T36" s="165"/>
      <c r="U36" s="165"/>
      <c r="V36" s="165"/>
      <c r="W36" s="165"/>
      <c r="X36" s="280" t="str">
        <f>IF(Y12&lt;&gt;"","There is evidence the following items are consistent with the main campus:","")</f>
        <v/>
      </c>
      <c r="Y36" s="165"/>
      <c r="Z36" s="165"/>
      <c r="AA36" s="165"/>
      <c r="AB36" s="165"/>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row>
    <row r="37" spans="2:96" ht="42" customHeight="1">
      <c r="B37" s="813" t="str">
        <f>IF(F12&lt;&gt;"","Curricula:","")</f>
        <v/>
      </c>
      <c r="C37" s="813"/>
      <c r="D37" s="813"/>
      <c r="E37" s="813"/>
      <c r="F37" s="809"/>
      <c r="G37" s="809"/>
      <c r="H37" s="809"/>
      <c r="I37" s="162"/>
      <c r="J37" s="809"/>
      <c r="K37" s="809"/>
      <c r="L37" s="809"/>
      <c r="M37" s="809"/>
      <c r="N37" s="279" t="str">
        <f>IF(O12&lt;&gt;"","Curricula:","")</f>
        <v/>
      </c>
      <c r="O37" s="162"/>
      <c r="P37" s="162"/>
      <c r="Q37" s="162"/>
      <c r="R37" s="162"/>
      <c r="S37" s="279" t="str">
        <f>IF(T12&lt;&gt;"","Curricula:","")</f>
        <v/>
      </c>
      <c r="T37" s="162"/>
      <c r="U37" s="162"/>
      <c r="V37" s="162"/>
      <c r="W37" s="162"/>
      <c r="X37" s="279" t="str">
        <f>IF(Y12&lt;&gt;"","Curricula:","")</f>
        <v/>
      </c>
      <c r="Y37" s="162"/>
      <c r="Z37" s="162"/>
      <c r="AA37" s="162"/>
      <c r="AB37" s="162"/>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row>
    <row r="38" spans="2:96" ht="45" customHeight="1">
      <c r="B38" s="813" t="str">
        <f>IF(OR(F$37="Not Met",I$37="Not Met",J$37="Not Met",L$37="Not Met",O$37="Not Met"),"Rationale for 'Not Met' OR 
Clarification Needed for Curricula:","")</f>
        <v/>
      </c>
      <c r="C38" s="813"/>
      <c r="D38" s="813"/>
      <c r="E38" s="813"/>
      <c r="F38" s="811"/>
      <c r="G38" s="811"/>
      <c r="H38" s="811"/>
      <c r="I38" s="164"/>
      <c r="J38" s="810"/>
      <c r="K38" s="810"/>
      <c r="L38" s="810"/>
      <c r="M38" s="810"/>
      <c r="N38" s="279" t="str">
        <f>IF(OR(O$37="Not Met",P$37="Not Met",Q$37="Not Met",R$37="Not Met"),"Rationale for 'Not Met' OR 
Clarification Needed for Curricula:","")</f>
        <v/>
      </c>
      <c r="O38" s="163"/>
      <c r="P38" s="163"/>
      <c r="Q38" s="163"/>
      <c r="R38" s="163"/>
      <c r="S38" s="279" t="str">
        <f>IF(OR(T$37="Not Met",U$37="Not Met",V$37="Not Met",W$37="Not Met"),"Rationale for 'Not Met' OR 
Clarification Needed for Curricula:","")</f>
        <v/>
      </c>
      <c r="T38" s="163"/>
      <c r="U38" s="163"/>
      <c r="V38" s="163"/>
      <c r="W38" s="163"/>
      <c r="X38" s="279" t="str">
        <f>IF(OR(Y$37="Not Met",Z$37="Not Met",AA$37="Not Met",AB$37="Not Met"),"Rationale for 'Not Met' OR 
Clarification Needed for Curricula:","")</f>
        <v/>
      </c>
      <c r="Y38" s="163"/>
      <c r="Z38" s="163"/>
      <c r="AA38" s="163"/>
      <c r="AB38" s="163"/>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row>
    <row r="39" spans="2:96" ht="42" customHeight="1">
      <c r="B39" s="813" t="str">
        <f>IF(F12&lt;&gt;"","Course Syllabi:","")</f>
        <v/>
      </c>
      <c r="C39" s="813"/>
      <c r="D39" s="813"/>
      <c r="E39" s="813"/>
      <c r="F39" s="809"/>
      <c r="G39" s="809"/>
      <c r="H39" s="809"/>
      <c r="I39" s="162"/>
      <c r="J39" s="809"/>
      <c r="K39" s="809"/>
      <c r="L39" s="809"/>
      <c r="M39" s="809"/>
      <c r="N39" s="279" t="str">
        <f>IF(O12&lt;&gt;"","Course Syllabi:","")</f>
        <v/>
      </c>
      <c r="O39" s="162"/>
      <c r="P39" s="162"/>
      <c r="Q39" s="162"/>
      <c r="R39" s="162"/>
      <c r="S39" s="279" t="str">
        <f>IF(T12&lt;&gt;"","Course Syllabi:","")</f>
        <v/>
      </c>
      <c r="T39" s="162"/>
      <c r="U39" s="162"/>
      <c r="V39" s="162"/>
      <c r="W39" s="162"/>
      <c r="X39" s="279" t="str">
        <f>IF(Y12&lt;&gt;"","Course Syllabi:","")</f>
        <v/>
      </c>
      <c r="Y39" s="162"/>
      <c r="Z39" s="162"/>
      <c r="AA39" s="162"/>
      <c r="AB39" s="162"/>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row>
    <row r="40" spans="2:96" ht="45.75" customHeight="1">
      <c r="B40" s="813" t="str">
        <f>IF(OR(F$39="Not Met",I$39="Not Met",J$39="Not Met",L$39="Not Met",O$39="Not Met"),"Rationale for 'Not Met' OR 
Clarification Needed for Course Syllabi:","")</f>
        <v/>
      </c>
      <c r="C40" s="813"/>
      <c r="D40" s="813"/>
      <c r="E40" s="813"/>
      <c r="F40" s="811"/>
      <c r="G40" s="811"/>
      <c r="H40" s="811"/>
      <c r="I40" s="164"/>
      <c r="J40" s="810"/>
      <c r="K40" s="810"/>
      <c r="L40" s="810"/>
      <c r="M40" s="810"/>
      <c r="N40" s="279" t="str">
        <f>IF(OR(O39="Not Met",P39="Not Met",Q39="Not Met",R39="Not Met"),"Rationale for 'Not Met' OR 
Clarification Needed for Course Syllabi:","")</f>
        <v/>
      </c>
      <c r="O40" s="163"/>
      <c r="P40" s="163"/>
      <c r="Q40" s="163"/>
      <c r="R40" s="163"/>
      <c r="S40" s="279" t="str">
        <f>IF(OR(T39="Not Met",U39="Not Met",V39="Not Met",W39="Not Met"),"Rationale for 'Not Met' OR 
Clarification Needed for Course Syllabi:","")</f>
        <v/>
      </c>
      <c r="T40" s="163"/>
      <c r="U40" s="163"/>
      <c r="V40" s="163"/>
      <c r="W40" s="163"/>
      <c r="X40" s="279" t="str">
        <f>IF(OR(Y39="Not Met",Z39="Not Met",AA39="Not Met",AB39="Not Met"),"Rationale for 'Not Met' OR 
Clarification Needed for Course Syllabi:","")</f>
        <v/>
      </c>
      <c r="Y40" s="163"/>
      <c r="Z40" s="163"/>
      <c r="AA40" s="163"/>
      <c r="AB40" s="163"/>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row>
    <row r="41" spans="2:96" ht="57" customHeight="1">
      <c r="B41" s="813" t="str">
        <f>IF(F12&lt;&gt;"","Faculty Monitoring &amp; Oversight of Sites:
(clinical, field exp. &amp; capstone field internship)","")</f>
        <v/>
      </c>
      <c r="C41" s="813"/>
      <c r="D41" s="813"/>
      <c r="E41" s="813"/>
      <c r="F41" s="809"/>
      <c r="G41" s="809"/>
      <c r="H41" s="809"/>
      <c r="I41" s="162"/>
      <c r="J41" s="809"/>
      <c r="K41" s="809"/>
      <c r="L41" s="809"/>
      <c r="M41" s="809"/>
      <c r="N41" s="279" t="str">
        <f>IF(O12&lt;&gt;"","Faculty Monitoring &amp; Oversight of Sites:
(clinical, field exp. &amp; capstone field internship)","")</f>
        <v/>
      </c>
      <c r="O41" s="162"/>
      <c r="P41" s="162"/>
      <c r="Q41" s="162"/>
      <c r="R41" s="162"/>
      <c r="S41" s="279" t="str">
        <f>IF(T12&lt;&gt;"","Faculty Monitoring &amp; Oversight of Sites:
(clinical, field exp. &amp; capstone field internship)","")</f>
        <v/>
      </c>
      <c r="T41" s="162"/>
      <c r="U41" s="162"/>
      <c r="V41" s="162"/>
      <c r="W41" s="162"/>
      <c r="X41" s="279" t="str">
        <f>IF(Y12&lt;&gt;"","Faculty Monitoring &amp; Oversight of Sites:
(clinical, field exp. &amp; capstone field internship)","")</f>
        <v/>
      </c>
      <c r="Y41" s="162"/>
      <c r="Z41" s="162"/>
      <c r="AA41" s="162"/>
      <c r="AB41" s="162"/>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row>
    <row r="42" spans="2:96" ht="49.5" customHeight="1">
      <c r="B42" s="813" t="str">
        <f>IF(OR(F$41="Not Met",I$41="Not Met",J$41="Not Met",L$41="Not Met",O$41="Not Met"),"Rationale for 'Not Met' OR Clarification 
Needed for Monitoring &amp; Oversight of Sites:","")</f>
        <v/>
      </c>
      <c r="C42" s="813"/>
      <c r="D42" s="813"/>
      <c r="E42" s="813"/>
      <c r="F42" s="811"/>
      <c r="G42" s="811"/>
      <c r="H42" s="811"/>
      <c r="I42" s="164"/>
      <c r="J42" s="810"/>
      <c r="K42" s="810"/>
      <c r="L42" s="810"/>
      <c r="M42" s="810"/>
      <c r="N42" s="279" t="str">
        <f>IF(OR(O41="Not Met",P41="Not Met",Q41="Not Met",R41="Not Met"),"Rationale for 'Not Met' OR Clarification 
Needed for Monitoring &amp; Oversight of Sites:","")</f>
        <v/>
      </c>
      <c r="O42" s="163"/>
      <c r="P42" s="163"/>
      <c r="Q42" s="163"/>
      <c r="R42" s="163"/>
      <c r="S42" s="279" t="str">
        <f>IF(OR(T41="Not Met",U41="Not Met",V41="Not Met",W41="Not Met"),"Rationale for 'Not Met' OR Clarification 
Needed for Monitoring &amp; Oversight of Sites:","")</f>
        <v/>
      </c>
      <c r="T42" s="163"/>
      <c r="U42" s="163"/>
      <c r="V42" s="163"/>
      <c r="W42" s="163"/>
      <c r="X42" s="279" t="str">
        <f>IF(OR(Y41="Not Met",Z41="Not Met",AA41="Not Met",AB41="Not Met"),"Rationale for 'Not Met' OR Clarification 
Needed for Monitoring &amp; Oversight of Sites:","")</f>
        <v/>
      </c>
      <c r="Y42" s="163"/>
      <c r="Z42" s="163"/>
      <c r="AA42" s="163"/>
      <c r="AB42" s="163"/>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row>
    <row r="43" spans="2:96" ht="42" customHeight="1">
      <c r="B43" s="813" t="str">
        <f>IF(F12&lt;&gt;"","Scheduled Course Hours &amp; Sequencing:","")</f>
        <v/>
      </c>
      <c r="C43" s="813"/>
      <c r="D43" s="813"/>
      <c r="E43" s="813"/>
      <c r="F43" s="809"/>
      <c r="G43" s="809"/>
      <c r="H43" s="809"/>
      <c r="I43" s="162"/>
      <c r="J43" s="809"/>
      <c r="K43" s="809"/>
      <c r="L43" s="809"/>
      <c r="M43" s="809"/>
      <c r="N43" s="279" t="str">
        <f>IF(O12&lt;&gt;"","Scheduled Course Hours &amp; Sequencing:","")</f>
        <v/>
      </c>
      <c r="O43" s="162"/>
      <c r="P43" s="162"/>
      <c r="Q43" s="162"/>
      <c r="R43" s="162"/>
      <c r="S43" s="279" t="str">
        <f>IF(T12&lt;&gt;"","Scheduled Course Hours &amp; Sequencing:","")</f>
        <v/>
      </c>
      <c r="T43" s="162"/>
      <c r="U43" s="162"/>
      <c r="V43" s="162"/>
      <c r="W43" s="162"/>
      <c r="X43" s="279" t="str">
        <f>IF(Y12&lt;&gt;"","Scheduled Course Hours &amp; Sequencing:","")</f>
        <v/>
      </c>
      <c r="Y43" s="162"/>
      <c r="Z43" s="162"/>
      <c r="AA43" s="162"/>
      <c r="AB43" s="162"/>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row>
    <row r="44" spans="2:96" ht="52.5" customHeight="1">
      <c r="B44" s="813" t="str">
        <f>IF(OR(F$43="Not Met",I$43="Not Met",J$43="Not Met",L$43="Not Met",O$43="Not Met"),"Rationale for 'Not Met' OR Clarification 
Needed for Course Hours &amp; Sequencing:","")</f>
        <v/>
      </c>
      <c r="C44" s="813"/>
      <c r="D44" s="813"/>
      <c r="E44" s="813"/>
      <c r="F44" s="811"/>
      <c r="G44" s="811"/>
      <c r="H44" s="811"/>
      <c r="I44" s="164"/>
      <c r="J44" s="810"/>
      <c r="K44" s="810"/>
      <c r="L44" s="810"/>
      <c r="M44" s="810"/>
      <c r="N44" s="279" t="str">
        <f>IF(OR(O43="Not Met",P43="Not Met",Q43="Not Met",R43="Not Met"),"Rationale for 'Not Met' OR Clarification 
Needed for Course Hours &amp; Sequencing:","")</f>
        <v/>
      </c>
      <c r="O44" s="163"/>
      <c r="P44" s="163"/>
      <c r="Q44" s="163"/>
      <c r="R44" s="163"/>
      <c r="S44" s="279" t="str">
        <f>IF(OR(T43="Not Met",U43="Not Met",V43="Not Met",W43="Not Met"),"Rationale for 'Not Met' OR Clarification 
Needed for Course Hours &amp; Sequencing:","")</f>
        <v/>
      </c>
      <c r="T44" s="163"/>
      <c r="U44" s="163"/>
      <c r="V44" s="163"/>
      <c r="W44" s="163"/>
      <c r="X44" s="279" t="str">
        <f>IF(OR(Y43="Not Met",Z43="Not Met",AA43="Not Met",AB43="Not Met"),"Rationale for 'Not Met' OR Clarification 
Needed for Course Hours &amp; Sequencing:","")</f>
        <v/>
      </c>
      <c r="Y44" s="163"/>
      <c r="Z44" s="163"/>
      <c r="AA44" s="163"/>
      <c r="AB44" s="163"/>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row>
    <row r="45" spans="2:96" ht="42" customHeight="1">
      <c r="B45" s="813" t="str">
        <f>IF(F12&lt;&gt;"","   Student Evaluation Tools: 
(cognitive, psychomotor, &amp; affective domains)","")</f>
        <v/>
      </c>
      <c r="C45" s="813"/>
      <c r="D45" s="813"/>
      <c r="E45" s="813"/>
      <c r="F45" s="809"/>
      <c r="G45" s="809"/>
      <c r="H45" s="809"/>
      <c r="I45" s="162"/>
      <c r="J45" s="809"/>
      <c r="K45" s="809"/>
      <c r="L45" s="809"/>
      <c r="M45" s="809"/>
      <c r="N45" s="279" t="str">
        <f>IF(O12&lt;&gt;"","   Student Evaluation Tools: 
(cognitive, psychomotor, &amp; affective domains)","")</f>
        <v/>
      </c>
      <c r="O45" s="162"/>
      <c r="P45" s="162"/>
      <c r="Q45" s="162"/>
      <c r="R45" s="162"/>
      <c r="S45" s="279" t="str">
        <f>IF(T12&lt;&gt;"","   Student Evaluation Tools: 
(cognitive, psychomotor, &amp; affective domains)","")</f>
        <v/>
      </c>
      <c r="T45" s="162"/>
      <c r="U45" s="162"/>
      <c r="V45" s="162"/>
      <c r="W45" s="162"/>
      <c r="X45" s="279" t="str">
        <f>IF(Y12&lt;&gt;"","   Student Evaluation Tools: 
(cognitive, psychomotor, &amp; affective domains)","")</f>
        <v/>
      </c>
      <c r="Y45" s="162"/>
      <c r="Z45" s="162"/>
      <c r="AA45" s="162"/>
      <c r="AB45" s="162"/>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row>
    <row r="46" spans="2:96" ht="51.75" customHeight="1">
      <c r="B46" s="813" t="str">
        <f>IF(OR(F$45="Not Met",I$45="Not Met",J$45="Not Met",L$45="Not Met",O$45="Not Met"),"Rationale for 'Not Met' OR Clarification 
Needed for Student Evaluation Tools:","")</f>
        <v/>
      </c>
      <c r="C46" s="813"/>
      <c r="D46" s="813"/>
      <c r="E46" s="813"/>
      <c r="F46" s="811"/>
      <c r="G46" s="811"/>
      <c r="H46" s="811"/>
      <c r="I46" s="164"/>
      <c r="J46" s="810"/>
      <c r="K46" s="810"/>
      <c r="L46" s="810"/>
      <c r="M46" s="810"/>
      <c r="N46" s="279" t="str">
        <f>IF(OR(O45="Not Met",P45="Not Met",Q45="Not Met",R45="Not Met"),"Rationale for 'Not Met' OR Clarification 
Needed for Student Evaluation Tools:","")</f>
        <v/>
      </c>
      <c r="O46" s="163"/>
      <c r="P46" s="163"/>
      <c r="Q46" s="163"/>
      <c r="R46" s="163"/>
      <c r="S46" s="279" t="str">
        <f>IF(OR(T45="Not Met",U45="Not Met",V45="Not Met",W45="Not Met"),"Rationale for 'Not Met' OR Clarification 
Needed for Student Evaluation Tools:","")</f>
        <v/>
      </c>
      <c r="T46" s="163"/>
      <c r="U46" s="163"/>
      <c r="V46" s="163"/>
      <c r="W46" s="163"/>
      <c r="X46" s="279" t="str">
        <f>IF(OR(Y45="Not Met",Z45="Not Met",AA45="Not Met",AB45="Not Met"),"Rationale for 'Not Met' OR Clarification 
Needed for Student Evaluation Tools:","")</f>
        <v/>
      </c>
      <c r="Y46" s="163"/>
      <c r="Z46" s="163"/>
      <c r="AA46" s="163"/>
      <c r="AB46" s="163"/>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row>
    <row r="47" spans="2:96" ht="55.5" customHeight="1">
      <c r="B47" s="813" t="str">
        <f>IF(F12&lt;&gt;"","      Competencies &amp; 
Required Minimum Numbers: 
     (Student Minimum Competency [SMC])","")</f>
        <v/>
      </c>
      <c r="C47" s="813"/>
      <c r="D47" s="813"/>
      <c r="E47" s="813"/>
      <c r="F47" s="809"/>
      <c r="G47" s="809"/>
      <c r="H47" s="809"/>
      <c r="I47" s="162"/>
      <c r="J47" s="809"/>
      <c r="K47" s="809"/>
      <c r="L47" s="809"/>
      <c r="M47" s="809"/>
      <c r="N47" s="279" t="str">
        <f>IF(O12&lt;&gt;"","      Competencies &amp; 
Required Minimum Numbers: 
     (Student Minimum Competency [SMC])","")</f>
        <v/>
      </c>
      <c r="O47" s="162"/>
      <c r="P47" s="162"/>
      <c r="Q47" s="162"/>
      <c r="R47" s="162"/>
      <c r="S47" s="279" t="str">
        <f>IF(T12&lt;&gt;"","      Competencies &amp; 
Required Minimum Numbers: 
     (Student Minimum Competency [SMC])","")</f>
        <v/>
      </c>
      <c r="T47" s="162"/>
      <c r="U47" s="162"/>
      <c r="V47" s="162"/>
      <c r="W47" s="162"/>
      <c r="X47" s="279" t="str">
        <f>IF(Y12&lt;&gt;"","      Competencies &amp; 
Required Minimum Numbers: 
     (Student Minimum Competency [SMC])","")</f>
        <v/>
      </c>
      <c r="Y47" s="162"/>
      <c r="Z47" s="162"/>
      <c r="AA47" s="162"/>
      <c r="AB47" s="162"/>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row>
    <row r="48" spans="2:96" ht="51.75" customHeight="1">
      <c r="B48" s="813" t="str">
        <f>IF(OR(F$47="Not Met",I$47="Not Met",J$47="Not Met",L$47="Not Met",O$47="Not Met"),"Rationale for 'Not Met' OR Clarification 
Needed for Required Minimum Numbers (SMC):","")</f>
        <v/>
      </c>
      <c r="C48" s="813"/>
      <c r="D48" s="813"/>
      <c r="E48" s="813"/>
      <c r="F48" s="811"/>
      <c r="G48" s="811"/>
      <c r="H48" s="811"/>
      <c r="I48" s="164"/>
      <c r="J48" s="810"/>
      <c r="K48" s="810"/>
      <c r="L48" s="810"/>
      <c r="M48" s="810"/>
      <c r="N48" s="279" t="str">
        <f>IF(OR(O47="Not Met",P47="Not Met",Q47="Not Met",R47="Not Met"),"Rationale for 'Not Met' OR Clarification 
Needed for Required Minimum Numbers (SMC):","")</f>
        <v/>
      </c>
      <c r="O48" s="163"/>
      <c r="P48" s="163"/>
      <c r="Q48" s="163"/>
      <c r="R48" s="163"/>
      <c r="S48" s="279" t="str">
        <f>IF(OR(T47="Not Met",U47="Not Met",V47="Not Met",W47="Not Met"),"Rationale for 'Not Met' OR Clarification 
Needed for Required Minimum Numbers (SMC):","")</f>
        <v/>
      </c>
      <c r="T48" s="163"/>
      <c r="U48" s="163"/>
      <c r="V48" s="163"/>
      <c r="W48" s="163"/>
      <c r="X48" s="279" t="str">
        <f>IF(OR(Y47="Not Met",Z47="Not Met",AA47="Not Met",AB47="Not Met"),"Rationale for 'Not Met' OR Clarification 
Needed for Required Minimum Numbers (SMC):","")</f>
        <v/>
      </c>
      <c r="Y48" s="163"/>
      <c r="Z48" s="163"/>
      <c r="AA48" s="163"/>
      <c r="AB48" s="163"/>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row>
    <row r="49" spans="2:96" ht="42" customHeight="1">
      <c r="B49" s="813" t="str">
        <f>IF(F12&lt;&gt;"","Clinical &amp; Capstone Field Internship Sites:
(similar in opportunity &amp; patient volume)","")</f>
        <v/>
      </c>
      <c r="C49" s="813"/>
      <c r="D49" s="813"/>
      <c r="E49" s="813"/>
      <c r="F49" s="809"/>
      <c r="G49" s="809"/>
      <c r="H49" s="809"/>
      <c r="I49" s="162"/>
      <c r="J49" s="809"/>
      <c r="K49" s="809"/>
      <c r="L49" s="809"/>
      <c r="M49" s="809"/>
      <c r="N49" s="279" t="str">
        <f>IF(O12&lt;&gt;"","Clinical &amp; Capstone Field Internship Sites:
(similar in opportunity &amp; patient volume)","")</f>
        <v/>
      </c>
      <c r="O49" s="162"/>
      <c r="P49" s="162"/>
      <c r="Q49" s="162"/>
      <c r="R49" s="162"/>
      <c r="S49" s="279" t="str">
        <f>IF(T12&lt;&gt;"","Clinical &amp; Capstone Field Internship Sites:
(similar in opportunity &amp; patient volume)","")</f>
        <v/>
      </c>
      <c r="T49" s="162"/>
      <c r="U49" s="162"/>
      <c r="V49" s="162"/>
      <c r="W49" s="162"/>
      <c r="X49" s="279" t="str">
        <f>IF(Y12&lt;&gt;"","Clinical &amp; Capstone Field Internship Sites:
(similar in opportunity &amp; patient volume)","")</f>
        <v/>
      </c>
      <c r="Y49" s="162"/>
      <c r="Z49" s="162"/>
      <c r="AA49" s="162"/>
      <c r="AB49" s="162"/>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row>
    <row r="50" spans="2:96" ht="48.75" customHeight="1">
      <c r="B50" s="813" t="str">
        <f>IF(OR(F$49="Not Met",I$49="Not Met",J$49="Not Met",L$49="Not Met",O$49="Not Met"),"Rationale for 'Not Met' OR 
Clarification Needed for Affiliate Sites:","")</f>
        <v/>
      </c>
      <c r="C50" s="813"/>
      <c r="D50" s="813"/>
      <c r="E50" s="813"/>
      <c r="F50" s="811"/>
      <c r="G50" s="811"/>
      <c r="H50" s="811"/>
      <c r="I50" s="164"/>
      <c r="J50" s="810"/>
      <c r="K50" s="810"/>
      <c r="L50" s="810"/>
      <c r="M50" s="810"/>
      <c r="N50" s="279" t="str">
        <f>IF(OR(O49="Not Met",P49="Not Met",Q49="Not Met",R49="Not Met"),"Rationale for 'Not Met' OR 
Clarification Needed for Affiliate Sites:","")</f>
        <v/>
      </c>
      <c r="O50" s="163"/>
      <c r="P50" s="163"/>
      <c r="Q50" s="163"/>
      <c r="R50" s="163"/>
      <c r="S50" s="279" t="str">
        <f>IF(OR(T49="Not Met",U49="Not Met",V49="Not Met",W49="Not Met"),"Rationale for 'Not Met' OR 
Clarification Needed for Affiliate Sites:","")</f>
        <v/>
      </c>
      <c r="T50" s="163"/>
      <c r="U50" s="163"/>
      <c r="V50" s="163"/>
      <c r="W50" s="163"/>
      <c r="X50" s="279" t="str">
        <f>IF(OR(Y49="Not Met",Z49="Not Met",AA49="Not Met",AB49="Not Met"),"Rationale for 'Not Met' OR 
Clarification Needed for Affiliate Sites:","")</f>
        <v/>
      </c>
      <c r="Y50" s="163"/>
      <c r="Z50" s="163"/>
      <c r="AA50" s="163"/>
      <c r="AB50" s="163"/>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row>
    <row r="51" spans="2:96" ht="42" customHeight="1">
      <c r="B51" s="813" t="str">
        <f>IF(F12&lt;&gt;"","On-Site Liaison Orientation/
Capstone Field Internship Training:","")</f>
        <v/>
      </c>
      <c r="C51" s="813"/>
      <c r="D51" s="813"/>
      <c r="E51" s="813"/>
      <c r="F51" s="809"/>
      <c r="G51" s="809"/>
      <c r="H51" s="809"/>
      <c r="I51" s="162"/>
      <c r="J51" s="809"/>
      <c r="K51" s="809"/>
      <c r="L51" s="809"/>
      <c r="M51" s="809"/>
      <c r="N51" s="279" t="str">
        <f>IF(O12&lt;&gt;"","On-Site Liaison Orientation/
Capstone Field Internship Training:","")</f>
        <v/>
      </c>
      <c r="O51" s="162"/>
      <c r="P51" s="162"/>
      <c r="Q51" s="162"/>
      <c r="R51" s="162"/>
      <c r="S51" s="279" t="str">
        <f>IF(T12&lt;&gt;"","On-Site Liaison Orientation/
Capstone Field Internship Training:","")</f>
        <v/>
      </c>
      <c r="T51" s="162"/>
      <c r="U51" s="162"/>
      <c r="V51" s="162"/>
      <c r="W51" s="162"/>
      <c r="X51" s="279" t="str">
        <f>IF(Y12&lt;&gt;"","On-Site Liaison Orientation/
Capstone Field Internship Training:","")</f>
        <v/>
      </c>
      <c r="Y51" s="162"/>
      <c r="Z51" s="162"/>
      <c r="AA51" s="162"/>
      <c r="AB51" s="162"/>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row>
    <row r="52" spans="2:96" ht="48" customHeight="1">
      <c r="B52" s="813" t="str">
        <f>IF(OR(F$51="Not Met",I$51="Not Met",J$51="Not Met",L$51="Not Met",O$51="Not Met"),"Rationale for 'Not Met' OR Clarification 
Needed for On-Site Liaison Orientation/
Capstone Field Internship Training:","")</f>
        <v/>
      </c>
      <c r="C52" s="813"/>
      <c r="D52" s="813"/>
      <c r="E52" s="813"/>
      <c r="F52" s="811"/>
      <c r="G52" s="811"/>
      <c r="H52" s="811"/>
      <c r="I52" s="164"/>
      <c r="J52" s="810"/>
      <c r="K52" s="810"/>
      <c r="L52" s="810"/>
      <c r="M52" s="810"/>
      <c r="N52" s="279" t="str">
        <f>IF(OR(O51="Not Met",P51="Not Met",Q51="Not Met",R51="Not Met"),"Rationale for 'Not Met' OR Clarification 
Needed for On-Site Liaison Orientation/
Capstone Field Internship Training:","")</f>
        <v/>
      </c>
      <c r="O52" s="163"/>
      <c r="P52" s="163"/>
      <c r="Q52" s="163"/>
      <c r="R52" s="163"/>
      <c r="S52" s="279" t="str">
        <f>IF(OR(T51="Not Met",U51="Not Met",V51="Not Met",W51="Not Met"),"Rationale for 'Not Met' OR Clarification 
Needed for On-Site Liaison Orientation/
Capstone Field Internship Training:","")</f>
        <v/>
      </c>
      <c r="T52" s="163"/>
      <c r="U52" s="163"/>
      <c r="V52" s="163"/>
      <c r="W52" s="163"/>
      <c r="X52" s="279" t="str">
        <f>IF(OR(Y51="Not Met",Z51="Not Met",AA51="Not Met",AB51="Not Met"),"Rationale for 'Not Met' OR Clarification 
Needed for On-Site Liaison Orientation/
Capstone Field Internship Training:","")</f>
        <v/>
      </c>
      <c r="Y52" s="163"/>
      <c r="Z52" s="163"/>
      <c r="AA52" s="163"/>
      <c r="AB52" s="163"/>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row>
    <row r="53" spans="2:96">
      <c r="M53" s="19"/>
      <c r="N53" s="19"/>
      <c r="O53" s="19"/>
      <c r="P53" s="19"/>
      <c r="Q53" s="19"/>
      <c r="R53" s="19"/>
      <c r="S53" s="19"/>
      <c r="T53" s="65"/>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row>
    <row r="54" spans="2:96">
      <c r="M54" s="19"/>
      <c r="N54" s="19"/>
      <c r="O54" s="19"/>
      <c r="P54" s="19"/>
      <c r="Q54" s="19"/>
      <c r="R54" s="19"/>
      <c r="S54" s="19"/>
      <c r="T54" s="65"/>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row>
    <row r="55" spans="2:96" ht="40.5" customHeight="1">
      <c r="E55" s="686" t="str">
        <f>IF(AND(H6&lt;&gt;"N/A",H7="N/A",H8=""), "This completes the Satellite Addendum","")</f>
        <v/>
      </c>
      <c r="F55" s="686"/>
      <c r="G55" s="686"/>
      <c r="H55" s="686"/>
      <c r="I55" s="686"/>
      <c r="O55" s="686" t="str">
        <f>IF(AND(H6&lt;&gt;"N/A",H6&gt;=5,H7="N/A",H8=""), "This completes the Satellite Addendum","")</f>
        <v/>
      </c>
      <c r="P55" s="686"/>
      <c r="Q55" s="686"/>
      <c r="R55" s="19"/>
      <c r="S55" s="19"/>
      <c r="T55" s="686" t="str">
        <f>IF(AND(H6&lt;&gt;"N/A",H6&gt;=9,H7="N/A",H8=""), "This completes the Satellite Addendum","")</f>
        <v/>
      </c>
      <c r="U55" s="686"/>
      <c r="V55" s="686"/>
      <c r="W55" s="19"/>
      <c r="X55" s="19"/>
      <c r="Y55" s="686" t="str">
        <f>IF(AND(H6&lt;&gt;"N/A",H6&gt;=13,H7="N/A",H8=""), "This completes the Satellite Addendum","")</f>
        <v/>
      </c>
      <c r="Z55" s="686"/>
      <c r="AA55" s="686"/>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row>
    <row r="58" spans="2:96" ht="25.5" customHeight="1">
      <c r="B58" s="146"/>
      <c r="C58" s="813"/>
      <c r="D58" s="813"/>
      <c r="E58" s="813"/>
      <c r="F58" s="817" t="str">
        <f>IF(H7&lt;&gt;"N/A","Out of State Satellite(s)","")</f>
        <v/>
      </c>
      <c r="G58" s="817"/>
      <c r="H58" s="817"/>
      <c r="I58" s="817"/>
      <c r="J58" s="817"/>
      <c r="K58" s="817"/>
      <c r="L58" s="817"/>
      <c r="M58" s="817"/>
    </row>
    <row r="59" spans="2:96" ht="36.75" customHeight="1">
      <c r="B59" s="146"/>
      <c r="C59" s="704"/>
      <c r="D59" s="704"/>
      <c r="E59" s="704"/>
      <c r="F59" s="817" t="str">
        <f>IF(AND($H7&lt;&gt;"N/A",$H7&gt;=1),"Satellite Location #1","")</f>
        <v/>
      </c>
      <c r="G59" s="817"/>
      <c r="H59" s="817"/>
      <c r="I59" s="159" t="str">
        <f>IF(AND($H7&lt;&gt;"N/A",$H7&gt;=2),"Satellite Location #2","")</f>
        <v/>
      </c>
      <c r="J59" s="817" t="str">
        <f>IF(AND($H7&lt;&gt;"N/A",$H7&gt;=3),"Satellite Location #3","")</f>
        <v/>
      </c>
      <c r="K59" s="817"/>
      <c r="L59" s="817" t="str">
        <f>IF(AND($H7&lt;&gt;"N/A",$H7&gt;=4),"Satellite Location #4","")</f>
        <v/>
      </c>
      <c r="M59" s="817"/>
    </row>
    <row r="60" spans="2:96" ht="39.75" customHeight="1">
      <c r="B60" s="813" t="str">
        <f>IF(F59&lt;&gt;"","Satellite Name, City, State:","")</f>
        <v/>
      </c>
      <c r="C60" s="813"/>
      <c r="D60" s="813"/>
      <c r="E60" s="813"/>
      <c r="F60" s="821"/>
      <c r="G60" s="809"/>
      <c r="H60" s="809"/>
      <c r="I60" s="160"/>
      <c r="J60" s="821"/>
      <c r="K60" s="821"/>
      <c r="L60" s="821"/>
      <c r="M60" s="821"/>
    </row>
    <row r="61" spans="2:96" ht="39.75" customHeight="1">
      <c r="B61" s="813" t="str">
        <f>IF(F59&lt;&gt;"","Distance from main campus:
(in miles)","")</f>
        <v/>
      </c>
      <c r="C61" s="813"/>
      <c r="D61" s="813"/>
      <c r="E61" s="813"/>
      <c r="F61" s="824"/>
      <c r="G61" s="824"/>
      <c r="H61" s="824"/>
      <c r="I61" s="161"/>
      <c r="J61" s="812"/>
      <c r="K61" s="812"/>
      <c r="L61" s="812"/>
      <c r="M61" s="812"/>
    </row>
    <row r="62" spans="2:96" ht="39.75" customHeight="1">
      <c r="B62" s="813" t="str">
        <f>IF(F59&lt;&gt;"","Maximum number of students:
(per cohort)","")</f>
        <v/>
      </c>
      <c r="C62" s="813"/>
      <c r="D62" s="813"/>
      <c r="E62" s="813"/>
      <c r="F62" s="824"/>
      <c r="G62" s="824"/>
      <c r="H62" s="824"/>
      <c r="I62" s="161"/>
      <c r="J62" s="812"/>
      <c r="K62" s="812"/>
      <c r="L62" s="812"/>
      <c r="M62" s="812"/>
    </row>
    <row r="63" spans="2:96" ht="39.75" customHeight="1">
      <c r="B63" s="813" t="str">
        <f>IF(F59&lt;&gt;"","Approved satellite Lead Instructor:","")</f>
        <v/>
      </c>
      <c r="C63" s="813"/>
      <c r="D63" s="813"/>
      <c r="E63" s="813"/>
      <c r="F63" s="809"/>
      <c r="G63" s="809"/>
      <c r="H63" s="809"/>
      <c r="I63" s="160"/>
      <c r="J63" s="821"/>
      <c r="K63" s="821"/>
      <c r="L63" s="821"/>
      <c r="M63" s="821"/>
    </row>
    <row r="64" spans="2:96" ht="39.75" customHeight="1">
      <c r="B64" s="813" t="str">
        <f>IF(F59&lt;&gt;"","Approved satellite Medical Director:","")</f>
        <v/>
      </c>
      <c r="C64" s="813"/>
      <c r="D64" s="813"/>
      <c r="E64" s="813"/>
      <c r="F64" s="809"/>
      <c r="G64" s="809"/>
      <c r="H64" s="809"/>
      <c r="I64" s="160"/>
      <c r="J64" s="821"/>
      <c r="K64" s="821"/>
      <c r="L64" s="821"/>
      <c r="M64" s="821"/>
    </row>
    <row r="65" spans="2:13" ht="64.5" customHeight="1">
      <c r="B65" s="813"/>
      <c r="C65" s="813"/>
      <c r="D65" s="813"/>
      <c r="E65" s="813"/>
      <c r="F65" s="822" t="str">
        <f>IF(F59&lt;&gt;"","Site Visitors please provide the information below specifically for this satellite location:","")</f>
        <v/>
      </c>
      <c r="G65" s="822"/>
      <c r="H65" s="822"/>
      <c r="I65" s="166" t="str">
        <f>IF(I59&lt;&gt;"","Site Visitors please provide the information below specifically for this satellite location:","")</f>
        <v/>
      </c>
      <c r="J65" s="822" t="str">
        <f>IF(J59&lt;&gt;"","Site Visitors please provide the information below specifically for this satellite location:","")</f>
        <v/>
      </c>
      <c r="K65" s="822"/>
      <c r="L65" s="822" t="str">
        <f>IF(L59&lt;&gt;"","Site Visitors please provide the information below specifically for this satellite location:","")</f>
        <v/>
      </c>
      <c r="M65" s="822"/>
    </row>
    <row r="66" spans="2:13" ht="36" customHeight="1">
      <c r="B66" s="813" t="str">
        <f>IF(F59&lt;&gt;"","Did the site visit team visit (phisically or virtually) the satellite location(s)?","")</f>
        <v/>
      </c>
      <c r="C66" s="813"/>
      <c r="D66" s="813"/>
      <c r="E66" s="813"/>
      <c r="F66" s="809"/>
      <c r="G66" s="809"/>
      <c r="H66" s="809"/>
      <c r="I66" s="162"/>
      <c r="J66" s="809"/>
      <c r="K66" s="809"/>
      <c r="L66" s="809"/>
      <c r="M66" s="809"/>
    </row>
    <row r="67" spans="2:13" ht="36" customHeight="1">
      <c r="B67" s="813" t="str">
        <f>IF(F59&lt;&gt;"","Does the program utilize specific clinical or field affiliations for this location?","")</f>
        <v/>
      </c>
      <c r="C67" s="813"/>
      <c r="D67" s="813"/>
      <c r="E67" s="813"/>
      <c r="F67" s="809"/>
      <c r="G67" s="809"/>
      <c r="H67" s="809"/>
      <c r="I67" s="162"/>
      <c r="J67" s="809"/>
      <c r="K67" s="809"/>
      <c r="L67" s="809"/>
      <c r="M67" s="809"/>
    </row>
    <row r="68" spans="2:13" ht="36" customHeight="1">
      <c r="B68" s="813" t="str">
        <f>IF(F59&lt;&gt;"","PD responsible for management:","")</f>
        <v/>
      </c>
      <c r="C68" s="813"/>
      <c r="D68" s="813"/>
      <c r="E68" s="813"/>
      <c r="F68" s="809"/>
      <c r="G68" s="809"/>
      <c r="H68" s="809"/>
      <c r="I68" s="162"/>
      <c r="J68" s="809"/>
      <c r="K68" s="809"/>
      <c r="L68" s="809"/>
      <c r="M68" s="809"/>
    </row>
    <row r="69" spans="2:13" ht="52.5" customHeight="1">
      <c r="B69" s="813" t="str">
        <f>IF(F59&lt;&gt;"","Satellite(s) Resources Assessment Matrix (RAM) completed 
(separate from main campus)?","")</f>
        <v/>
      </c>
      <c r="C69" s="813"/>
      <c r="D69" s="813"/>
      <c r="E69" s="813"/>
      <c r="F69" s="809"/>
      <c r="G69" s="809"/>
      <c r="H69" s="809"/>
      <c r="I69" s="162"/>
      <c r="J69" s="809"/>
      <c r="K69" s="809"/>
      <c r="L69" s="809"/>
      <c r="M69" s="809"/>
    </row>
    <row r="70" spans="2:13" ht="36" customHeight="1">
      <c r="B70" s="813" t="str">
        <f>IF(F59&lt;&gt;"","Were the equipment &amp; supplies sufficient?","")</f>
        <v/>
      </c>
      <c r="C70" s="813"/>
      <c r="D70" s="813"/>
      <c r="E70" s="813"/>
      <c r="F70" s="809"/>
      <c r="G70" s="809"/>
      <c r="H70" s="809"/>
      <c r="I70" s="162"/>
      <c r="J70" s="809"/>
      <c r="K70" s="809"/>
      <c r="L70" s="809"/>
      <c r="M70" s="809"/>
    </row>
    <row r="71" spans="2:13" ht="36" customHeight="1">
      <c r="B71" s="813" t="str">
        <f>IF(F59&lt;&gt;"","Were the facilities sufficient?","")</f>
        <v/>
      </c>
      <c r="C71" s="813"/>
      <c r="D71" s="813"/>
      <c r="E71" s="813"/>
      <c r="F71" s="809"/>
      <c r="G71" s="809"/>
      <c r="H71" s="809"/>
      <c r="I71" s="162"/>
      <c r="J71" s="809"/>
      <c r="K71" s="809"/>
      <c r="L71" s="809"/>
      <c r="M71" s="809"/>
    </row>
    <row r="72" spans="2:13" ht="62.25" customHeight="1">
      <c r="B72" s="813" t="str">
        <f>IF(OR(F$71="Not Met",I$71="Not Met",J$71="Not Met",L$71="Not Met",O$71="Not Met"),"Rationale for 'Not Met' OR 
Clarification Needed for Facilities:","")</f>
        <v/>
      </c>
      <c r="C72" s="813"/>
      <c r="D72" s="813"/>
      <c r="E72" s="813"/>
      <c r="F72" s="811"/>
      <c r="G72" s="811"/>
      <c r="H72" s="811"/>
      <c r="I72" s="163"/>
      <c r="J72" s="811"/>
      <c r="K72" s="811"/>
      <c r="L72" s="811"/>
      <c r="M72" s="811"/>
    </row>
    <row r="73" spans="2:13" ht="68.25" customHeight="1">
      <c r="B73" s="813" t="str">
        <f>IF(F59&lt;&gt;"","Program materials apply to the satellite course:
(program catalog, student handbook, policy manual, &amp; clinical/field internship materials)","")</f>
        <v/>
      </c>
      <c r="C73" s="813"/>
      <c r="D73" s="813"/>
      <c r="E73" s="813"/>
      <c r="F73" s="809"/>
      <c r="G73" s="809"/>
      <c r="H73" s="809"/>
      <c r="I73" s="162"/>
      <c r="J73" s="809"/>
      <c r="K73" s="809"/>
      <c r="L73" s="809"/>
      <c r="M73" s="809"/>
    </row>
    <row r="74" spans="2:13" ht="62.25" customHeight="1">
      <c r="B74" s="813" t="str">
        <f>IF(OR(F$73="Not Met",I$73="Not Met",J$73="Not Met",L$73="Not Met",O$73="Not Met"),"Rationale for 'Not Met' OR Clarification 
Needed for Satellite Program Materials:","")</f>
        <v/>
      </c>
      <c r="C74" s="813"/>
      <c r="D74" s="813"/>
      <c r="E74" s="813"/>
      <c r="F74" s="811"/>
      <c r="G74" s="811"/>
      <c r="H74" s="811"/>
      <c r="I74" s="164"/>
      <c r="J74" s="810"/>
      <c r="K74" s="810"/>
      <c r="L74" s="810"/>
      <c r="M74" s="810"/>
    </row>
    <row r="75" spans="2:13" ht="42" customHeight="1">
      <c r="B75" s="813" t="str">
        <f>IF(F59&lt;&gt;"","Were students interviewed?","")</f>
        <v/>
      </c>
      <c r="C75" s="813"/>
      <c r="D75" s="813"/>
      <c r="E75" s="813"/>
      <c r="F75" s="809"/>
      <c r="G75" s="809"/>
      <c r="H75" s="809"/>
      <c r="I75" s="162"/>
      <c r="J75" s="809"/>
      <c r="K75" s="809"/>
      <c r="L75" s="809"/>
      <c r="M75" s="809"/>
    </row>
    <row r="76" spans="2:13" ht="45" customHeight="1">
      <c r="B76" s="813" t="str">
        <f>IF(OR(F$75="Not Met",I$75="Not Met",J75="Not Met",L$28="Not Met",O75="Not Met"),"Rationale for 'Not Met' OR Clarification 
Needed for interviewing Students:","")</f>
        <v/>
      </c>
      <c r="C76" s="813"/>
      <c r="D76" s="813"/>
      <c r="E76" s="813"/>
      <c r="F76" s="811"/>
      <c r="G76" s="811"/>
      <c r="H76" s="811"/>
      <c r="I76" s="164"/>
      <c r="J76" s="810"/>
      <c r="K76" s="810"/>
      <c r="L76" s="810"/>
      <c r="M76" s="810"/>
    </row>
    <row r="77" spans="2:13" ht="42" customHeight="1">
      <c r="B77" s="813" t="str">
        <f>IF(F59&lt;&gt;"","Were graduates interviewed?","")</f>
        <v/>
      </c>
      <c r="C77" s="813"/>
      <c r="D77" s="813"/>
      <c r="E77" s="813"/>
      <c r="F77" s="809"/>
      <c r="G77" s="809"/>
      <c r="H77" s="809"/>
      <c r="I77" s="162"/>
      <c r="J77" s="809"/>
      <c r="K77" s="809"/>
      <c r="L77" s="809"/>
      <c r="M77" s="809"/>
    </row>
    <row r="78" spans="2:13" ht="45" customHeight="1">
      <c r="B78" s="813" t="str">
        <f>IF(OR(F77="Not Met",I77="Not Met",J77="Not Met",L$30="Not Met",O77="Not Met"),"Rationale for 'Not Met' OR Clarification 
Needed for interviewing Graduates:","")</f>
        <v/>
      </c>
      <c r="C78" s="813"/>
      <c r="D78" s="813"/>
      <c r="E78" s="813"/>
      <c r="F78" s="811"/>
      <c r="G78" s="811"/>
      <c r="H78" s="811"/>
      <c r="I78" s="164"/>
      <c r="J78" s="810"/>
      <c r="K78" s="810"/>
      <c r="L78" s="810"/>
      <c r="M78" s="810"/>
    </row>
    <row r="79" spans="2:13" ht="57" customHeight="1">
      <c r="B79" s="813" t="str">
        <f>IF(F59&lt;&gt;"","If distant technology is used to deliver content, describe the tools used and the schedule:","")</f>
        <v/>
      </c>
      <c r="C79" s="813"/>
      <c r="D79" s="813"/>
      <c r="E79" s="813"/>
      <c r="F79" s="809"/>
      <c r="G79" s="809"/>
      <c r="H79" s="809"/>
      <c r="I79" s="162"/>
      <c r="J79" s="809"/>
      <c r="K79" s="809"/>
      <c r="L79" s="809"/>
      <c r="M79" s="809"/>
    </row>
    <row r="80" spans="2:13" ht="45" customHeight="1">
      <c r="B80" s="813" t="str">
        <f>IF(OR(F79="Not Met",I79="Not Met",J79="Not Met",L79="Not Met",O79="Not Met"),"Rationale for 'Not Met' OR Clarification 
Needed for Distant Technology:","")</f>
        <v/>
      </c>
      <c r="C80" s="813"/>
      <c r="D80" s="813"/>
      <c r="E80" s="813"/>
      <c r="F80" s="811"/>
      <c r="G80" s="811"/>
      <c r="H80" s="811"/>
      <c r="I80" s="164"/>
      <c r="J80" s="810"/>
      <c r="K80" s="810"/>
      <c r="L80" s="810"/>
      <c r="M80" s="810"/>
    </row>
    <row r="81" spans="2:13" ht="42" customHeight="1">
      <c r="B81" s="813" t="str">
        <f>IF(F59&lt;&gt;"","Is there a permanent location where
student records are maintained?","")</f>
        <v/>
      </c>
      <c r="C81" s="813"/>
      <c r="D81" s="813"/>
      <c r="E81" s="813"/>
      <c r="F81" s="809"/>
      <c r="G81" s="809"/>
      <c r="H81" s="809"/>
      <c r="I81" s="162"/>
      <c r="J81" s="809"/>
      <c r="K81" s="809"/>
      <c r="L81" s="809"/>
      <c r="M81" s="809"/>
    </row>
    <row r="82" spans="2:13" ht="98.25" customHeight="1">
      <c r="B82" s="813" t="str">
        <f>IF(OR(F81&lt;&gt;"",I81&lt;&gt;"",J81&lt;&gt;"",L81&lt;&gt;"",O81&lt;&gt;""),"If 'Met', place location (address) where the permanent student records are maintained.   
If 'Not Met', place rationale OR clarification needed for permanent student records location.","")</f>
        <v/>
      </c>
      <c r="C82" s="813"/>
      <c r="D82" s="813"/>
      <c r="E82" s="813"/>
      <c r="F82" s="811"/>
      <c r="G82" s="811"/>
      <c r="H82" s="811"/>
      <c r="I82" s="164"/>
      <c r="J82" s="810"/>
      <c r="K82" s="810"/>
      <c r="L82" s="810"/>
      <c r="M82" s="810"/>
    </row>
    <row r="83" spans="2:13" ht="38.1" customHeight="1">
      <c r="B83" s="816" t="str">
        <f>IF(F59&lt;&gt;"","There is evidence the following items are consistent with the main campus:","")</f>
        <v/>
      </c>
      <c r="C83" s="816"/>
      <c r="D83" s="816"/>
      <c r="E83" s="816"/>
      <c r="F83" s="820"/>
      <c r="G83" s="820"/>
      <c r="H83" s="820"/>
      <c r="I83" s="165"/>
      <c r="J83" s="704"/>
      <c r="K83" s="704"/>
      <c r="L83" s="704"/>
      <c r="M83" s="704"/>
    </row>
    <row r="84" spans="2:13" ht="42" customHeight="1">
      <c r="B84" s="813" t="str">
        <f>IF(F59&lt;&gt;"","Curricula:","")</f>
        <v/>
      </c>
      <c r="C84" s="813"/>
      <c r="D84" s="813"/>
      <c r="E84" s="813"/>
      <c r="F84" s="809"/>
      <c r="G84" s="809"/>
      <c r="H84" s="809"/>
      <c r="I84" s="162"/>
      <c r="J84" s="809"/>
      <c r="K84" s="809"/>
      <c r="L84" s="809"/>
      <c r="M84" s="809"/>
    </row>
    <row r="85" spans="2:13" ht="45" customHeight="1">
      <c r="B85" s="813" t="str">
        <f>IF(OR(F84="Not Met",I84="Not Met",J84="Not Met",L84="Not Met",O84="Not Met"),"Rationale for 'Not Met' OR 
Clarification Needed for Curricula:","")</f>
        <v/>
      </c>
      <c r="C85" s="813"/>
      <c r="D85" s="813"/>
      <c r="E85" s="813"/>
      <c r="F85" s="811"/>
      <c r="G85" s="811"/>
      <c r="H85" s="811"/>
      <c r="I85" s="164"/>
      <c r="J85" s="810"/>
      <c r="K85" s="810"/>
      <c r="L85" s="810"/>
      <c r="M85" s="810"/>
    </row>
    <row r="86" spans="2:13" ht="42" customHeight="1">
      <c r="B86" s="813" t="str">
        <f>IF(F59&lt;&gt;"","Course Syllabi:","")</f>
        <v/>
      </c>
      <c r="C86" s="813"/>
      <c r="D86" s="813"/>
      <c r="E86" s="813"/>
      <c r="F86" s="809"/>
      <c r="G86" s="809"/>
      <c r="H86" s="809"/>
      <c r="I86" s="162"/>
      <c r="J86" s="809"/>
      <c r="K86" s="809"/>
      <c r="L86" s="809"/>
      <c r="M86" s="809"/>
    </row>
    <row r="87" spans="2:13" ht="45.75" customHeight="1">
      <c r="B87" s="813" t="str">
        <f>IF(OR(F86="Not Met",I86="Not Met",J86="Not Met",L86="Not Met",O86="Not Met"),"Rationale for 'Not Met' OR 
Clarification Needed for Course Syllabi:","")</f>
        <v/>
      </c>
      <c r="C87" s="813"/>
      <c r="D87" s="813"/>
      <c r="E87" s="813"/>
      <c r="F87" s="811"/>
      <c r="G87" s="811"/>
      <c r="H87" s="811"/>
      <c r="I87" s="164"/>
      <c r="J87" s="810"/>
      <c r="K87" s="810"/>
      <c r="L87" s="810"/>
      <c r="M87" s="810"/>
    </row>
    <row r="88" spans="2:13" ht="57" customHeight="1">
      <c r="B88" s="813" t="str">
        <f>IF(F59&lt;&gt;"","Faculty Monitoring &amp; Oversight of Sites:
(clinical, field exp. &amp; capstone field internship)","")</f>
        <v/>
      </c>
      <c r="C88" s="813"/>
      <c r="D88" s="813"/>
      <c r="E88" s="813"/>
      <c r="F88" s="809"/>
      <c r="G88" s="809"/>
      <c r="H88" s="809"/>
      <c r="I88" s="162"/>
      <c r="J88" s="809"/>
      <c r="K88" s="809"/>
      <c r="L88" s="809"/>
      <c r="M88" s="809"/>
    </row>
    <row r="89" spans="2:13" ht="49.5" customHeight="1">
      <c r="B89" s="813" t="str">
        <f>IF(OR(F88="Not Met",I88="Not Met",J88="Not Met",L88="Not Met",O88="Not Met"),"Rationale for 'Not Met' OR Clarification 
Needed for Monitoring &amp; Oversight of Sites:","")</f>
        <v/>
      </c>
      <c r="C89" s="813"/>
      <c r="D89" s="813"/>
      <c r="E89" s="813"/>
      <c r="F89" s="811"/>
      <c r="G89" s="811"/>
      <c r="H89" s="811"/>
      <c r="I89" s="164"/>
      <c r="J89" s="810"/>
      <c r="K89" s="810"/>
      <c r="L89" s="810"/>
      <c r="M89" s="810"/>
    </row>
    <row r="90" spans="2:13" ht="42" customHeight="1">
      <c r="B90" s="813" t="str">
        <f>IF(F59&lt;&gt;"","Scheduled Course Hours &amp; Sequencing:","")</f>
        <v/>
      </c>
      <c r="C90" s="813"/>
      <c r="D90" s="813"/>
      <c r="E90" s="813"/>
      <c r="F90" s="809"/>
      <c r="G90" s="809"/>
      <c r="H90" s="809"/>
      <c r="I90" s="162"/>
      <c r="J90" s="809"/>
      <c r="K90" s="809"/>
      <c r="L90" s="809"/>
      <c r="M90" s="809"/>
    </row>
    <row r="91" spans="2:13" ht="52.5" customHeight="1">
      <c r="B91" s="813" t="str">
        <f>IF(OR(F90="Not Met",I90="Not Met",J90="Not Met",L90="Not Met",O90="Not Met"),"Rationale for 'Not Met' OR Clarification 
Needed for Course Hours &amp; Sequencing:","")</f>
        <v/>
      </c>
      <c r="C91" s="813"/>
      <c r="D91" s="813"/>
      <c r="E91" s="813"/>
      <c r="F91" s="811"/>
      <c r="G91" s="811"/>
      <c r="H91" s="811"/>
      <c r="I91" s="164"/>
      <c r="J91" s="810"/>
      <c r="K91" s="810"/>
      <c r="L91" s="810"/>
      <c r="M91" s="810"/>
    </row>
    <row r="92" spans="2:13" ht="42" customHeight="1">
      <c r="B92" s="813" t="str">
        <f>IF(F59&lt;&gt;"","   Student Evaluation Tools: 
(cognitive, psychomotor, &amp; affective domains)","")</f>
        <v/>
      </c>
      <c r="C92" s="813"/>
      <c r="D92" s="813"/>
      <c r="E92" s="813"/>
      <c r="F92" s="809"/>
      <c r="G92" s="809"/>
      <c r="H92" s="809"/>
      <c r="I92" s="162"/>
      <c r="J92" s="809"/>
      <c r="K92" s="809"/>
      <c r="L92" s="809"/>
      <c r="M92" s="809"/>
    </row>
    <row r="93" spans="2:13" ht="51.75" customHeight="1">
      <c r="B93" s="813" t="str">
        <f>IF(OR(F92="Not Met",I92="Not Met",J92="Not Met",L92="Not Met",O92="Not Met"),"Rationale for 'Not Met' OR Clarification 
Needed for Student Evaluation Tools:","")</f>
        <v/>
      </c>
      <c r="C93" s="813"/>
      <c r="D93" s="813"/>
      <c r="E93" s="813"/>
      <c r="F93" s="811"/>
      <c r="G93" s="811"/>
      <c r="H93" s="811"/>
      <c r="I93" s="164"/>
      <c r="J93" s="810"/>
      <c r="K93" s="810"/>
      <c r="L93" s="810"/>
      <c r="M93" s="810"/>
    </row>
    <row r="94" spans="2:13" ht="55.5" customHeight="1">
      <c r="B94" s="813" t="str">
        <f>IF(F59&lt;&gt;"","      Competencies &amp; 
Required Minimum Numbers: 
     (Student Minimum Competency [SMC])","")</f>
        <v/>
      </c>
      <c r="C94" s="813"/>
      <c r="D94" s="813"/>
      <c r="E94" s="813"/>
      <c r="F94" s="809"/>
      <c r="G94" s="809"/>
      <c r="H94" s="809"/>
      <c r="I94" s="162"/>
      <c r="J94" s="809"/>
      <c r="K94" s="809"/>
      <c r="L94" s="809"/>
      <c r="M94" s="809"/>
    </row>
    <row r="95" spans="2:13" ht="51.75" customHeight="1">
      <c r="B95" s="813" t="str">
        <f>IF(OR(F94="Not Met",I94="Not Met",J94="Not Met",L94="Not Met",O94="Not Met"),"Rationale for 'Not Met' OR Clarification 
Needed for Required Minimum Numbers (SMC):","")</f>
        <v/>
      </c>
      <c r="C95" s="813"/>
      <c r="D95" s="813"/>
      <c r="E95" s="813"/>
      <c r="F95" s="811"/>
      <c r="G95" s="811"/>
      <c r="H95" s="811"/>
      <c r="I95" s="164"/>
      <c r="J95" s="810"/>
      <c r="K95" s="810"/>
      <c r="L95" s="810"/>
      <c r="M95" s="810"/>
    </row>
    <row r="96" spans="2:13" ht="42" customHeight="1">
      <c r="B96" s="813" t="str">
        <f>IF(F59&lt;&gt;"","Clinical &amp; Capstone Field Internship Sites:
(similar in opportunity &amp; patient volume)","")</f>
        <v/>
      </c>
      <c r="C96" s="813"/>
      <c r="D96" s="813"/>
      <c r="E96" s="813"/>
      <c r="F96" s="809"/>
      <c r="G96" s="809"/>
      <c r="H96" s="809"/>
      <c r="I96" s="162"/>
      <c r="J96" s="809"/>
      <c r="K96" s="809"/>
      <c r="L96" s="809"/>
      <c r="M96" s="809"/>
    </row>
    <row r="97" spans="2:96" ht="48.75" customHeight="1">
      <c r="B97" s="813" t="str">
        <f>IF(OR(F96="Not Met",I96="Not Met",J96="Not Met",L96="Not Met",O96="Not Met"),"Rationale for 'Not Met' OR 
Clarification Needed for Affiliate Sites:","")</f>
        <v/>
      </c>
      <c r="C97" s="813"/>
      <c r="D97" s="813"/>
      <c r="E97" s="813"/>
      <c r="F97" s="811"/>
      <c r="G97" s="811"/>
      <c r="H97" s="811"/>
      <c r="I97" s="164"/>
      <c r="J97" s="810"/>
      <c r="K97" s="810"/>
      <c r="L97" s="810"/>
      <c r="M97" s="810"/>
    </row>
    <row r="98" spans="2:96" ht="42" customHeight="1">
      <c r="B98" s="813" t="str">
        <f>IF(F59&lt;&gt;"","On-Site Liaison Orientation/
Capstone Field Internship Training:","")</f>
        <v/>
      </c>
      <c r="C98" s="813"/>
      <c r="D98" s="813"/>
      <c r="E98" s="813"/>
      <c r="F98" s="809"/>
      <c r="G98" s="809"/>
      <c r="H98" s="809"/>
      <c r="I98" s="162"/>
      <c r="J98" s="809"/>
      <c r="K98" s="809"/>
      <c r="L98" s="809"/>
      <c r="M98" s="809"/>
    </row>
    <row r="99" spans="2:96" ht="48" customHeight="1">
      <c r="B99" s="813" t="str">
        <f>IF(OR(F98="Not Met",I98="Not Met",J98="Not Met",L98="Not Met",O98="Not Met"),"Rationale for 'Not Met' OR Clarification 
Needed for On-Site Liaison Orientation/
Capstone Field Internship Training:","")</f>
        <v/>
      </c>
      <c r="C99" s="813"/>
      <c r="D99" s="813"/>
      <c r="E99" s="813"/>
      <c r="F99" s="811"/>
      <c r="G99" s="811"/>
      <c r="H99" s="811"/>
      <c r="I99" s="164"/>
      <c r="J99" s="810"/>
      <c r="K99" s="810"/>
      <c r="L99" s="810"/>
      <c r="M99" s="810"/>
    </row>
    <row r="102" spans="2:96" ht="40.5" customHeight="1">
      <c r="E102" s="686" t="str">
        <f>IF(AND(H7&gt;=1,H7&lt;&gt;"N/A",H8=""), "This completes the Satellite Addendum","")</f>
        <v/>
      </c>
      <c r="F102" s="686"/>
      <c r="G102" s="686"/>
      <c r="H102" s="686"/>
      <c r="I102" s="686"/>
      <c r="O102" s="825"/>
      <c r="P102" s="825"/>
      <c r="Q102" s="825"/>
      <c r="R102" s="19"/>
      <c r="S102" s="19"/>
      <c r="T102" s="826"/>
      <c r="U102" s="826"/>
      <c r="V102" s="826"/>
      <c r="W102" s="19"/>
      <c r="X102" s="19"/>
      <c r="Y102" s="827"/>
      <c r="Z102" s="827"/>
      <c r="AA102" s="827"/>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row>
    <row r="105" spans="2:96" ht="25.5" customHeight="1">
      <c r="B105" s="146"/>
      <c r="C105" s="813"/>
      <c r="D105" s="813"/>
      <c r="E105" s="813"/>
      <c r="F105" s="817" t="str">
        <f>IF(H8&lt;&gt;"","Not Approved Satellite(s)","")</f>
        <v/>
      </c>
      <c r="G105" s="817"/>
      <c r="H105" s="817"/>
      <c r="I105" s="817"/>
      <c r="J105" s="817"/>
      <c r="K105" s="817"/>
      <c r="L105" s="817"/>
      <c r="M105" s="817"/>
    </row>
    <row r="106" spans="2:96" ht="36.75" customHeight="1">
      <c r="B106" s="146"/>
      <c r="C106" s="704"/>
      <c r="D106" s="704"/>
      <c r="E106" s="704"/>
      <c r="F106" s="817" t="str">
        <f>IF(AND($H8&lt;&gt;"",$H8&gt;=1),"Satellite Location #1","")</f>
        <v/>
      </c>
      <c r="G106" s="817"/>
      <c r="H106" s="817"/>
      <c r="I106" s="159" t="str">
        <f>IF(AND($H8&lt;&gt;"",$H8&gt;=2),"Satellite Location #2","")</f>
        <v/>
      </c>
      <c r="J106" s="817" t="str">
        <f>IF(AND($H8&lt;&gt;"",$H8&gt;=3),"Satellite Location #3","")</f>
        <v/>
      </c>
      <c r="K106" s="817"/>
      <c r="L106" s="817" t="str">
        <f>IF(AND($H8&lt;&gt;"",$H8&gt;=4),"Satellite Location #4","")</f>
        <v/>
      </c>
      <c r="M106" s="817"/>
    </row>
    <row r="107" spans="2:96" ht="39.75" customHeight="1">
      <c r="B107" s="813" t="str">
        <f>IF(F106&lt;&gt;"","Satellite Name, City, State:","")</f>
        <v/>
      </c>
      <c r="C107" s="813"/>
      <c r="D107" s="813"/>
      <c r="E107" s="813"/>
      <c r="F107" s="821"/>
      <c r="G107" s="809"/>
      <c r="H107" s="809"/>
      <c r="I107" s="160"/>
      <c r="J107" s="821"/>
      <c r="K107" s="821"/>
      <c r="L107" s="821"/>
      <c r="M107" s="821"/>
    </row>
    <row r="108" spans="2:96" ht="39.75" customHeight="1">
      <c r="B108" s="813" t="str">
        <f>IF(F106&lt;&gt;"","Distance from main campus:
(in miles)","")</f>
        <v/>
      </c>
      <c r="C108" s="813"/>
      <c r="D108" s="813"/>
      <c r="E108" s="813"/>
      <c r="F108" s="824"/>
      <c r="G108" s="824"/>
      <c r="H108" s="824"/>
      <c r="I108" s="161"/>
      <c r="J108" s="812"/>
      <c r="K108" s="812"/>
      <c r="L108" s="812"/>
      <c r="M108" s="812"/>
    </row>
    <row r="109" spans="2:96" ht="39.75" customHeight="1">
      <c r="B109" s="813" t="str">
        <f>IF(F106&lt;&gt;"","Maximum number of students:
(per cohort)","")</f>
        <v/>
      </c>
      <c r="C109" s="813"/>
      <c r="D109" s="813"/>
      <c r="E109" s="813"/>
      <c r="F109" s="824"/>
      <c r="G109" s="824"/>
      <c r="H109" s="824"/>
      <c r="I109" s="161"/>
      <c r="J109" s="812"/>
      <c r="K109" s="812"/>
      <c r="L109" s="812"/>
      <c r="M109" s="812"/>
    </row>
    <row r="110" spans="2:96" ht="39.75" customHeight="1">
      <c r="B110" s="813" t="str">
        <f>IF(F106&lt;&gt;"","Approved satellite Lead Instructor:","")</f>
        <v/>
      </c>
      <c r="C110" s="813"/>
      <c r="D110" s="813"/>
      <c r="E110" s="813"/>
      <c r="F110" s="809"/>
      <c r="G110" s="809"/>
      <c r="H110" s="809"/>
      <c r="I110" s="160"/>
      <c r="J110" s="821"/>
      <c r="K110" s="821"/>
      <c r="L110" s="821"/>
      <c r="M110" s="821"/>
    </row>
    <row r="111" spans="2:96" ht="39.75" customHeight="1">
      <c r="B111" s="813" t="str">
        <f>IF(F106&lt;&gt;"","Approved satellite Medical Director:","")</f>
        <v/>
      </c>
      <c r="C111" s="813"/>
      <c r="D111" s="813"/>
      <c r="E111" s="813"/>
      <c r="F111" s="809"/>
      <c r="G111" s="809"/>
      <c r="H111" s="809"/>
      <c r="I111" s="160"/>
      <c r="J111" s="821"/>
      <c r="K111" s="821"/>
      <c r="L111" s="821"/>
      <c r="M111" s="821"/>
    </row>
    <row r="112" spans="2:96" ht="64.5" customHeight="1">
      <c r="B112" s="813"/>
      <c r="C112" s="813"/>
      <c r="D112" s="813"/>
      <c r="E112" s="813"/>
      <c r="F112" s="822" t="str">
        <f>IF(F106&lt;&gt;"","Site Visitors please provide the information below specifically for this satellite location:","")</f>
        <v/>
      </c>
      <c r="G112" s="822"/>
      <c r="H112" s="822"/>
      <c r="I112" s="166" t="str">
        <f>IF(I106&lt;&gt;"","Site Visitors please provide the information below specifically for this satellite location:","")</f>
        <v/>
      </c>
      <c r="J112" s="822" t="str">
        <f>IF(J106&lt;&gt;"","Site Visitors please provide the information below specifically for this satellite location:","")</f>
        <v/>
      </c>
      <c r="K112" s="822"/>
      <c r="L112" s="822" t="str">
        <f>IF(L106&lt;&gt;"","Site Visitors please provide the information below specifically for this satellite location:","")</f>
        <v/>
      </c>
      <c r="M112" s="822"/>
    </row>
    <row r="113" spans="2:13" ht="36" customHeight="1">
      <c r="B113" s="813" t="str">
        <f>IF(F106&lt;&gt;"","Did the site visit team visit (phisically or virtually) the satellite location(s)?","")</f>
        <v/>
      </c>
      <c r="C113" s="813"/>
      <c r="D113" s="813"/>
      <c r="E113" s="813"/>
      <c r="F113" s="809"/>
      <c r="G113" s="809"/>
      <c r="H113" s="809"/>
      <c r="I113" s="162"/>
      <c r="J113" s="809"/>
      <c r="K113" s="809"/>
      <c r="L113" s="809"/>
      <c r="M113" s="809"/>
    </row>
    <row r="114" spans="2:13" ht="36" customHeight="1">
      <c r="B114" s="813" t="str">
        <f>IF(F106&lt;&gt;"","Does the program utilize specific clinical or field affiliations for this location?","")</f>
        <v/>
      </c>
      <c r="C114" s="813"/>
      <c r="D114" s="813"/>
      <c r="E114" s="813"/>
      <c r="F114" s="809"/>
      <c r="G114" s="809"/>
      <c r="H114" s="809"/>
      <c r="I114" s="162"/>
      <c r="J114" s="809"/>
      <c r="K114" s="809"/>
      <c r="L114" s="809"/>
      <c r="M114" s="809"/>
    </row>
    <row r="115" spans="2:13" ht="36" customHeight="1">
      <c r="B115" s="813" t="str">
        <f>IF(F106&lt;&gt;"","PD responsible for management:","")</f>
        <v/>
      </c>
      <c r="C115" s="813"/>
      <c r="D115" s="813"/>
      <c r="E115" s="813"/>
      <c r="F115" s="809"/>
      <c r="G115" s="809"/>
      <c r="H115" s="809"/>
      <c r="I115" s="162"/>
      <c r="J115" s="809"/>
      <c r="K115" s="809"/>
      <c r="L115" s="809"/>
      <c r="M115" s="809"/>
    </row>
    <row r="116" spans="2:13" ht="52.5" customHeight="1">
      <c r="B116" s="813" t="str">
        <f>IF(F106&lt;&gt;"","Satellite(s) Resources Assessment Matrix (RAM) completed 
(separate from main campus)?","")</f>
        <v/>
      </c>
      <c r="C116" s="813"/>
      <c r="D116" s="813"/>
      <c r="E116" s="813"/>
      <c r="F116" s="809"/>
      <c r="G116" s="809"/>
      <c r="H116" s="809"/>
      <c r="I116" s="162"/>
      <c r="J116" s="809"/>
      <c r="K116" s="809"/>
      <c r="L116" s="809"/>
      <c r="M116" s="809"/>
    </row>
    <row r="117" spans="2:13" ht="36" customHeight="1">
      <c r="B117" s="813" t="str">
        <f>IF(F106&lt;&gt;"","Were the equipment &amp; supplies sufficient?","")</f>
        <v/>
      </c>
      <c r="C117" s="813"/>
      <c r="D117" s="813"/>
      <c r="E117" s="813"/>
      <c r="F117" s="809"/>
      <c r="G117" s="809"/>
      <c r="H117" s="809"/>
      <c r="I117" s="162"/>
      <c r="J117" s="809"/>
      <c r="K117" s="809"/>
      <c r="L117" s="809"/>
      <c r="M117" s="809"/>
    </row>
    <row r="118" spans="2:13" ht="36" customHeight="1">
      <c r="B118" s="813" t="str">
        <f>IF(F106&lt;&gt;"","Were the facilities sufficient?","")</f>
        <v/>
      </c>
      <c r="C118" s="813"/>
      <c r="D118" s="813"/>
      <c r="E118" s="813"/>
      <c r="F118" s="809"/>
      <c r="G118" s="809"/>
      <c r="H118" s="809"/>
      <c r="I118" s="162"/>
      <c r="J118" s="809"/>
      <c r="K118" s="809"/>
      <c r="L118" s="809"/>
      <c r="M118" s="809"/>
    </row>
    <row r="119" spans="2:13" ht="62.25" customHeight="1">
      <c r="B119" s="813" t="str">
        <f>IF(OR(F118="Not Met",I118="Not Met",J118="Not Met",L118="Not Met",O118="Not Met"),"Rationale for 'Not Met' OR 
Clarification Needed for Facilities:","")</f>
        <v/>
      </c>
      <c r="C119" s="813"/>
      <c r="D119" s="813"/>
      <c r="E119" s="813"/>
      <c r="F119" s="811"/>
      <c r="G119" s="811"/>
      <c r="H119" s="811"/>
      <c r="I119" s="163"/>
      <c r="J119" s="811"/>
      <c r="K119" s="811"/>
      <c r="L119" s="811"/>
      <c r="M119" s="811"/>
    </row>
    <row r="120" spans="2:13" ht="68.25" customHeight="1">
      <c r="B120" s="813" t="str">
        <f>IF(F106&lt;&gt;"","Program materials apply to the satellite course:
(program catalog, student handbook, policy manual, &amp; clinical/field internship materials)","")</f>
        <v/>
      </c>
      <c r="C120" s="813"/>
      <c r="D120" s="813"/>
      <c r="E120" s="813"/>
      <c r="F120" s="809"/>
      <c r="G120" s="809"/>
      <c r="H120" s="809"/>
      <c r="I120" s="162"/>
      <c r="J120" s="809"/>
      <c r="K120" s="809"/>
      <c r="L120" s="809"/>
      <c r="M120" s="809"/>
    </row>
    <row r="121" spans="2:13" ht="62.25" customHeight="1">
      <c r="B121" s="813" t="str">
        <f>IF(OR(F120="Not Met",I120="Not Met",J120="Not Met",L120="Not Met",O120="Not Met"),"Rationale for 'Not Met' OR Clarification 
Needed for Satellite Program Materials:","")</f>
        <v/>
      </c>
      <c r="C121" s="813"/>
      <c r="D121" s="813"/>
      <c r="E121" s="813"/>
      <c r="F121" s="811"/>
      <c r="G121" s="811"/>
      <c r="H121" s="811"/>
      <c r="I121" s="164"/>
      <c r="J121" s="810"/>
      <c r="K121" s="810"/>
      <c r="L121" s="810"/>
      <c r="M121" s="810"/>
    </row>
    <row r="122" spans="2:13" ht="42" customHeight="1">
      <c r="B122" s="813" t="str">
        <f>IF(F106&lt;&gt;"","Were students interviewed?","")</f>
        <v/>
      </c>
      <c r="C122" s="813"/>
      <c r="D122" s="813"/>
      <c r="E122" s="813"/>
      <c r="F122" s="809"/>
      <c r="G122" s="809"/>
      <c r="H122" s="809"/>
      <c r="I122" s="162"/>
      <c r="J122" s="809"/>
      <c r="K122" s="809"/>
      <c r="L122" s="809"/>
      <c r="M122" s="809"/>
    </row>
    <row r="123" spans="2:13" ht="45" customHeight="1">
      <c r="B123" s="813" t="str">
        <f>IF(OR(F122="Not Met",I122="Not Met",J122="Not Met",L122="Not Met",O122="Not Met"),"Rationale for 'Not Met' OR Clarification 
Needed for interviewing Students:","")</f>
        <v/>
      </c>
      <c r="C123" s="813"/>
      <c r="D123" s="813"/>
      <c r="E123" s="813"/>
      <c r="F123" s="811"/>
      <c r="G123" s="811"/>
      <c r="H123" s="811"/>
      <c r="I123" s="164"/>
      <c r="J123" s="810"/>
      <c r="K123" s="810"/>
      <c r="L123" s="810"/>
      <c r="M123" s="810"/>
    </row>
    <row r="124" spans="2:13" ht="42" customHeight="1">
      <c r="B124" s="813" t="str">
        <f>IF(F106&lt;&gt;"","Were graduates interviewed?","")</f>
        <v/>
      </c>
      <c r="C124" s="813"/>
      <c r="D124" s="813"/>
      <c r="E124" s="813"/>
      <c r="F124" s="809"/>
      <c r="G124" s="809"/>
      <c r="H124" s="809"/>
      <c r="I124" s="162"/>
      <c r="J124" s="809"/>
      <c r="K124" s="809"/>
      <c r="L124" s="809"/>
      <c r="M124" s="809"/>
    </row>
    <row r="125" spans="2:13" ht="45" customHeight="1">
      <c r="B125" s="813" t="str">
        <f>IF(OR(F124="Not Met",I124="Not Met",J124="Not Met",L124="Not Met",O124="Not Met"),"Rationale for 'Not Met' OR Clarification 
Needed for interviewing Graduates:","")</f>
        <v/>
      </c>
      <c r="C125" s="813"/>
      <c r="D125" s="813"/>
      <c r="E125" s="813"/>
      <c r="F125" s="811"/>
      <c r="G125" s="811"/>
      <c r="H125" s="811"/>
      <c r="I125" s="164"/>
      <c r="J125" s="810"/>
      <c r="K125" s="810"/>
      <c r="L125" s="810"/>
      <c r="M125" s="810"/>
    </row>
    <row r="126" spans="2:13" ht="57" customHeight="1">
      <c r="B126" s="813" t="str">
        <f>IF(F106&lt;&gt;"","If distant technology is used to deliver content, describe the tools used and the schedule:","")</f>
        <v/>
      </c>
      <c r="C126" s="813"/>
      <c r="D126" s="813"/>
      <c r="E126" s="813"/>
      <c r="F126" s="809"/>
      <c r="G126" s="809"/>
      <c r="H126" s="809"/>
      <c r="I126" s="162"/>
      <c r="J126" s="809"/>
      <c r="K126" s="809"/>
      <c r="L126" s="809"/>
      <c r="M126" s="809"/>
    </row>
    <row r="127" spans="2:13" ht="45" customHeight="1">
      <c r="B127" s="813" t="str">
        <f>IF(OR(F126="Not Met",I126="Not Met",J126="Not Met",L126="Not Met",O126="Not Met"),"Rationale for 'Not Met' OR Clarification 
Needed for Distant Technology:","")</f>
        <v/>
      </c>
      <c r="C127" s="813"/>
      <c r="D127" s="813"/>
      <c r="E127" s="813"/>
      <c r="F127" s="811"/>
      <c r="G127" s="811"/>
      <c r="H127" s="811"/>
      <c r="I127" s="164"/>
      <c r="J127" s="810"/>
      <c r="K127" s="810"/>
      <c r="L127" s="810"/>
      <c r="M127" s="810"/>
    </row>
    <row r="128" spans="2:13" ht="42" customHeight="1">
      <c r="B128" s="813" t="str">
        <f>IF(F106&lt;&gt;"","Is there a permanent location where
student records are maintained?","")</f>
        <v/>
      </c>
      <c r="C128" s="813"/>
      <c r="D128" s="813"/>
      <c r="E128" s="813"/>
      <c r="F128" s="809"/>
      <c r="G128" s="809"/>
      <c r="H128" s="809"/>
      <c r="I128" s="162"/>
      <c r="J128" s="809"/>
      <c r="K128" s="809"/>
      <c r="L128" s="809"/>
      <c r="M128" s="809"/>
    </row>
    <row r="129" spans="2:13" ht="98.25" customHeight="1">
      <c r="B129" s="813" t="str">
        <f>IF(OR(F128&lt;&gt;"",I128&lt;&gt;"",J128&lt;&gt;"",L128&lt;&gt;"",O128&lt;&gt;""),"If 'Met', place location (address) where the permanent student records are maintained.   
If 'Not Met', place rationale OR clarification needed for permanent student records location.","")</f>
        <v/>
      </c>
      <c r="C129" s="813"/>
      <c r="D129" s="813"/>
      <c r="E129" s="813"/>
      <c r="F129" s="811"/>
      <c r="G129" s="811"/>
      <c r="H129" s="811"/>
      <c r="I129" s="164"/>
      <c r="J129" s="810"/>
      <c r="K129" s="810"/>
      <c r="L129" s="810"/>
      <c r="M129" s="810"/>
    </row>
    <row r="130" spans="2:13" ht="38.1" customHeight="1">
      <c r="B130" s="816" t="str">
        <f>IF(F106&lt;&gt;"","There is evidence the following items are consistent with the main campus:","")</f>
        <v/>
      </c>
      <c r="C130" s="816"/>
      <c r="D130" s="816"/>
      <c r="E130" s="816"/>
      <c r="F130" s="820"/>
      <c r="G130" s="820"/>
      <c r="H130" s="820"/>
      <c r="I130" s="165"/>
      <c r="J130" s="704"/>
      <c r="K130" s="704"/>
      <c r="L130" s="704"/>
      <c r="M130" s="704"/>
    </row>
    <row r="131" spans="2:13" ht="42" customHeight="1">
      <c r="B131" s="813" t="str">
        <f>IF(F106&lt;&gt;"","Curricula:","")</f>
        <v/>
      </c>
      <c r="C131" s="813"/>
      <c r="D131" s="813"/>
      <c r="E131" s="813"/>
      <c r="F131" s="809"/>
      <c r="G131" s="809"/>
      <c r="H131" s="809"/>
      <c r="I131" s="162"/>
      <c r="J131" s="809"/>
      <c r="K131" s="809"/>
      <c r="L131" s="809"/>
      <c r="M131" s="809"/>
    </row>
    <row r="132" spans="2:13" ht="45" customHeight="1">
      <c r="B132" s="813" t="str">
        <f>IF(OR(F131="Not Met",I131="Not Met",J131="Not Met",L131="Not Met",O131="Not Met"),"Rationale for 'Not Met' OR 
Clarification Needed for Curricula:","")</f>
        <v/>
      </c>
      <c r="C132" s="813"/>
      <c r="D132" s="813"/>
      <c r="E132" s="813"/>
      <c r="F132" s="811"/>
      <c r="G132" s="811"/>
      <c r="H132" s="811"/>
      <c r="I132" s="164"/>
      <c r="J132" s="810"/>
      <c r="K132" s="810"/>
      <c r="L132" s="810"/>
      <c r="M132" s="810"/>
    </row>
    <row r="133" spans="2:13" ht="42" customHeight="1">
      <c r="B133" s="813" t="str">
        <f>IF(F106&lt;&gt;"","Course Syllabi:","")</f>
        <v/>
      </c>
      <c r="C133" s="813"/>
      <c r="D133" s="813"/>
      <c r="E133" s="813"/>
      <c r="F133" s="809"/>
      <c r="G133" s="809"/>
      <c r="H133" s="809"/>
      <c r="I133" s="162"/>
      <c r="J133" s="809"/>
      <c r="K133" s="809"/>
      <c r="L133" s="809"/>
      <c r="M133" s="809"/>
    </row>
    <row r="134" spans="2:13" ht="45.75" customHeight="1">
      <c r="B134" s="813" t="str">
        <f>IF(OR(F133="Not Met",I133="Not Met",J133="Not Met",L133="Not Met",O133="Not Met"),"Rationale for 'Not Met' OR 
Clarification Needed for Course Syllabi:","")</f>
        <v/>
      </c>
      <c r="C134" s="813"/>
      <c r="D134" s="813"/>
      <c r="E134" s="813"/>
      <c r="F134" s="811"/>
      <c r="G134" s="811"/>
      <c r="H134" s="811"/>
      <c r="I134" s="164"/>
      <c r="J134" s="810"/>
      <c r="K134" s="810"/>
      <c r="L134" s="810"/>
      <c r="M134" s="810"/>
    </row>
    <row r="135" spans="2:13" ht="57" customHeight="1">
      <c r="B135" s="813" t="str">
        <f>IF(F106&lt;&gt;"","Faculty Monitoring &amp; Oversight of Sites:
(clinical, field exp. &amp; capstone field internship)","")</f>
        <v/>
      </c>
      <c r="C135" s="813"/>
      <c r="D135" s="813"/>
      <c r="E135" s="813"/>
      <c r="F135" s="809"/>
      <c r="G135" s="809"/>
      <c r="H135" s="809"/>
      <c r="I135" s="162"/>
      <c r="J135" s="809"/>
      <c r="K135" s="809"/>
      <c r="L135" s="809"/>
      <c r="M135" s="809"/>
    </row>
    <row r="136" spans="2:13" ht="49.5" customHeight="1">
      <c r="B136" s="813" t="str">
        <f>IF(OR(F135="Not Met",I135="Not Met",J135="Not Met",L135="Not Met",O135="Not Met"),"Rationale for 'Not Met' OR Clarification 
Needed for Monitoring &amp; Oversight of Sites:","")</f>
        <v/>
      </c>
      <c r="C136" s="813"/>
      <c r="D136" s="813"/>
      <c r="E136" s="813"/>
      <c r="F136" s="811"/>
      <c r="G136" s="811"/>
      <c r="H136" s="811"/>
      <c r="I136" s="164"/>
      <c r="J136" s="810"/>
      <c r="K136" s="810"/>
      <c r="L136" s="810"/>
      <c r="M136" s="810"/>
    </row>
    <row r="137" spans="2:13" ht="42" customHeight="1">
      <c r="B137" s="813" t="str">
        <f>IF(F106&lt;&gt;"","Scheduled Course Hours &amp; Sequencing:","")</f>
        <v/>
      </c>
      <c r="C137" s="813"/>
      <c r="D137" s="813"/>
      <c r="E137" s="813"/>
      <c r="F137" s="809"/>
      <c r="G137" s="809"/>
      <c r="H137" s="809"/>
      <c r="I137" s="162"/>
      <c r="J137" s="809"/>
      <c r="K137" s="809"/>
      <c r="L137" s="809"/>
      <c r="M137" s="809"/>
    </row>
    <row r="138" spans="2:13" ht="52.5" customHeight="1">
      <c r="B138" s="813" t="str">
        <f>IF(OR(F137="Not Met",I137="Not Met",J137="Not Met",L137="Not Met",O137="Not Met"),"Rationale for 'Not Met' OR Clarification 
Needed for Course Hours &amp; Sequencing:","")</f>
        <v/>
      </c>
      <c r="C138" s="813"/>
      <c r="D138" s="813"/>
      <c r="E138" s="813"/>
      <c r="F138" s="811"/>
      <c r="G138" s="811"/>
      <c r="H138" s="811"/>
      <c r="I138" s="164"/>
      <c r="J138" s="810"/>
      <c r="K138" s="810"/>
      <c r="L138" s="810"/>
      <c r="M138" s="810"/>
    </row>
    <row r="139" spans="2:13" ht="42" customHeight="1">
      <c r="B139" s="813" t="str">
        <f>IF(F106&lt;&gt;"","   Student Evaluation Tools: 
(cognitive, psychomotor, &amp; affective domains)","")</f>
        <v/>
      </c>
      <c r="C139" s="813"/>
      <c r="D139" s="813"/>
      <c r="E139" s="813"/>
      <c r="F139" s="809"/>
      <c r="G139" s="809"/>
      <c r="H139" s="809"/>
      <c r="I139" s="162"/>
      <c r="J139" s="809"/>
      <c r="K139" s="809"/>
      <c r="L139" s="809"/>
      <c r="M139" s="809"/>
    </row>
    <row r="140" spans="2:13" ht="51.75" customHeight="1">
      <c r="B140" s="813" t="str">
        <f>IF(OR(F139="Not Met",I139="Not Met",J139="Not Met",L139="Not Met",O139="Not Met"),"Rationale for 'Not Met' OR Clarification 
Needed for Student Evaluation Tools:","")</f>
        <v/>
      </c>
      <c r="C140" s="813"/>
      <c r="D140" s="813"/>
      <c r="E140" s="813"/>
      <c r="F140" s="811"/>
      <c r="G140" s="811"/>
      <c r="H140" s="811"/>
      <c r="I140" s="164"/>
      <c r="J140" s="810"/>
      <c r="K140" s="810"/>
      <c r="L140" s="810"/>
      <c r="M140" s="810"/>
    </row>
    <row r="141" spans="2:13" ht="55.5" customHeight="1">
      <c r="B141" s="813" t="str">
        <f>IF(F106&lt;&gt;"","      Competencies &amp; 
Required Minimum Numbers: 
     (Student Minimum Competency [SMC])","")</f>
        <v/>
      </c>
      <c r="C141" s="813"/>
      <c r="D141" s="813"/>
      <c r="E141" s="813"/>
      <c r="F141" s="809"/>
      <c r="G141" s="809"/>
      <c r="H141" s="809"/>
      <c r="I141" s="162"/>
      <c r="J141" s="809"/>
      <c r="K141" s="809"/>
      <c r="L141" s="809"/>
      <c r="M141" s="809"/>
    </row>
    <row r="142" spans="2:13" ht="51.75" customHeight="1">
      <c r="B142" s="813" t="str">
        <f>IF(OR(F141="Not Met",I141="Not Met",J141="Not Met",L141="Not Met",O141="Not Met"),"Rationale for 'Not Met' OR Clarification 
Needed for Required Minimum Numbers (SMC):","")</f>
        <v/>
      </c>
      <c r="C142" s="813"/>
      <c r="D142" s="813"/>
      <c r="E142" s="813"/>
      <c r="F142" s="811"/>
      <c r="G142" s="811"/>
      <c r="H142" s="811"/>
      <c r="I142" s="164"/>
      <c r="J142" s="810"/>
      <c r="K142" s="810"/>
      <c r="L142" s="810"/>
      <c r="M142" s="810"/>
    </row>
    <row r="143" spans="2:13" ht="42" customHeight="1">
      <c r="B143" s="813" t="str">
        <f>IF(F106&lt;&gt;"","Clinical &amp; Capstone Field Internship Sites:
(similar in opportunity &amp; patient volume)","")</f>
        <v/>
      </c>
      <c r="C143" s="813"/>
      <c r="D143" s="813"/>
      <c r="E143" s="813"/>
      <c r="F143" s="809"/>
      <c r="G143" s="809"/>
      <c r="H143" s="809"/>
      <c r="I143" s="162"/>
      <c r="J143" s="809"/>
      <c r="K143" s="809"/>
      <c r="L143" s="809"/>
      <c r="M143" s="809"/>
    </row>
    <row r="144" spans="2:13" ht="48.75" customHeight="1">
      <c r="B144" s="813" t="str">
        <f>IF(OR(F143="Not Met",I143="Not Met",J143="Not Met",L143="Not Met",O143="Not Met"),"Rationale for 'Not Met' OR 
Clarification Needed for Affiliate Sites:","")</f>
        <v/>
      </c>
      <c r="C144" s="813"/>
      <c r="D144" s="813"/>
      <c r="E144" s="813"/>
      <c r="F144" s="811"/>
      <c r="G144" s="811"/>
      <c r="H144" s="811"/>
      <c r="I144" s="164"/>
      <c r="J144" s="810"/>
      <c r="K144" s="810"/>
      <c r="L144" s="810"/>
      <c r="M144" s="810"/>
    </row>
    <row r="145" spans="2:96" ht="42" customHeight="1">
      <c r="B145" s="813" t="str">
        <f>IF(F106&lt;&gt;"","On-Site Liaison Orientation/
Capstone Field Internship Training:","")</f>
        <v/>
      </c>
      <c r="C145" s="813"/>
      <c r="D145" s="813"/>
      <c r="E145" s="813"/>
      <c r="F145" s="809"/>
      <c r="G145" s="809"/>
      <c r="H145" s="809"/>
      <c r="I145" s="162"/>
      <c r="J145" s="809"/>
      <c r="K145" s="809"/>
      <c r="L145" s="809"/>
      <c r="M145" s="809"/>
    </row>
    <row r="146" spans="2:96" ht="48" customHeight="1">
      <c r="B146" s="813" t="str">
        <f>IF(OR(F145="Not Met",I145="Not Met",J145="Not Met",L145="Not Met",O145="Not Met"),"Rationale for 'Not Met' OR Clarification 
Needed for On-Site Liaison Orientation/
Capstone Field Internship Training:","")</f>
        <v/>
      </c>
      <c r="C146" s="813"/>
      <c r="D146" s="813"/>
      <c r="E146" s="813"/>
      <c r="F146" s="811"/>
      <c r="G146" s="811"/>
      <c r="H146" s="811"/>
      <c r="I146" s="164"/>
      <c r="J146" s="810"/>
      <c r="K146" s="810"/>
      <c r="L146" s="810"/>
      <c r="M146" s="810"/>
    </row>
    <row r="149" spans="2:96" ht="40.5" customHeight="1">
      <c r="E149" s="686" t="str">
        <f>IF(AND(H8&lt;&gt;"",H8&gt;=1), "This completes the Satellite Addendum","")</f>
        <v/>
      </c>
      <c r="F149" s="686"/>
      <c r="G149" s="686"/>
      <c r="H149" s="686"/>
      <c r="I149" s="686"/>
      <c r="O149" s="825"/>
      <c r="P149" s="825"/>
      <c r="Q149" s="825"/>
      <c r="R149" s="19"/>
      <c r="S149" s="19"/>
      <c r="T149" s="826"/>
      <c r="U149" s="826"/>
      <c r="V149" s="826"/>
      <c r="W149" s="19"/>
      <c r="X149" s="19"/>
      <c r="Y149" s="827"/>
      <c r="Z149" s="827"/>
      <c r="AA149" s="827"/>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c r="CE149" s="19"/>
      <c r="CF149" s="19"/>
      <c r="CG149" s="19"/>
      <c r="CH149" s="19"/>
      <c r="CI149" s="19"/>
      <c r="CJ149" s="19"/>
      <c r="CK149" s="19"/>
      <c r="CL149" s="19"/>
      <c r="CM149" s="19"/>
      <c r="CN149" s="19"/>
      <c r="CO149" s="19"/>
      <c r="CP149" s="19"/>
      <c r="CQ149" s="19"/>
      <c r="CR149" s="19"/>
    </row>
  </sheetData>
  <sheetProtection algorithmName="SHA-512" hashValue="LVGy9/xWVeL4Kq1HrfoNbRFqlSw0BRDcUYjTDodJCkGGon0sq2hWW1g7pRk8LjfJK57U0dgB3YTHjyj+LAgP1Q==" saltValue="vL4a6XrWXwBdXsc6L7+MHg==" spinCount="100000" sheet="1" objects="1" scenarios="1" formatRows="0" selectLockedCells="1"/>
  <mergeCells count="519">
    <mergeCell ref="E149:I149"/>
    <mergeCell ref="O149:Q149"/>
    <mergeCell ref="T149:V149"/>
    <mergeCell ref="Y149:AA149"/>
    <mergeCell ref="B144:E144"/>
    <mergeCell ref="F144:H144"/>
    <mergeCell ref="J144:K144"/>
    <mergeCell ref="L144:M144"/>
    <mergeCell ref="B145:E145"/>
    <mergeCell ref="F145:H145"/>
    <mergeCell ref="J145:K145"/>
    <mergeCell ref="L145:M145"/>
    <mergeCell ref="B146:E146"/>
    <mergeCell ref="F146:H146"/>
    <mergeCell ref="J146:K146"/>
    <mergeCell ref="L146:M146"/>
    <mergeCell ref="B141:E141"/>
    <mergeCell ref="F141:H141"/>
    <mergeCell ref="J141:K141"/>
    <mergeCell ref="L141:M141"/>
    <mergeCell ref="B142:E142"/>
    <mergeCell ref="F142:H142"/>
    <mergeCell ref="J142:K142"/>
    <mergeCell ref="L142:M142"/>
    <mergeCell ref="B143:E143"/>
    <mergeCell ref="F143:H143"/>
    <mergeCell ref="J143:K143"/>
    <mergeCell ref="L143:M143"/>
    <mergeCell ref="B139:E139"/>
    <mergeCell ref="F139:H139"/>
    <mergeCell ref="J139:K139"/>
    <mergeCell ref="L139:M139"/>
    <mergeCell ref="B140:E140"/>
    <mergeCell ref="F140:H140"/>
    <mergeCell ref="J140:K140"/>
    <mergeCell ref="L140:M140"/>
    <mergeCell ref="B137:E137"/>
    <mergeCell ref="F137:H137"/>
    <mergeCell ref="J137:K137"/>
    <mergeCell ref="L137:M137"/>
    <mergeCell ref="B138:E138"/>
    <mergeCell ref="F138:H138"/>
    <mergeCell ref="J138:K138"/>
    <mergeCell ref="L138:M138"/>
    <mergeCell ref="B134:E134"/>
    <mergeCell ref="F134:H134"/>
    <mergeCell ref="J134:K134"/>
    <mergeCell ref="L134:M134"/>
    <mergeCell ref="B135:E135"/>
    <mergeCell ref="F135:H135"/>
    <mergeCell ref="J135:K135"/>
    <mergeCell ref="L135:M135"/>
    <mergeCell ref="B136:E136"/>
    <mergeCell ref="F136:H136"/>
    <mergeCell ref="J136:K136"/>
    <mergeCell ref="L136:M136"/>
    <mergeCell ref="B131:E131"/>
    <mergeCell ref="F131:H131"/>
    <mergeCell ref="J131:K131"/>
    <mergeCell ref="L131:M131"/>
    <mergeCell ref="B132:E132"/>
    <mergeCell ref="F132:H132"/>
    <mergeCell ref="J132:K132"/>
    <mergeCell ref="L132:M132"/>
    <mergeCell ref="B133:E133"/>
    <mergeCell ref="F133:H133"/>
    <mergeCell ref="J133:K133"/>
    <mergeCell ref="L133:M133"/>
    <mergeCell ref="B128:E128"/>
    <mergeCell ref="F128:H128"/>
    <mergeCell ref="J128:K128"/>
    <mergeCell ref="L128:M128"/>
    <mergeCell ref="B129:E129"/>
    <mergeCell ref="F129:H129"/>
    <mergeCell ref="J129:K129"/>
    <mergeCell ref="L129:M129"/>
    <mergeCell ref="B130:E130"/>
    <mergeCell ref="F130:H130"/>
    <mergeCell ref="J130:K130"/>
    <mergeCell ref="L130:M130"/>
    <mergeCell ref="B125:E125"/>
    <mergeCell ref="F125:H125"/>
    <mergeCell ref="J125:K125"/>
    <mergeCell ref="L125:M125"/>
    <mergeCell ref="B126:E126"/>
    <mergeCell ref="F126:H126"/>
    <mergeCell ref="J126:K126"/>
    <mergeCell ref="L126:M126"/>
    <mergeCell ref="B127:E127"/>
    <mergeCell ref="F127:H127"/>
    <mergeCell ref="J127:K127"/>
    <mergeCell ref="L127:M127"/>
    <mergeCell ref="B122:E122"/>
    <mergeCell ref="F122:H122"/>
    <mergeCell ref="J122:K122"/>
    <mergeCell ref="L122:M122"/>
    <mergeCell ref="B123:E123"/>
    <mergeCell ref="F123:H123"/>
    <mergeCell ref="J123:K123"/>
    <mergeCell ref="L123:M123"/>
    <mergeCell ref="B124:E124"/>
    <mergeCell ref="F124:H124"/>
    <mergeCell ref="J124:K124"/>
    <mergeCell ref="L124:M124"/>
    <mergeCell ref="B119:E119"/>
    <mergeCell ref="F119:H119"/>
    <mergeCell ref="J119:K119"/>
    <mergeCell ref="L119:M119"/>
    <mergeCell ref="B120:E120"/>
    <mergeCell ref="F120:H120"/>
    <mergeCell ref="J120:K120"/>
    <mergeCell ref="L120:M120"/>
    <mergeCell ref="B121:E121"/>
    <mergeCell ref="F121:H121"/>
    <mergeCell ref="J121:K121"/>
    <mergeCell ref="L121:M121"/>
    <mergeCell ref="B116:E116"/>
    <mergeCell ref="F116:H116"/>
    <mergeCell ref="J116:K116"/>
    <mergeCell ref="L116:M116"/>
    <mergeCell ref="B117:E117"/>
    <mergeCell ref="F117:H117"/>
    <mergeCell ref="J117:K117"/>
    <mergeCell ref="L117:M117"/>
    <mergeCell ref="B118:E118"/>
    <mergeCell ref="F118:H118"/>
    <mergeCell ref="J118:K118"/>
    <mergeCell ref="L118:M118"/>
    <mergeCell ref="B113:E113"/>
    <mergeCell ref="F113:H113"/>
    <mergeCell ref="J113:K113"/>
    <mergeCell ref="L113:M113"/>
    <mergeCell ref="B114:E114"/>
    <mergeCell ref="F114:H114"/>
    <mergeCell ref="J114:K114"/>
    <mergeCell ref="L114:M114"/>
    <mergeCell ref="B115:E115"/>
    <mergeCell ref="F115:H115"/>
    <mergeCell ref="J115:K115"/>
    <mergeCell ref="L115:M115"/>
    <mergeCell ref="B110:E110"/>
    <mergeCell ref="F110:H110"/>
    <mergeCell ref="J110:K110"/>
    <mergeCell ref="L110:M110"/>
    <mergeCell ref="B111:E111"/>
    <mergeCell ref="F111:H111"/>
    <mergeCell ref="J111:K111"/>
    <mergeCell ref="L111:M111"/>
    <mergeCell ref="B112:E112"/>
    <mergeCell ref="F112:H112"/>
    <mergeCell ref="J112:K112"/>
    <mergeCell ref="L112:M112"/>
    <mergeCell ref="B107:E107"/>
    <mergeCell ref="F107:H107"/>
    <mergeCell ref="J107:K107"/>
    <mergeCell ref="L107:M107"/>
    <mergeCell ref="B108:E108"/>
    <mergeCell ref="F108:H108"/>
    <mergeCell ref="J108:K108"/>
    <mergeCell ref="L108:M108"/>
    <mergeCell ref="B109:E109"/>
    <mergeCell ref="F109:H109"/>
    <mergeCell ref="J109:K109"/>
    <mergeCell ref="L109:M109"/>
    <mergeCell ref="E102:I102"/>
    <mergeCell ref="O102:Q102"/>
    <mergeCell ref="T102:V102"/>
    <mergeCell ref="Y102:AA102"/>
    <mergeCell ref="C105:E105"/>
    <mergeCell ref="F105:M105"/>
    <mergeCell ref="C106:E106"/>
    <mergeCell ref="F106:H106"/>
    <mergeCell ref="J106:K106"/>
    <mergeCell ref="L106:M106"/>
    <mergeCell ref="B97:E97"/>
    <mergeCell ref="F97:H97"/>
    <mergeCell ref="J97:K97"/>
    <mergeCell ref="L97:M97"/>
    <mergeCell ref="B98:E98"/>
    <mergeCell ref="F98:H98"/>
    <mergeCell ref="J98:K98"/>
    <mergeCell ref="L98:M98"/>
    <mergeCell ref="B99:E99"/>
    <mergeCell ref="F99:H99"/>
    <mergeCell ref="J99:K99"/>
    <mergeCell ref="L99:M99"/>
    <mergeCell ref="B94:E94"/>
    <mergeCell ref="F94:H94"/>
    <mergeCell ref="J94:K94"/>
    <mergeCell ref="L94:M94"/>
    <mergeCell ref="B95:E95"/>
    <mergeCell ref="F95:H95"/>
    <mergeCell ref="J95:K95"/>
    <mergeCell ref="L95:M95"/>
    <mergeCell ref="B96:E96"/>
    <mergeCell ref="F96:H96"/>
    <mergeCell ref="J96:K96"/>
    <mergeCell ref="L96:M96"/>
    <mergeCell ref="B92:E92"/>
    <mergeCell ref="F92:H92"/>
    <mergeCell ref="J92:K92"/>
    <mergeCell ref="L92:M92"/>
    <mergeCell ref="B93:E93"/>
    <mergeCell ref="F93:H93"/>
    <mergeCell ref="J93:K93"/>
    <mergeCell ref="L93:M93"/>
    <mergeCell ref="B90:E90"/>
    <mergeCell ref="F90:H90"/>
    <mergeCell ref="J90:K90"/>
    <mergeCell ref="L90:M90"/>
    <mergeCell ref="B91:E91"/>
    <mergeCell ref="F91:H91"/>
    <mergeCell ref="J91:K91"/>
    <mergeCell ref="L91:M91"/>
    <mergeCell ref="B87:E87"/>
    <mergeCell ref="F87:H87"/>
    <mergeCell ref="J87:K87"/>
    <mergeCell ref="L87:M87"/>
    <mergeCell ref="B88:E88"/>
    <mergeCell ref="F88:H88"/>
    <mergeCell ref="J88:K88"/>
    <mergeCell ref="L88:M88"/>
    <mergeCell ref="B89:E89"/>
    <mergeCell ref="F89:H89"/>
    <mergeCell ref="J89:K89"/>
    <mergeCell ref="L89:M89"/>
    <mergeCell ref="B84:E84"/>
    <mergeCell ref="F84:H84"/>
    <mergeCell ref="J84:K84"/>
    <mergeCell ref="L84:M84"/>
    <mergeCell ref="B85:E85"/>
    <mergeCell ref="F85:H85"/>
    <mergeCell ref="J85:K85"/>
    <mergeCell ref="L85:M85"/>
    <mergeCell ref="B86:E86"/>
    <mergeCell ref="F86:H86"/>
    <mergeCell ref="J86:K86"/>
    <mergeCell ref="L86:M86"/>
    <mergeCell ref="B81:E81"/>
    <mergeCell ref="F81:H81"/>
    <mergeCell ref="J81:K81"/>
    <mergeCell ref="L81:M81"/>
    <mergeCell ref="B82:E82"/>
    <mergeCell ref="F82:H82"/>
    <mergeCell ref="J82:K82"/>
    <mergeCell ref="L82:M82"/>
    <mergeCell ref="B83:E83"/>
    <mergeCell ref="F83:H83"/>
    <mergeCell ref="J83:K83"/>
    <mergeCell ref="L83:M83"/>
    <mergeCell ref="B78:E78"/>
    <mergeCell ref="F78:H78"/>
    <mergeCell ref="J78:K78"/>
    <mergeCell ref="L78:M78"/>
    <mergeCell ref="B79:E79"/>
    <mergeCell ref="F79:H79"/>
    <mergeCell ref="J79:K79"/>
    <mergeCell ref="L79:M79"/>
    <mergeCell ref="B80:E80"/>
    <mergeCell ref="F80:H80"/>
    <mergeCell ref="J80:K80"/>
    <mergeCell ref="L80:M80"/>
    <mergeCell ref="B75:E75"/>
    <mergeCell ref="F75:H75"/>
    <mergeCell ref="J75:K75"/>
    <mergeCell ref="L75:M75"/>
    <mergeCell ref="B76:E76"/>
    <mergeCell ref="F76:H76"/>
    <mergeCell ref="J76:K76"/>
    <mergeCell ref="L76:M76"/>
    <mergeCell ref="B77:E77"/>
    <mergeCell ref="F77:H77"/>
    <mergeCell ref="J77:K77"/>
    <mergeCell ref="L77:M77"/>
    <mergeCell ref="B72:E72"/>
    <mergeCell ref="F72:H72"/>
    <mergeCell ref="J72:K72"/>
    <mergeCell ref="L72:M72"/>
    <mergeCell ref="B73:E73"/>
    <mergeCell ref="F73:H73"/>
    <mergeCell ref="J73:K73"/>
    <mergeCell ref="L73:M73"/>
    <mergeCell ref="B74:E74"/>
    <mergeCell ref="F74:H74"/>
    <mergeCell ref="J74:K74"/>
    <mergeCell ref="L74:M74"/>
    <mergeCell ref="B69:E69"/>
    <mergeCell ref="F69:H69"/>
    <mergeCell ref="J69:K69"/>
    <mergeCell ref="L69:M69"/>
    <mergeCell ref="B70:E70"/>
    <mergeCell ref="F70:H70"/>
    <mergeCell ref="J70:K70"/>
    <mergeCell ref="L70:M70"/>
    <mergeCell ref="B71:E71"/>
    <mergeCell ref="F71:H71"/>
    <mergeCell ref="J71:K71"/>
    <mergeCell ref="L71:M71"/>
    <mergeCell ref="B66:E66"/>
    <mergeCell ref="F66:H66"/>
    <mergeCell ref="J66:K66"/>
    <mergeCell ref="L66:M66"/>
    <mergeCell ref="B67:E67"/>
    <mergeCell ref="F67:H67"/>
    <mergeCell ref="J67:K67"/>
    <mergeCell ref="L67:M67"/>
    <mergeCell ref="B68:E68"/>
    <mergeCell ref="F68:H68"/>
    <mergeCell ref="J68:K68"/>
    <mergeCell ref="L68:M68"/>
    <mergeCell ref="B63:E63"/>
    <mergeCell ref="F63:H63"/>
    <mergeCell ref="J63:K63"/>
    <mergeCell ref="L63:M63"/>
    <mergeCell ref="B64:E64"/>
    <mergeCell ref="F64:H64"/>
    <mergeCell ref="J64:K64"/>
    <mergeCell ref="L64:M64"/>
    <mergeCell ref="B65:E65"/>
    <mergeCell ref="F65:H65"/>
    <mergeCell ref="J65:K65"/>
    <mergeCell ref="L65:M65"/>
    <mergeCell ref="B60:E60"/>
    <mergeCell ref="F60:H60"/>
    <mergeCell ref="J60:K60"/>
    <mergeCell ref="L60:M60"/>
    <mergeCell ref="B61:E61"/>
    <mergeCell ref="F61:H61"/>
    <mergeCell ref="J61:K61"/>
    <mergeCell ref="L61:M61"/>
    <mergeCell ref="B62:E62"/>
    <mergeCell ref="F62:H62"/>
    <mergeCell ref="J62:K62"/>
    <mergeCell ref="L62:M62"/>
    <mergeCell ref="C58:E58"/>
    <mergeCell ref="F58:M58"/>
    <mergeCell ref="C59:E59"/>
    <mergeCell ref="F59:H59"/>
    <mergeCell ref="J59:K59"/>
    <mergeCell ref="L59:M59"/>
    <mergeCell ref="F11:M11"/>
    <mergeCell ref="J23:K23"/>
    <mergeCell ref="L21:M21"/>
    <mergeCell ref="F13:H13"/>
    <mergeCell ref="F14:H14"/>
    <mergeCell ref="J16:K16"/>
    <mergeCell ref="J17:K17"/>
    <mergeCell ref="J18:K18"/>
    <mergeCell ref="F15:H15"/>
    <mergeCell ref="F16:H16"/>
    <mergeCell ref="F17:H17"/>
    <mergeCell ref="F21:H21"/>
    <mergeCell ref="J21:K21"/>
    <mergeCell ref="L26:M26"/>
    <mergeCell ref="L27:M27"/>
    <mergeCell ref="F18:H18"/>
    <mergeCell ref="L19:M19"/>
    <mergeCell ref="L20:M20"/>
    <mergeCell ref="F41:H41"/>
    <mergeCell ref="B49:E49"/>
    <mergeCell ref="F49:H49"/>
    <mergeCell ref="F51:H51"/>
    <mergeCell ref="J50:K50"/>
    <mergeCell ref="J51:K51"/>
    <mergeCell ref="J46:K46"/>
    <mergeCell ref="F44:H44"/>
    <mergeCell ref="B41:E41"/>
    <mergeCell ref="J47:K47"/>
    <mergeCell ref="J48:K48"/>
    <mergeCell ref="J49:K49"/>
    <mergeCell ref="J45:K45"/>
    <mergeCell ref="T11:W11"/>
    <mergeCell ref="Y11:AB11"/>
    <mergeCell ref="O55:Q55"/>
    <mergeCell ref="T55:V55"/>
    <mergeCell ref="Y55:AA55"/>
    <mergeCell ref="J39:K39"/>
    <mergeCell ref="J52:K52"/>
    <mergeCell ref="J31:K31"/>
    <mergeCell ref="J30:K30"/>
    <mergeCell ref="L50:M50"/>
    <mergeCell ref="L51:M51"/>
    <mergeCell ref="L52:M52"/>
    <mergeCell ref="L48:M48"/>
    <mergeCell ref="L49:M49"/>
    <mergeCell ref="J38:K38"/>
    <mergeCell ref="J44:K44"/>
    <mergeCell ref="J28:K28"/>
    <mergeCell ref="L45:M45"/>
    <mergeCell ref="L40:M40"/>
    <mergeCell ref="O11:R11"/>
    <mergeCell ref="J40:K40"/>
    <mergeCell ref="L29:M29"/>
    <mergeCell ref="L30:M30"/>
    <mergeCell ref="L28:M28"/>
    <mergeCell ref="F29:H29"/>
    <mergeCell ref="B3:L3"/>
    <mergeCell ref="B22:E22"/>
    <mergeCell ref="F22:H22"/>
    <mergeCell ref="J22:K22"/>
    <mergeCell ref="L22:M22"/>
    <mergeCell ref="B19:E19"/>
    <mergeCell ref="F19:H19"/>
    <mergeCell ref="B13:E13"/>
    <mergeCell ref="B18:E18"/>
    <mergeCell ref="J12:K12"/>
    <mergeCell ref="L12:M12"/>
    <mergeCell ref="L13:M13"/>
    <mergeCell ref="F27:H27"/>
    <mergeCell ref="L14:M14"/>
    <mergeCell ref="L15:M15"/>
    <mergeCell ref="L16:M16"/>
    <mergeCell ref="L17:M17"/>
    <mergeCell ref="L18:M18"/>
    <mergeCell ref="L23:M23"/>
    <mergeCell ref="L24:M24"/>
    <mergeCell ref="L25:M25"/>
    <mergeCell ref="B6:G6"/>
    <mergeCell ref="J13:K13"/>
    <mergeCell ref="B7:G7"/>
    <mergeCell ref="F36:H36"/>
    <mergeCell ref="B16:E16"/>
    <mergeCell ref="B14:E14"/>
    <mergeCell ref="B15:E15"/>
    <mergeCell ref="B21:E21"/>
    <mergeCell ref="C12:E12"/>
    <mergeCell ref="C11:E11"/>
    <mergeCell ref="F20:H20"/>
    <mergeCell ref="B32:E32"/>
    <mergeCell ref="F32:H32"/>
    <mergeCell ref="B28:E28"/>
    <mergeCell ref="F28:H28"/>
    <mergeCell ref="B35:E35"/>
    <mergeCell ref="F35:H35"/>
    <mergeCell ref="B23:E23"/>
    <mergeCell ref="F23:H23"/>
    <mergeCell ref="F34:H34"/>
    <mergeCell ref="B27:E27"/>
    <mergeCell ref="B24:E24"/>
    <mergeCell ref="F24:H24"/>
    <mergeCell ref="B30:E30"/>
    <mergeCell ref="B34:E34"/>
    <mergeCell ref="B29:E29"/>
    <mergeCell ref="B2:L2"/>
    <mergeCell ref="B4:L4"/>
    <mergeCell ref="B47:E47"/>
    <mergeCell ref="B45:E45"/>
    <mergeCell ref="B43:E43"/>
    <mergeCell ref="B39:E39"/>
    <mergeCell ref="B37:E37"/>
    <mergeCell ref="B36:E36"/>
    <mergeCell ref="B17:E17"/>
    <mergeCell ref="F12:H12"/>
    <mergeCell ref="F30:H30"/>
    <mergeCell ref="B26:E26"/>
    <mergeCell ref="F26:H26"/>
    <mergeCell ref="B8:G8"/>
    <mergeCell ref="B20:E20"/>
    <mergeCell ref="B25:E25"/>
    <mergeCell ref="F25:H25"/>
    <mergeCell ref="J41:K41"/>
    <mergeCell ref="J42:K42"/>
    <mergeCell ref="J43:K43"/>
    <mergeCell ref="F45:H45"/>
    <mergeCell ref="F47:H47"/>
    <mergeCell ref="L47:M47"/>
    <mergeCell ref="L46:M46"/>
    <mergeCell ref="E55:I55"/>
    <mergeCell ref="F42:H42"/>
    <mergeCell ref="B38:E38"/>
    <mergeCell ref="F38:H38"/>
    <mergeCell ref="B40:E40"/>
    <mergeCell ref="B31:E31"/>
    <mergeCell ref="F31:H31"/>
    <mergeCell ref="B33:E33"/>
    <mergeCell ref="F33:H33"/>
    <mergeCell ref="F37:H37"/>
    <mergeCell ref="B46:E46"/>
    <mergeCell ref="F46:H46"/>
    <mergeCell ref="B50:E50"/>
    <mergeCell ref="F50:H50"/>
    <mergeCell ref="B42:E42"/>
    <mergeCell ref="B51:E51"/>
    <mergeCell ref="B44:E44"/>
    <mergeCell ref="F39:H39"/>
    <mergeCell ref="F43:H43"/>
    <mergeCell ref="F40:H40"/>
    <mergeCell ref="B52:E52"/>
    <mergeCell ref="F52:H52"/>
    <mergeCell ref="B48:E48"/>
    <mergeCell ref="F48:H48"/>
    <mergeCell ref="J24:K24"/>
    <mergeCell ref="J25:K25"/>
    <mergeCell ref="J26:K26"/>
    <mergeCell ref="J36:K36"/>
    <mergeCell ref="J27:K27"/>
    <mergeCell ref="J14:K14"/>
    <mergeCell ref="J15:K15"/>
    <mergeCell ref="L31:M31"/>
    <mergeCell ref="L32:M32"/>
    <mergeCell ref="L33:M33"/>
    <mergeCell ref="L34:M34"/>
    <mergeCell ref="J19:K19"/>
    <mergeCell ref="J20:K20"/>
    <mergeCell ref="J32:K32"/>
    <mergeCell ref="J33:K33"/>
    <mergeCell ref="J34:K34"/>
    <mergeCell ref="L35:M35"/>
    <mergeCell ref="L36:M36"/>
    <mergeCell ref="L37:M37"/>
    <mergeCell ref="L39:M39"/>
    <mergeCell ref="L41:M41"/>
    <mergeCell ref="L42:M42"/>
    <mergeCell ref="L43:M43"/>
    <mergeCell ref="L44:M44"/>
    <mergeCell ref="J29:K29"/>
    <mergeCell ref="L38:M38"/>
    <mergeCell ref="J35:K35"/>
    <mergeCell ref="J37:K37"/>
  </mergeCells>
  <conditionalFormatting sqref="B3">
    <cfRule type="expression" dxfId="743" priority="1088">
      <formula>$B3="Paramedic"</formula>
    </cfRule>
    <cfRule type="expression" dxfId="742" priority="1089">
      <formula>$B3="AEMT"</formula>
    </cfRule>
  </conditionalFormatting>
  <conditionalFormatting sqref="B4">
    <cfRule type="expression" dxfId="741" priority="1374">
      <formula>$B$438&lt;&gt;""</formula>
    </cfRule>
  </conditionalFormatting>
  <conditionalFormatting sqref="B13:E17">
    <cfRule type="expression" dxfId="740" priority="1083">
      <formula>$F$11&lt;&gt;""</formula>
    </cfRule>
  </conditionalFormatting>
  <conditionalFormatting sqref="B19:E24">
    <cfRule type="expression" dxfId="739" priority="1082">
      <formula>$F$11&lt;&gt;""</formula>
    </cfRule>
  </conditionalFormatting>
  <conditionalFormatting sqref="B25:E25">
    <cfRule type="expression" dxfId="738" priority="1062">
      <formula>$B$25&lt;&gt;""</formula>
    </cfRule>
  </conditionalFormatting>
  <conditionalFormatting sqref="B26:E26">
    <cfRule type="expression" dxfId="737" priority="1081">
      <formula>$F$11&lt;&gt;""</formula>
    </cfRule>
  </conditionalFormatting>
  <conditionalFormatting sqref="B27:E27">
    <cfRule type="expression" dxfId="736" priority="1061">
      <formula>$B$27&lt;&gt;""</formula>
    </cfRule>
  </conditionalFormatting>
  <conditionalFormatting sqref="B28:E28">
    <cfRule type="expression" dxfId="735" priority="1080">
      <formula>$F$11&lt;&gt;""</formula>
    </cfRule>
  </conditionalFormatting>
  <conditionalFormatting sqref="B29:E29">
    <cfRule type="expression" dxfId="734" priority="1060">
      <formula>$B$29&lt;&gt;""</formula>
    </cfRule>
  </conditionalFormatting>
  <conditionalFormatting sqref="B30:E30">
    <cfRule type="expression" dxfId="733" priority="1079">
      <formula>$F$11&lt;&gt;""</formula>
    </cfRule>
  </conditionalFormatting>
  <conditionalFormatting sqref="B31:E31">
    <cfRule type="expression" dxfId="732" priority="1059">
      <formula>$B$31&lt;&gt;""</formula>
    </cfRule>
  </conditionalFormatting>
  <conditionalFormatting sqref="B32:E32">
    <cfRule type="expression" dxfId="731" priority="1078">
      <formula>$F$11&lt;&gt;""</formula>
    </cfRule>
  </conditionalFormatting>
  <conditionalFormatting sqref="B33:E33">
    <cfRule type="expression" dxfId="730" priority="1058">
      <formula>$B$33&lt;&gt;""</formula>
    </cfRule>
  </conditionalFormatting>
  <conditionalFormatting sqref="B34:E34">
    <cfRule type="expression" dxfId="729" priority="1077">
      <formula>$F$11&lt;&gt;""</formula>
    </cfRule>
  </conditionalFormatting>
  <conditionalFormatting sqref="B35:E35">
    <cfRule type="expression" dxfId="728" priority="1056">
      <formula>$B$35&lt;&gt;""</formula>
    </cfRule>
  </conditionalFormatting>
  <conditionalFormatting sqref="B37:E37">
    <cfRule type="expression" dxfId="727" priority="1076">
      <formula>$F$11&lt;&gt;""</formula>
    </cfRule>
  </conditionalFormatting>
  <conditionalFormatting sqref="B38:E38">
    <cfRule type="expression" dxfId="726" priority="1328">
      <formula>$B$38&lt;&gt;""</formula>
    </cfRule>
  </conditionalFormatting>
  <conditionalFormatting sqref="B39:E39">
    <cfRule type="expression" dxfId="725" priority="3819">
      <formula>$F$11&lt;&gt;""</formula>
    </cfRule>
    <cfRule type="expression" dxfId="724" priority="3820">
      <formula>$B$474&lt;&gt;""</formula>
    </cfRule>
  </conditionalFormatting>
  <conditionalFormatting sqref="B40:E40">
    <cfRule type="expression" dxfId="723" priority="1053">
      <formula>$B$40&lt;&gt;""</formula>
    </cfRule>
  </conditionalFormatting>
  <conditionalFormatting sqref="B41:E41">
    <cfRule type="expression" dxfId="722" priority="3814">
      <formula>$F$11&lt;&gt;""</formula>
    </cfRule>
    <cfRule type="expression" dxfId="721" priority="3815">
      <formula>$B$476&lt;&gt;""</formula>
    </cfRule>
  </conditionalFormatting>
  <conditionalFormatting sqref="B42:E42">
    <cfRule type="expression" dxfId="720" priority="1050">
      <formula>$B$42&lt;&gt;""</formula>
    </cfRule>
  </conditionalFormatting>
  <conditionalFormatting sqref="B43:E43">
    <cfRule type="expression" dxfId="719" priority="1073">
      <formula>$F$11&lt;&gt;""</formula>
    </cfRule>
  </conditionalFormatting>
  <conditionalFormatting sqref="B44:E44">
    <cfRule type="expression" dxfId="718" priority="1029">
      <formula>B44&lt;&gt;""</formula>
    </cfRule>
  </conditionalFormatting>
  <conditionalFormatting sqref="B45:E45">
    <cfRule type="expression" dxfId="717" priority="1071">
      <formula>$F$11&lt;&gt;""</formula>
    </cfRule>
  </conditionalFormatting>
  <conditionalFormatting sqref="B46:E46">
    <cfRule type="expression" dxfId="716" priority="1024">
      <formula>B46&lt;&gt;""</formula>
    </cfRule>
  </conditionalFormatting>
  <conditionalFormatting sqref="B47:E47">
    <cfRule type="expression" dxfId="715" priority="1070">
      <formula>$F$11&lt;&gt;""</formula>
    </cfRule>
  </conditionalFormatting>
  <conditionalFormatting sqref="B48:E48">
    <cfRule type="expression" dxfId="714" priority="1022">
      <formula>B48&lt;&gt;""</formula>
    </cfRule>
  </conditionalFormatting>
  <conditionalFormatting sqref="B49:E49">
    <cfRule type="expression" dxfId="713" priority="1069">
      <formula>$F$11&lt;&gt;""</formula>
    </cfRule>
  </conditionalFormatting>
  <conditionalFormatting sqref="B50:E50">
    <cfRule type="expression" dxfId="712" priority="1020">
      <formula>B50&lt;&gt;""</formula>
    </cfRule>
  </conditionalFormatting>
  <conditionalFormatting sqref="B51:E51">
    <cfRule type="expression" dxfId="711" priority="1068">
      <formula>$F$11&lt;&gt;""</formula>
    </cfRule>
  </conditionalFormatting>
  <conditionalFormatting sqref="B52:E52">
    <cfRule type="expression" dxfId="710" priority="1018">
      <formula>B52&lt;&gt;""</formula>
    </cfRule>
  </conditionalFormatting>
  <conditionalFormatting sqref="B60:E64">
    <cfRule type="expression" dxfId="709" priority="224">
      <formula>B60&lt;&gt;""</formula>
    </cfRule>
  </conditionalFormatting>
  <conditionalFormatting sqref="B66:E71">
    <cfRule type="expression" dxfId="708" priority="304">
      <formula>B60&lt;&gt;""</formula>
    </cfRule>
  </conditionalFormatting>
  <conditionalFormatting sqref="B71:E71">
    <cfRule type="expression" dxfId="707" priority="222">
      <formula>B60&lt;&gt;""</formula>
    </cfRule>
  </conditionalFormatting>
  <conditionalFormatting sqref="B72:E72">
    <cfRule type="expression" dxfId="706" priority="288">
      <formula>B72&lt;&gt;""</formula>
    </cfRule>
  </conditionalFormatting>
  <conditionalFormatting sqref="B73:E73">
    <cfRule type="expression" dxfId="705" priority="303">
      <formula>B60&lt;&gt;""</formula>
    </cfRule>
  </conditionalFormatting>
  <conditionalFormatting sqref="B74:E74">
    <cfRule type="expression" dxfId="704" priority="287">
      <formula>B74&lt;&gt;""</formula>
    </cfRule>
  </conditionalFormatting>
  <conditionalFormatting sqref="B75:E75">
    <cfRule type="expression" dxfId="703" priority="302">
      <formula>B60&lt;&gt;""</formula>
    </cfRule>
  </conditionalFormatting>
  <conditionalFormatting sqref="B76:E76">
    <cfRule type="expression" dxfId="702" priority="286">
      <formula>B76&lt;&gt;""</formula>
    </cfRule>
  </conditionalFormatting>
  <conditionalFormatting sqref="B77:E77">
    <cfRule type="expression" dxfId="701" priority="301">
      <formula>B60&lt;&gt;""</formula>
    </cfRule>
  </conditionalFormatting>
  <conditionalFormatting sqref="B78:E78">
    <cfRule type="expression" dxfId="700" priority="285">
      <formula>B78&lt;&gt;""</formula>
    </cfRule>
  </conditionalFormatting>
  <conditionalFormatting sqref="B79:E79">
    <cfRule type="expression" dxfId="699" priority="300">
      <formula>B60&lt;&gt;""</formula>
    </cfRule>
  </conditionalFormatting>
  <conditionalFormatting sqref="B80:E80">
    <cfRule type="expression" dxfId="698" priority="284">
      <formula>B80&lt;&gt;""</formula>
    </cfRule>
  </conditionalFormatting>
  <conditionalFormatting sqref="B81:E81">
    <cfRule type="expression" dxfId="697" priority="299">
      <formula>B60&lt;&gt;""</formula>
    </cfRule>
  </conditionalFormatting>
  <conditionalFormatting sqref="B82:E82">
    <cfRule type="expression" dxfId="696" priority="283">
      <formula>B82&lt;&gt;""</formula>
    </cfRule>
  </conditionalFormatting>
  <conditionalFormatting sqref="B84:E84">
    <cfRule type="expression" dxfId="695" priority="9">
      <formula>$B$84&lt;&gt;""</formula>
    </cfRule>
  </conditionalFormatting>
  <conditionalFormatting sqref="B85:E89">
    <cfRule type="expression" dxfId="694" priority="281">
      <formula>$B85&lt;&gt;""</formula>
    </cfRule>
  </conditionalFormatting>
  <conditionalFormatting sqref="B90:E91">
    <cfRule type="expression" dxfId="693" priority="278">
      <formula>B90&lt;&gt;""</formula>
    </cfRule>
  </conditionalFormatting>
  <conditionalFormatting sqref="B92:E92">
    <cfRule type="expression" dxfId="692" priority="295">
      <formula>$B92&lt;&gt;""</formula>
    </cfRule>
  </conditionalFormatting>
  <conditionalFormatting sqref="B93:E99">
    <cfRule type="expression" dxfId="691" priority="270">
      <formula>B93&lt;&gt;""</formula>
    </cfRule>
  </conditionalFormatting>
  <conditionalFormatting sqref="B107:E111">
    <cfRule type="expression" dxfId="690" priority="14">
      <formula>B107&lt;&gt;""</formula>
    </cfRule>
  </conditionalFormatting>
  <conditionalFormatting sqref="B113:E118">
    <cfRule type="expression" dxfId="689" priority="92">
      <formula>B107&lt;&gt;""</formula>
    </cfRule>
  </conditionalFormatting>
  <conditionalFormatting sqref="B118:E118">
    <cfRule type="expression" dxfId="688" priority="12">
      <formula>B107&lt;&gt;""</formula>
    </cfRule>
  </conditionalFormatting>
  <conditionalFormatting sqref="B119:E119">
    <cfRule type="expression" dxfId="687" priority="76">
      <formula>B119&lt;&gt;""</formula>
    </cfRule>
  </conditionalFormatting>
  <conditionalFormatting sqref="B120:E120">
    <cfRule type="expression" dxfId="686" priority="91">
      <formula>B107&lt;&gt;""</formula>
    </cfRule>
  </conditionalFormatting>
  <conditionalFormatting sqref="B121:E121">
    <cfRule type="expression" dxfId="685" priority="75">
      <formula>B121&lt;&gt;""</formula>
    </cfRule>
  </conditionalFormatting>
  <conditionalFormatting sqref="B122:E122">
    <cfRule type="expression" dxfId="684" priority="90">
      <formula>B107&lt;&gt;""</formula>
    </cfRule>
  </conditionalFormatting>
  <conditionalFormatting sqref="B123:E123">
    <cfRule type="expression" dxfId="683" priority="74">
      <formula>B123&lt;&gt;""</formula>
    </cfRule>
  </conditionalFormatting>
  <conditionalFormatting sqref="B124:E124">
    <cfRule type="expression" dxfId="682" priority="89">
      <formula>B107&lt;&gt;""</formula>
    </cfRule>
  </conditionalFormatting>
  <conditionalFormatting sqref="B125:E125">
    <cfRule type="expression" dxfId="681" priority="73">
      <formula>B125&lt;&gt;""</formula>
    </cfRule>
  </conditionalFormatting>
  <conditionalFormatting sqref="B126:E126">
    <cfRule type="expression" dxfId="680" priority="88">
      <formula>B107&lt;&gt;""</formula>
    </cfRule>
  </conditionalFormatting>
  <conditionalFormatting sqref="B127:E127">
    <cfRule type="expression" dxfId="679" priority="72">
      <formula>B127&lt;&gt;""</formula>
    </cfRule>
  </conditionalFormatting>
  <conditionalFormatting sqref="B128:E128">
    <cfRule type="expression" dxfId="678" priority="87">
      <formula>B107&lt;&gt;""</formula>
    </cfRule>
  </conditionalFormatting>
  <conditionalFormatting sqref="B129:E129">
    <cfRule type="expression" dxfId="677" priority="71">
      <formula>B129&lt;&gt;""</formula>
    </cfRule>
  </conditionalFormatting>
  <conditionalFormatting sqref="B130:E130">
    <cfRule type="expression" dxfId="676" priority="214">
      <formula>B130&lt;&gt;""</formula>
    </cfRule>
  </conditionalFormatting>
  <conditionalFormatting sqref="B131:E136">
    <cfRule type="expression" dxfId="675" priority="69">
      <formula>$B131&lt;&gt;""</formula>
    </cfRule>
  </conditionalFormatting>
  <conditionalFormatting sqref="B137:E138">
    <cfRule type="expression" dxfId="674" priority="67">
      <formula>B137&lt;&gt;""</formula>
    </cfRule>
  </conditionalFormatting>
  <conditionalFormatting sqref="B139:E139">
    <cfRule type="expression" dxfId="673" priority="83">
      <formula>$B139&lt;&gt;""</formula>
    </cfRule>
  </conditionalFormatting>
  <conditionalFormatting sqref="B140:E140">
    <cfRule type="expression" dxfId="672" priority="64">
      <formula>B140&lt;&gt;""</formula>
    </cfRule>
  </conditionalFormatting>
  <conditionalFormatting sqref="B141:E141">
    <cfRule type="expression" dxfId="671" priority="82">
      <formula>$B141&lt;&gt;""</formula>
    </cfRule>
  </conditionalFormatting>
  <conditionalFormatting sqref="B142:E142">
    <cfRule type="expression" dxfId="670" priority="62">
      <formula>B142&lt;&gt;""</formula>
    </cfRule>
  </conditionalFormatting>
  <conditionalFormatting sqref="B143:E143">
    <cfRule type="expression" dxfId="669" priority="81">
      <formula>$B143&lt;&gt;""</formula>
    </cfRule>
  </conditionalFormatting>
  <conditionalFormatting sqref="B144:E144">
    <cfRule type="expression" dxfId="668" priority="60">
      <formula>B144&lt;&gt;""</formula>
    </cfRule>
  </conditionalFormatting>
  <conditionalFormatting sqref="B145:E145">
    <cfRule type="expression" dxfId="667" priority="80">
      <formula>$B145&lt;&gt;""</formula>
    </cfRule>
  </conditionalFormatting>
  <conditionalFormatting sqref="B146:E146">
    <cfRule type="expression" dxfId="666" priority="58">
      <formula>B146&lt;&gt;""</formula>
    </cfRule>
  </conditionalFormatting>
  <conditionalFormatting sqref="B8:G8">
    <cfRule type="expression" dxfId="665" priority="1091">
      <formula>$B$8&lt;&gt;""</formula>
    </cfRule>
  </conditionalFormatting>
  <conditionalFormatting sqref="B2:L2">
    <cfRule type="expression" dxfId="664" priority="1375">
      <formula>$B$438&lt;&gt;""</formula>
    </cfRule>
  </conditionalFormatting>
  <conditionalFormatting sqref="C11:E11">
    <cfRule type="expression" dxfId="663" priority="1101">
      <formula>G10&lt;&gt;""</formula>
    </cfRule>
  </conditionalFormatting>
  <conditionalFormatting sqref="C58:E58">
    <cfRule type="expression" dxfId="662" priority="308">
      <formula>G57&lt;&gt;""</formula>
    </cfRule>
  </conditionalFormatting>
  <conditionalFormatting sqref="C105:E105">
    <cfRule type="expression" dxfId="661" priority="94">
      <formula>G104&lt;&gt;""</formula>
    </cfRule>
  </conditionalFormatting>
  <conditionalFormatting sqref="E55:I55">
    <cfRule type="expression" dxfId="660" priority="1373">
      <formula>$E$55&lt;&gt;""</formula>
    </cfRule>
  </conditionalFormatting>
  <conditionalFormatting sqref="E102:I102">
    <cfRule type="expression" dxfId="659" priority="221">
      <formula>$E$102&lt;&gt;""</formula>
    </cfRule>
  </conditionalFormatting>
  <conditionalFormatting sqref="E149:I149">
    <cfRule type="expression" dxfId="658" priority="11">
      <formula>$E$149&lt;&gt;""</formula>
    </cfRule>
  </conditionalFormatting>
  <conditionalFormatting sqref="F12:H12">
    <cfRule type="expression" dxfId="657" priority="987">
      <formula>F12&lt;&gt;""</formula>
    </cfRule>
  </conditionalFormatting>
  <conditionalFormatting sqref="F15:H15">
    <cfRule type="expression" dxfId="656" priority="6">
      <formula>$F$12&lt;&gt;""</formula>
    </cfRule>
  </conditionalFormatting>
  <conditionalFormatting sqref="F18:H18">
    <cfRule type="expression" dxfId="655" priority="1086">
      <formula>$F$18&lt;&gt;""</formula>
    </cfRule>
  </conditionalFormatting>
  <conditionalFormatting sqref="F26:H26">
    <cfRule type="expression" dxfId="654" priority="1281">
      <formula>F26="Met"</formula>
    </cfRule>
    <cfRule type="expression" dxfId="653" priority="1282">
      <formula>F26="Not Met"</formula>
    </cfRule>
  </conditionalFormatting>
  <conditionalFormatting sqref="F27:H27">
    <cfRule type="expression" dxfId="652" priority="1290">
      <formula>F26="Not Met"</formula>
    </cfRule>
  </conditionalFormatting>
  <conditionalFormatting sqref="F28:H28">
    <cfRule type="expression" dxfId="651" priority="1279">
      <formula>F28="Met"</formula>
    </cfRule>
    <cfRule type="expression" dxfId="650" priority="1280">
      <formula>F28="Not Met"</formula>
    </cfRule>
  </conditionalFormatting>
  <conditionalFormatting sqref="F30:H30">
    <cfRule type="expression" dxfId="649" priority="1278">
      <formula>F30="Not Met"</formula>
    </cfRule>
    <cfRule type="expression" dxfId="648" priority="1277">
      <formula>F30="Met"</formula>
    </cfRule>
  </conditionalFormatting>
  <conditionalFormatting sqref="F31:H31">
    <cfRule type="expression" dxfId="647" priority="1305">
      <formula>$F$31&lt;&gt;""</formula>
    </cfRule>
    <cfRule type="expression" dxfId="646" priority="1306">
      <formula>$F$30="Not Met"</formula>
    </cfRule>
  </conditionalFormatting>
  <conditionalFormatting sqref="F32:H32">
    <cfRule type="expression" dxfId="645" priority="1276">
      <formula>F32="Not Met"</formula>
    </cfRule>
    <cfRule type="expression" dxfId="644" priority="1275">
      <formula>F32="Met"</formula>
    </cfRule>
  </conditionalFormatting>
  <conditionalFormatting sqref="F34:H34">
    <cfRule type="expression" dxfId="643" priority="1274">
      <formula>F34="Not Met"</formula>
    </cfRule>
    <cfRule type="expression" dxfId="642" priority="1273">
      <formula>F34="Met"</formula>
    </cfRule>
  </conditionalFormatting>
  <conditionalFormatting sqref="F37:H37">
    <cfRule type="expression" dxfId="641" priority="1272">
      <formula>F37="Not Met"</formula>
    </cfRule>
    <cfRule type="expression" dxfId="640" priority="1271">
      <formula>F37="Met"</formula>
    </cfRule>
  </conditionalFormatting>
  <conditionalFormatting sqref="F38:H38">
    <cfRule type="expression" dxfId="639" priority="1326">
      <formula>$F$37="Not Met"</formula>
    </cfRule>
    <cfRule type="expression" dxfId="638" priority="1311">
      <formula>$F$38&lt;&gt;""</formula>
    </cfRule>
  </conditionalFormatting>
  <conditionalFormatting sqref="F39:H39">
    <cfRule type="expression" dxfId="637" priority="1269">
      <formula>F39="Met"</formula>
    </cfRule>
    <cfRule type="expression" dxfId="636" priority="1270">
      <formula>F39="Not Met"</formula>
    </cfRule>
  </conditionalFormatting>
  <conditionalFormatting sqref="F39:H42">
    <cfRule type="expression" dxfId="635" priority="1049">
      <formula>F12&lt;&gt;""</formula>
    </cfRule>
  </conditionalFormatting>
  <conditionalFormatting sqref="F40:H40">
    <cfRule type="expression" dxfId="634" priority="1325">
      <formula>$F$39="Not Met"</formula>
    </cfRule>
    <cfRule type="expression" dxfId="633" priority="1312">
      <formula>$F$40&lt;&gt;""</formula>
    </cfRule>
  </conditionalFormatting>
  <conditionalFormatting sqref="F41:H41">
    <cfRule type="expression" dxfId="632" priority="1268">
      <formula>F41="Not Met"</formula>
    </cfRule>
    <cfRule type="expression" dxfId="631" priority="1267">
      <formula>F41="Met"</formula>
    </cfRule>
  </conditionalFormatting>
  <conditionalFormatting sqref="F42:H42">
    <cfRule type="expression" dxfId="630" priority="1329">
      <formula>$F$41="Not Met"</formula>
    </cfRule>
    <cfRule type="expression" dxfId="629" priority="1313">
      <formula>$F$42&lt;&gt;""</formula>
    </cfRule>
  </conditionalFormatting>
  <conditionalFormatting sqref="F43:H43">
    <cfRule type="expression" dxfId="628" priority="1265">
      <formula>F43="Met"</formula>
    </cfRule>
    <cfRule type="expression" dxfId="627" priority="1266">
      <formula>F43="Not Met"</formula>
    </cfRule>
  </conditionalFormatting>
  <conditionalFormatting sqref="F44:H44">
    <cfRule type="expression" dxfId="626" priority="1323">
      <formula>F43="Not Met"</formula>
    </cfRule>
  </conditionalFormatting>
  <conditionalFormatting sqref="F45:H45">
    <cfRule type="expression" dxfId="625" priority="1261">
      <formula>F45="Met"</formula>
    </cfRule>
    <cfRule type="expression" dxfId="624" priority="1262">
      <formula>F45="Not Met"</formula>
    </cfRule>
    <cfRule type="expression" dxfId="623" priority="1025">
      <formula>F11&lt;&gt;""</formula>
    </cfRule>
  </conditionalFormatting>
  <conditionalFormatting sqref="F46:H46">
    <cfRule type="expression" dxfId="622" priority="1320">
      <formula>F45="Not Met"</formula>
    </cfRule>
  </conditionalFormatting>
  <conditionalFormatting sqref="F47:H47">
    <cfRule type="expression" dxfId="621" priority="1023">
      <formula>F11&lt;&gt;""</formula>
    </cfRule>
    <cfRule type="expression" dxfId="620" priority="1259">
      <formula>F47="Met"</formula>
    </cfRule>
    <cfRule type="expression" dxfId="619" priority="1260">
      <formula>F47="Not Met"</formula>
    </cfRule>
  </conditionalFormatting>
  <conditionalFormatting sqref="F48:H48">
    <cfRule type="expression" dxfId="618" priority="1321">
      <formula>F47="Not Met"</formula>
    </cfRule>
  </conditionalFormatting>
  <conditionalFormatting sqref="F49:H49">
    <cfRule type="expression" dxfId="617" priority="1257">
      <formula>F49="Met"</formula>
    </cfRule>
    <cfRule type="expression" dxfId="616" priority="1021">
      <formula>F11&lt;&gt;""</formula>
    </cfRule>
    <cfRule type="expression" dxfId="615" priority="1258">
      <formula>F49="Not Met"</formula>
    </cfRule>
  </conditionalFormatting>
  <conditionalFormatting sqref="F50:H50">
    <cfRule type="expression" dxfId="614" priority="1333">
      <formula>F49="Not Met"</formula>
    </cfRule>
  </conditionalFormatting>
  <conditionalFormatting sqref="F51:H51">
    <cfRule type="expression" dxfId="613" priority="1019">
      <formula>F11&lt;&gt;""</formula>
    </cfRule>
    <cfRule type="expression" dxfId="612" priority="1256">
      <formula>F51="Not Met"</formula>
    </cfRule>
    <cfRule type="expression" dxfId="611" priority="1255">
      <formula>F51="Met"</formula>
    </cfRule>
  </conditionalFormatting>
  <conditionalFormatting sqref="F52:H52">
    <cfRule type="expression" dxfId="610" priority="1331">
      <formula>F51="Not Met"</formula>
    </cfRule>
  </conditionalFormatting>
  <conditionalFormatting sqref="F58:H58">
    <cfRule type="expression" dxfId="609" priority="435">
      <formula>$F58&lt;&gt;""</formula>
    </cfRule>
  </conditionalFormatting>
  <conditionalFormatting sqref="F59:H59">
    <cfRule type="expression" dxfId="608" priority="268">
      <formula>F59&lt;&gt;""</formula>
    </cfRule>
  </conditionalFormatting>
  <conditionalFormatting sqref="F65:H65">
    <cfRule type="expression" dxfId="607" priority="306">
      <formula>F65&lt;&gt;""</formula>
    </cfRule>
  </conditionalFormatting>
  <conditionalFormatting sqref="F68:H71">
    <cfRule type="expression" dxfId="606" priority="313">
      <formula>F68="Not Met"</formula>
    </cfRule>
  </conditionalFormatting>
  <conditionalFormatting sqref="F73:H73">
    <cfRule type="expression" dxfId="605" priority="395">
      <formula>F73="Met"</formula>
    </cfRule>
    <cfRule type="expression" dxfId="604" priority="396">
      <formula>F73="Not Met"</formula>
    </cfRule>
  </conditionalFormatting>
  <conditionalFormatting sqref="F74:H74">
    <cfRule type="expression" dxfId="603" priority="403">
      <formula>F73="Not Met"</formula>
    </cfRule>
  </conditionalFormatting>
  <conditionalFormatting sqref="F75:H75">
    <cfRule type="expression" dxfId="602" priority="393">
      <formula>F75="Met"</formula>
    </cfRule>
    <cfRule type="expression" dxfId="601" priority="394">
      <formula>F75="Not Met"</formula>
    </cfRule>
  </conditionalFormatting>
  <conditionalFormatting sqref="F77:H77">
    <cfRule type="expression" dxfId="600" priority="391">
      <formula>F77="Met"</formula>
    </cfRule>
    <cfRule type="expression" dxfId="599" priority="392">
      <formula>F77="Not Met"</formula>
    </cfRule>
  </conditionalFormatting>
  <conditionalFormatting sqref="F78:H78">
    <cfRule type="expression" dxfId="598" priority="411">
      <formula>$F78&lt;&gt;""</formula>
    </cfRule>
    <cfRule type="expression" dxfId="597" priority="412">
      <formula>$F$77="Not Met"</formula>
    </cfRule>
  </conditionalFormatting>
  <conditionalFormatting sqref="F79:H79">
    <cfRule type="expression" dxfId="596" priority="389">
      <formula>F79="Met"</formula>
    </cfRule>
    <cfRule type="expression" dxfId="595" priority="390">
      <formula>F79="Not Met"</formula>
    </cfRule>
  </conditionalFormatting>
  <conditionalFormatting sqref="F81:H81">
    <cfRule type="expression" dxfId="594" priority="388">
      <formula>F81="Not Met"</formula>
    </cfRule>
    <cfRule type="expression" dxfId="593" priority="387">
      <formula>F81="Met"</formula>
    </cfRule>
  </conditionalFormatting>
  <conditionalFormatting sqref="F84:H84">
    <cfRule type="expression" dxfId="592" priority="386">
      <formula>F84="Not Met"</formula>
    </cfRule>
    <cfRule type="expression" dxfId="591" priority="385">
      <formula>F84="Met"</formula>
    </cfRule>
  </conditionalFormatting>
  <conditionalFormatting sqref="F85:H85">
    <cfRule type="expression" dxfId="590" priority="413">
      <formula>$F85&lt;&gt;""</formula>
    </cfRule>
    <cfRule type="expression" dxfId="589" priority="422">
      <formula>$F$84="Not Met"</formula>
    </cfRule>
  </conditionalFormatting>
  <conditionalFormatting sqref="F86:H86">
    <cfRule type="expression" dxfId="588" priority="7">
      <formula>$B$86&lt;&gt;""</formula>
    </cfRule>
    <cfRule type="expression" dxfId="587" priority="383">
      <formula>F86="Met"</formula>
    </cfRule>
    <cfRule type="expression" dxfId="586" priority="384">
      <formula>F86="Not Met"</formula>
    </cfRule>
  </conditionalFormatting>
  <conditionalFormatting sqref="F87:H87">
    <cfRule type="expression" dxfId="585" priority="414">
      <formula>$F87&lt;&gt;""</formula>
    </cfRule>
    <cfRule type="expression" dxfId="584" priority="421">
      <formula>$F86="Not Met"</formula>
    </cfRule>
  </conditionalFormatting>
  <conditionalFormatting sqref="F88:H88">
    <cfRule type="expression" dxfId="583" priority="8">
      <formula>$B$88&lt;&gt;""</formula>
    </cfRule>
    <cfRule type="expression" dxfId="582" priority="381">
      <formula>F88="Met"</formula>
    </cfRule>
    <cfRule type="expression" dxfId="581" priority="382">
      <formula>F88="Not Met"</formula>
    </cfRule>
  </conditionalFormatting>
  <conditionalFormatting sqref="F89:H89">
    <cfRule type="expression" dxfId="580" priority="424">
      <formula>$F88="Not Met"</formula>
    </cfRule>
    <cfRule type="expression" dxfId="579" priority="415">
      <formula>$F89&lt;&gt;""</formula>
    </cfRule>
  </conditionalFormatting>
  <conditionalFormatting sqref="F90:H90">
    <cfRule type="expression" dxfId="578" priority="379">
      <formula>F90="Met"</formula>
    </cfRule>
    <cfRule type="expression" dxfId="577" priority="380">
      <formula>F90="Not Met"</formula>
    </cfRule>
  </conditionalFormatting>
  <conditionalFormatting sqref="F91:H91">
    <cfRule type="expression" dxfId="576" priority="419">
      <formula>F90="Not Met"</formula>
    </cfRule>
  </conditionalFormatting>
  <conditionalFormatting sqref="F92:H92">
    <cfRule type="expression" dxfId="575" priority="277">
      <formula>F58&lt;&gt;""</formula>
    </cfRule>
    <cfRule type="expression" dxfId="574" priority="375">
      <formula>F92="Met"</formula>
    </cfRule>
    <cfRule type="expression" dxfId="573" priority="376">
      <formula>F92="Not Met"</formula>
    </cfRule>
  </conditionalFormatting>
  <conditionalFormatting sqref="F93:H93">
    <cfRule type="expression" dxfId="572" priority="416">
      <formula>F92="Not Met"</formula>
    </cfRule>
  </conditionalFormatting>
  <conditionalFormatting sqref="F94:H94">
    <cfRule type="expression" dxfId="571" priority="275">
      <formula>F58&lt;&gt;""</formula>
    </cfRule>
    <cfRule type="expression" dxfId="570" priority="373">
      <formula>F94="Met"</formula>
    </cfRule>
    <cfRule type="expression" dxfId="569" priority="374">
      <formula>F94="Not Met"</formula>
    </cfRule>
  </conditionalFormatting>
  <conditionalFormatting sqref="F95:H95">
    <cfRule type="expression" dxfId="568" priority="417">
      <formula>F94="Not Met"</formula>
    </cfRule>
  </conditionalFormatting>
  <conditionalFormatting sqref="F96:H96">
    <cfRule type="expression" dxfId="567" priority="273">
      <formula>F58&lt;&gt;""</formula>
    </cfRule>
    <cfRule type="expression" dxfId="566" priority="372">
      <formula>F96="Not Met"</formula>
    </cfRule>
    <cfRule type="expression" dxfId="565" priority="371">
      <formula>F96="Met"</formula>
    </cfRule>
  </conditionalFormatting>
  <conditionalFormatting sqref="F97:H97">
    <cfRule type="expression" dxfId="564" priority="426">
      <formula>F96="Not Met"</formula>
    </cfRule>
  </conditionalFormatting>
  <conditionalFormatting sqref="F98:H98">
    <cfRule type="expression" dxfId="563" priority="369">
      <formula>F98="Met"</formula>
    </cfRule>
    <cfRule type="expression" dxfId="562" priority="271">
      <formula>F58&lt;&gt;""</formula>
    </cfRule>
    <cfRule type="expression" dxfId="561" priority="370">
      <formula>F98="Not Met"</formula>
    </cfRule>
  </conditionalFormatting>
  <conditionalFormatting sqref="F99:H99">
    <cfRule type="expression" dxfId="560" priority="425">
      <formula>F98="Not Met"</formula>
    </cfRule>
  </conditionalFormatting>
  <conditionalFormatting sqref="F105:H105">
    <cfRule type="expression" dxfId="559" priority="219">
      <formula>$F105&lt;&gt;""</formula>
    </cfRule>
  </conditionalFormatting>
  <conditionalFormatting sqref="F106:H106">
    <cfRule type="expression" dxfId="558" priority="56">
      <formula>F106&lt;&gt;""</formula>
    </cfRule>
  </conditionalFormatting>
  <conditionalFormatting sqref="F112:H112">
    <cfRule type="expression" dxfId="557" priority="93">
      <formula>F112&lt;&gt;""</formula>
    </cfRule>
  </conditionalFormatting>
  <conditionalFormatting sqref="F115:H118">
    <cfRule type="expression" dxfId="556" priority="99">
      <formula>F115="Not Met"</formula>
    </cfRule>
  </conditionalFormatting>
  <conditionalFormatting sqref="F120:H120">
    <cfRule type="expression" dxfId="555" priority="182">
      <formula>F120="Not Met"</formula>
    </cfRule>
    <cfRule type="expression" dxfId="554" priority="181">
      <formula>F120="Met"</formula>
    </cfRule>
  </conditionalFormatting>
  <conditionalFormatting sqref="F121:H121">
    <cfRule type="expression" dxfId="553" priority="189">
      <formula>F120="Not Met"</formula>
    </cfRule>
  </conditionalFormatting>
  <conditionalFormatting sqref="F122:H122">
    <cfRule type="expression" dxfId="552" priority="179">
      <formula>F122="Met"</formula>
    </cfRule>
    <cfRule type="expression" dxfId="551" priority="180">
      <formula>F122="Not Met"</formula>
    </cfRule>
  </conditionalFormatting>
  <conditionalFormatting sqref="F124:H124">
    <cfRule type="expression" dxfId="550" priority="178">
      <formula>F124="Not Met"</formula>
    </cfRule>
    <cfRule type="expression" dxfId="549" priority="177">
      <formula>F124="Met"</formula>
    </cfRule>
  </conditionalFormatting>
  <conditionalFormatting sqref="F125:H125">
    <cfRule type="expression" dxfId="548" priority="198">
      <formula>$F$124="Not Met"</formula>
    </cfRule>
    <cfRule type="expression" dxfId="547" priority="197">
      <formula>$F$125&lt;&gt;""</formula>
    </cfRule>
  </conditionalFormatting>
  <conditionalFormatting sqref="F126:H126">
    <cfRule type="expression" dxfId="546" priority="175">
      <formula>F126="Met"</formula>
    </cfRule>
    <cfRule type="expression" dxfId="545" priority="176">
      <formula>F126="Not Met"</formula>
    </cfRule>
  </conditionalFormatting>
  <conditionalFormatting sqref="F128:H128">
    <cfRule type="expression" dxfId="544" priority="174">
      <formula>F128="Not Met"</formula>
    </cfRule>
    <cfRule type="expression" dxfId="543" priority="173">
      <formula>F128="Met"</formula>
    </cfRule>
  </conditionalFormatting>
  <conditionalFormatting sqref="F131:H131">
    <cfRule type="expression" dxfId="542" priority="171">
      <formula>F131="Met"</formula>
    </cfRule>
    <cfRule type="expression" dxfId="541" priority="172">
      <formula>F131="Not Met"</formula>
    </cfRule>
  </conditionalFormatting>
  <conditionalFormatting sqref="F132:H132">
    <cfRule type="expression" dxfId="540" priority="199">
      <formula>$F132&lt;&gt;""</formula>
    </cfRule>
    <cfRule type="expression" dxfId="539" priority="208">
      <formula>$F131="Not Met"</formula>
    </cfRule>
  </conditionalFormatting>
  <conditionalFormatting sqref="F133:H133">
    <cfRule type="expression" dxfId="538" priority="169">
      <formula>F133="Met"</formula>
    </cfRule>
    <cfRule type="expression" dxfId="537" priority="170">
      <formula>F133="Not Met"</formula>
    </cfRule>
  </conditionalFormatting>
  <conditionalFormatting sqref="F134:H134">
    <cfRule type="expression" dxfId="536" priority="207">
      <formula>$F133="Not Met"</formula>
    </cfRule>
    <cfRule type="expression" dxfId="535" priority="200">
      <formula>$F$134&lt;&gt;""</formula>
    </cfRule>
  </conditionalFormatting>
  <conditionalFormatting sqref="F135:H135">
    <cfRule type="expression" dxfId="534" priority="168">
      <formula>F135="Not Met"</formula>
    </cfRule>
    <cfRule type="expression" dxfId="533" priority="167">
      <formula>F135="Met"</formula>
    </cfRule>
  </conditionalFormatting>
  <conditionalFormatting sqref="F136:H136">
    <cfRule type="expression" dxfId="532" priority="210">
      <formula>$F$135="Not Met"</formula>
    </cfRule>
    <cfRule type="expression" dxfId="531" priority="201">
      <formula>$F$136&lt;&gt;""</formula>
    </cfRule>
  </conditionalFormatting>
  <conditionalFormatting sqref="F137:H137">
    <cfRule type="expression" dxfId="530" priority="166">
      <formula>F137="Not Met"</formula>
    </cfRule>
    <cfRule type="expression" dxfId="529" priority="165">
      <formula>F137="Met"</formula>
    </cfRule>
  </conditionalFormatting>
  <conditionalFormatting sqref="F138:H138">
    <cfRule type="expression" dxfId="528" priority="205">
      <formula>F137="Not Met"</formula>
    </cfRule>
  </conditionalFormatting>
  <conditionalFormatting sqref="F139:H139">
    <cfRule type="expression" dxfId="527" priority="161">
      <formula>F139="Met"</formula>
    </cfRule>
    <cfRule type="expression" dxfId="526" priority="162">
      <formula>F139="Not Met"</formula>
    </cfRule>
    <cfRule type="expression" dxfId="525" priority="65">
      <formula>F105&lt;&gt;""</formula>
    </cfRule>
  </conditionalFormatting>
  <conditionalFormatting sqref="F140:H140">
    <cfRule type="expression" dxfId="524" priority="202">
      <formula>F139="Not Met"</formula>
    </cfRule>
  </conditionalFormatting>
  <conditionalFormatting sqref="F141:H141">
    <cfRule type="expression" dxfId="523" priority="159">
      <formula>F141="Met"</formula>
    </cfRule>
    <cfRule type="expression" dxfId="522" priority="160">
      <formula>F141="Not Met"</formula>
    </cfRule>
    <cfRule type="expression" dxfId="521" priority="63">
      <formula>F105&lt;&gt;""</formula>
    </cfRule>
  </conditionalFormatting>
  <conditionalFormatting sqref="F142:H142">
    <cfRule type="expression" dxfId="520" priority="203">
      <formula>F141="Not Met"</formula>
    </cfRule>
  </conditionalFormatting>
  <conditionalFormatting sqref="F143:H143">
    <cfRule type="expression" dxfId="519" priority="61">
      <formula>F105&lt;&gt;""</formula>
    </cfRule>
    <cfRule type="expression" dxfId="518" priority="158">
      <formula>F143="Not Met"</formula>
    </cfRule>
    <cfRule type="expression" dxfId="517" priority="157">
      <formula>F143="Met"</formula>
    </cfRule>
  </conditionalFormatting>
  <conditionalFormatting sqref="F144:H144">
    <cfRule type="expression" dxfId="516" priority="212">
      <formula>F143="Not Met"</formula>
    </cfRule>
  </conditionalFormatting>
  <conditionalFormatting sqref="F145:H145">
    <cfRule type="expression" dxfId="515" priority="155">
      <formula>F145="Met"</formula>
    </cfRule>
    <cfRule type="expression" dxfId="514" priority="59">
      <formula>F105&lt;&gt;""</formula>
    </cfRule>
    <cfRule type="expression" dxfId="513" priority="156">
      <formula>F145="Not Met"</formula>
    </cfRule>
  </conditionalFormatting>
  <conditionalFormatting sqref="F146:H146">
    <cfRule type="expression" dxfId="512" priority="211">
      <formula>F145="Not Met"</formula>
    </cfRule>
  </conditionalFormatting>
  <conditionalFormatting sqref="F11:M11">
    <cfRule type="expression" dxfId="511" priority="1087">
      <formula>$F11&lt;&gt;""</formula>
    </cfRule>
  </conditionalFormatting>
  <conditionalFormatting sqref="F13:M13">
    <cfRule type="expression" dxfId="510" priority="941">
      <formula>F12&lt;&gt;""</formula>
    </cfRule>
  </conditionalFormatting>
  <conditionalFormatting sqref="F14:M14">
    <cfRule type="expression" dxfId="509" priority="940">
      <formula>F12&lt;&gt;""</formula>
    </cfRule>
  </conditionalFormatting>
  <conditionalFormatting sqref="F16:M16">
    <cfRule type="expression" dxfId="508" priority="938">
      <formula>F12&lt;&gt;""</formula>
    </cfRule>
  </conditionalFormatting>
  <conditionalFormatting sqref="F17:M17">
    <cfRule type="expression" dxfId="507" priority="937">
      <formula>F12&lt;&gt;""</formula>
    </cfRule>
  </conditionalFormatting>
  <conditionalFormatting sqref="F19:M19">
    <cfRule type="expression" dxfId="506" priority="935">
      <formula>F12&lt;&gt;""</formula>
    </cfRule>
  </conditionalFormatting>
  <conditionalFormatting sqref="F20:M20">
    <cfRule type="expression" dxfId="505" priority="934">
      <formula>F12&lt;&gt;""</formula>
    </cfRule>
  </conditionalFormatting>
  <conditionalFormatting sqref="F21:M21">
    <cfRule type="expression" dxfId="504" priority="933">
      <formula>F12&lt;&gt;""</formula>
    </cfRule>
  </conditionalFormatting>
  <conditionalFormatting sqref="F22:M22">
    <cfRule type="expression" dxfId="503" priority="932">
      <formula>F12&lt;&gt;""</formula>
    </cfRule>
  </conditionalFormatting>
  <conditionalFormatting sqref="F23:M23">
    <cfRule type="expression" dxfId="502" priority="931">
      <formula>F12&lt;&gt;""</formula>
    </cfRule>
  </conditionalFormatting>
  <conditionalFormatting sqref="F24:M24">
    <cfRule type="expression" dxfId="501" priority="930">
      <formula>F12&lt;&gt;""</formula>
    </cfRule>
  </conditionalFormatting>
  <conditionalFormatting sqref="F25:M25 O25:R25 T25:W25 O31:R31 T31:W31 O33:R33 T33:W33 O35:R35 T35:W35">
    <cfRule type="expression" dxfId="500" priority="1293">
      <formula>F25&lt;&gt;""</formula>
    </cfRule>
    <cfRule type="expression" dxfId="499" priority="1294">
      <formula>F24="Not Met"</formula>
    </cfRule>
  </conditionalFormatting>
  <conditionalFormatting sqref="F26:M26">
    <cfRule type="expression" dxfId="498" priority="928">
      <formula>F12&lt;&gt;""</formula>
    </cfRule>
  </conditionalFormatting>
  <conditionalFormatting sqref="F27:M27 O27:R27 T27:W27">
    <cfRule type="expression" dxfId="497" priority="1181">
      <formula>F27&lt;&gt;""</formula>
    </cfRule>
  </conditionalFormatting>
  <conditionalFormatting sqref="F28:M28">
    <cfRule type="expression" dxfId="496" priority="926">
      <formula>F12&lt;&gt;""</formula>
    </cfRule>
  </conditionalFormatting>
  <conditionalFormatting sqref="F29:M29 O29:R29 T29:W29 I38:M38 O38:R38 T38:W38 I40:M40 O40:R40 T40:W40 I42:M42 O42:R42 T42:W42 F44:M44 O44:R44 T44:W44 F46:M46 O46:R46 T46:W46 F48:M48 O48:R48 T48:W48 F50:M50 O50:R50 T50:W50 F52:M52 O52:R52 T52:W52">
    <cfRule type="expression" dxfId="495" priority="1303">
      <formula>F29&lt;&gt;""</formula>
    </cfRule>
  </conditionalFormatting>
  <conditionalFormatting sqref="F29:M29 O29:R29 T29:W29 I38:M38 O38:R38 T38:W38 I40:M40 O40:R40 T40:W40 I42:M42 O42:R42 T42:W42 I44:M44 O44:R44 T44:W44 I46:M46 O46:R46 T46:W46 I48:M48 O48:R48 T48:W48 I50:M50 O50:R50 T50:W50 I52:M52 O52:R52 T52:W52 O27:R27 T27:W27">
    <cfRule type="expression" dxfId="494" priority="1335">
      <formula>F26="Not Met"</formula>
    </cfRule>
  </conditionalFormatting>
  <conditionalFormatting sqref="F30:M30">
    <cfRule type="expression" dxfId="493" priority="924">
      <formula>F12&lt;&gt;""</formula>
    </cfRule>
  </conditionalFormatting>
  <conditionalFormatting sqref="F32:M32">
    <cfRule type="expression" dxfId="492" priority="922">
      <formula>F12&lt;&gt;""</formula>
    </cfRule>
  </conditionalFormatting>
  <conditionalFormatting sqref="F34:M34">
    <cfRule type="expression" dxfId="491" priority="920">
      <formula>F12&lt;&gt;""</formula>
    </cfRule>
  </conditionalFormatting>
  <conditionalFormatting sqref="F35:M35">
    <cfRule type="expression" dxfId="490" priority="1161">
      <formula>F35&lt;&gt;""</formula>
    </cfRule>
    <cfRule type="expression" dxfId="489" priority="1162">
      <formula>F34="Not Met"</formula>
    </cfRule>
  </conditionalFormatting>
  <conditionalFormatting sqref="F37:M37">
    <cfRule type="expression" dxfId="488" priority="918">
      <formula>F12&lt;&gt;""</formula>
    </cfRule>
  </conditionalFormatting>
  <conditionalFormatting sqref="F41:M41">
    <cfRule type="expression" dxfId="487" priority="10">
      <formula>F12&lt;&gt;""</formula>
    </cfRule>
  </conditionalFormatting>
  <conditionalFormatting sqref="F43:M43">
    <cfRule type="expression" dxfId="486" priority="912">
      <formula>F12&lt;&gt;""</formula>
    </cfRule>
  </conditionalFormatting>
  <conditionalFormatting sqref="F60:M60">
    <cfRule type="expression" dxfId="485" priority="266">
      <formula>F59&lt;&gt;""</formula>
    </cfRule>
  </conditionalFormatting>
  <conditionalFormatting sqref="F61:M61">
    <cfRule type="expression" dxfId="484" priority="265">
      <formula>F59&lt;&gt;""</formula>
    </cfRule>
  </conditionalFormatting>
  <conditionalFormatting sqref="F62:M62">
    <cfRule type="expression" dxfId="483" priority="223">
      <formula>F59&lt;&gt;""</formula>
    </cfRule>
  </conditionalFormatting>
  <conditionalFormatting sqref="F63:M63">
    <cfRule type="expression" dxfId="482" priority="263">
      <formula>F59&lt;&gt;""</formula>
    </cfRule>
  </conditionalFormatting>
  <conditionalFormatting sqref="F64:M64">
    <cfRule type="expression" dxfId="481" priority="262">
      <formula>F59&lt;&gt;""</formula>
    </cfRule>
  </conditionalFormatting>
  <conditionalFormatting sqref="F66:M66">
    <cfRule type="expression" dxfId="480" priority="260">
      <formula>F59&lt;&gt;""</formula>
    </cfRule>
  </conditionalFormatting>
  <conditionalFormatting sqref="F67:M67">
    <cfRule type="expression" dxfId="479" priority="259">
      <formula>F59&lt;&gt;""</formula>
    </cfRule>
  </conditionalFormatting>
  <conditionalFormatting sqref="F68:M68">
    <cfRule type="expression" dxfId="478" priority="258">
      <formula>F59&lt;&gt;""</formula>
    </cfRule>
  </conditionalFormatting>
  <conditionalFormatting sqref="F69:M69">
    <cfRule type="expression" dxfId="477" priority="257">
      <formula>F59&lt;&gt;""</formula>
    </cfRule>
  </conditionalFormatting>
  <conditionalFormatting sqref="F70:M70">
    <cfRule type="expression" dxfId="476" priority="256">
      <formula>F59&lt;&gt;""</formula>
    </cfRule>
  </conditionalFormatting>
  <conditionalFormatting sqref="F71:M71">
    <cfRule type="expression" dxfId="475" priority="255">
      <formula>F59&lt;&gt;""</formula>
    </cfRule>
  </conditionalFormatting>
  <conditionalFormatting sqref="F72:M72">
    <cfRule type="expression" dxfId="474" priority="407">
      <formula>F71="Not Met"</formula>
    </cfRule>
    <cfRule type="expression" dxfId="473" priority="406">
      <formula>F72&lt;&gt;""</formula>
    </cfRule>
  </conditionalFormatting>
  <conditionalFormatting sqref="F73:M73">
    <cfRule type="expression" dxfId="472" priority="253">
      <formula>F59&lt;&gt;""</formula>
    </cfRule>
  </conditionalFormatting>
  <conditionalFormatting sqref="F74:M74">
    <cfRule type="expression" dxfId="471" priority="318">
      <formula>F74&lt;&gt;""</formula>
    </cfRule>
  </conditionalFormatting>
  <conditionalFormatting sqref="F75:M75">
    <cfRule type="expression" dxfId="470" priority="251">
      <formula>F59&lt;&gt;""</formula>
    </cfRule>
  </conditionalFormatting>
  <conditionalFormatting sqref="F76:M76 I85:M85 I87:M87 I89:M89 F91:M91 F93:M93 F95:M95 F97:M97 F99:M99">
    <cfRule type="expression" dxfId="469" priority="410">
      <formula>F76&lt;&gt;""</formula>
    </cfRule>
  </conditionalFormatting>
  <conditionalFormatting sqref="F76:M76 I85:M85 I87:M87 I89:M89 I91:M91 I93:M93 I95:M95 I97:M97 I99:M99">
    <cfRule type="expression" dxfId="468" priority="427">
      <formula>F75="Not Met"</formula>
    </cfRule>
  </conditionalFormatting>
  <conditionalFormatting sqref="F77:M77">
    <cfRule type="expression" dxfId="467" priority="249">
      <formula>F59&lt;&gt;""</formula>
    </cfRule>
  </conditionalFormatting>
  <conditionalFormatting sqref="F79:M79">
    <cfRule type="expression" dxfId="466" priority="247">
      <formula>F59&lt;&gt;""</formula>
    </cfRule>
  </conditionalFormatting>
  <conditionalFormatting sqref="F81:M81">
    <cfRule type="expression" dxfId="465" priority="245">
      <formula>F59&lt;&gt;""</formula>
    </cfRule>
  </conditionalFormatting>
  <conditionalFormatting sqref="F82:M82">
    <cfRule type="expression" dxfId="464" priority="315">
      <formula>F81="Not Met"</formula>
    </cfRule>
    <cfRule type="expression" dxfId="463" priority="314">
      <formula>F82&lt;&gt;""</formula>
    </cfRule>
  </conditionalFormatting>
  <conditionalFormatting sqref="F84:M84">
    <cfRule type="expression" dxfId="462" priority="243">
      <formula>F59&lt;&gt;""</formula>
    </cfRule>
  </conditionalFormatting>
  <conditionalFormatting sqref="F90:M90">
    <cfRule type="expression" dxfId="461" priority="237">
      <formula>F59&lt;&gt;""</formula>
    </cfRule>
  </conditionalFormatting>
  <conditionalFormatting sqref="F107:M107">
    <cfRule type="expression" dxfId="460" priority="54">
      <formula>F106&lt;&gt;""</formula>
    </cfRule>
  </conditionalFormatting>
  <conditionalFormatting sqref="F108:M108">
    <cfRule type="expression" dxfId="459" priority="53">
      <formula>F106&lt;&gt;""</formula>
    </cfRule>
  </conditionalFormatting>
  <conditionalFormatting sqref="F109:M109">
    <cfRule type="expression" dxfId="458" priority="13">
      <formula>F106&lt;&gt;""</formula>
    </cfRule>
  </conditionalFormatting>
  <conditionalFormatting sqref="F110:M110">
    <cfRule type="expression" dxfId="457" priority="52">
      <formula>F106&lt;&gt;""</formula>
    </cfRule>
  </conditionalFormatting>
  <conditionalFormatting sqref="F111:M111">
    <cfRule type="expression" dxfId="456" priority="51">
      <formula>F106&lt;&gt;""</formula>
    </cfRule>
  </conditionalFormatting>
  <conditionalFormatting sqref="F113:M113">
    <cfRule type="expression" dxfId="455" priority="49">
      <formula>F106&lt;&gt;""</formula>
    </cfRule>
  </conditionalFormatting>
  <conditionalFormatting sqref="F114:M114">
    <cfRule type="expression" dxfId="454" priority="48">
      <formula>F106&lt;&gt;""</formula>
    </cfRule>
  </conditionalFormatting>
  <conditionalFormatting sqref="F115:M115">
    <cfRule type="expression" dxfId="453" priority="47">
      <formula>F106&lt;&gt;""</formula>
    </cfRule>
  </conditionalFormatting>
  <conditionalFormatting sqref="F116:M116">
    <cfRule type="expression" dxfId="452" priority="46">
      <formula>F106&lt;&gt;""</formula>
    </cfRule>
  </conditionalFormatting>
  <conditionalFormatting sqref="F117:M117">
    <cfRule type="expression" dxfId="451" priority="45">
      <formula>F106&lt;&gt;""</formula>
    </cfRule>
  </conditionalFormatting>
  <conditionalFormatting sqref="F118:M118">
    <cfRule type="expression" dxfId="450" priority="44">
      <formula>F106&lt;&gt;""</formula>
    </cfRule>
  </conditionalFormatting>
  <conditionalFormatting sqref="F119:M119">
    <cfRule type="expression" dxfId="449" priority="193">
      <formula>F118="Not Met"</formula>
    </cfRule>
    <cfRule type="expression" dxfId="448" priority="192">
      <formula>F119&lt;&gt;""</formula>
    </cfRule>
  </conditionalFormatting>
  <conditionalFormatting sqref="F120:M120">
    <cfRule type="expression" dxfId="447" priority="42">
      <formula>F106&lt;&gt;""</formula>
    </cfRule>
  </conditionalFormatting>
  <conditionalFormatting sqref="F121:M121">
    <cfRule type="expression" dxfId="446" priority="104">
      <formula>F121&lt;&gt;""</formula>
    </cfRule>
  </conditionalFormatting>
  <conditionalFormatting sqref="F122:M122">
    <cfRule type="expression" dxfId="445" priority="40">
      <formula>F106&lt;&gt;""</formula>
    </cfRule>
  </conditionalFormatting>
  <conditionalFormatting sqref="F123:M123 I132:M132 I134:M134 I136:M136 F138:M138 F140:M140 F142:M142 F144:M144 F146:M146">
    <cfRule type="expression" dxfId="444" priority="196">
      <formula>F123&lt;&gt;""</formula>
    </cfRule>
  </conditionalFormatting>
  <conditionalFormatting sqref="F123:M123 I132:M132 I134:M134 I136:M136 I138:M138 I140:M140 I142:M142 I144:M144 I146:M146">
    <cfRule type="expression" dxfId="443" priority="213">
      <formula>F122="Not Met"</formula>
    </cfRule>
  </conditionalFormatting>
  <conditionalFormatting sqref="F124:M124">
    <cfRule type="expression" dxfId="442" priority="38">
      <formula>F106&lt;&gt;""</formula>
    </cfRule>
  </conditionalFormatting>
  <conditionalFormatting sqref="F126:M126">
    <cfRule type="expression" dxfId="441" priority="36">
      <formula>F106&lt;&gt;""</formula>
    </cfRule>
  </conditionalFormatting>
  <conditionalFormatting sqref="F128:M128">
    <cfRule type="expression" dxfId="440" priority="34">
      <formula>F106&lt;&gt;""</formula>
    </cfRule>
  </conditionalFormatting>
  <conditionalFormatting sqref="F129:M129">
    <cfRule type="expression" dxfId="439" priority="101">
      <formula>F128="Not Met"</formula>
    </cfRule>
    <cfRule type="expression" dxfId="438" priority="100">
      <formula>F129&lt;&gt;""</formula>
    </cfRule>
  </conditionalFormatting>
  <conditionalFormatting sqref="F131:M131">
    <cfRule type="expression" dxfId="437" priority="32">
      <formula>F106&lt;&gt;""</formula>
    </cfRule>
  </conditionalFormatting>
  <conditionalFormatting sqref="F133:M133">
    <cfRule type="expression" dxfId="436" priority="5">
      <formula>F106&lt;&gt;""</formula>
    </cfRule>
  </conditionalFormatting>
  <conditionalFormatting sqref="F135:M135">
    <cfRule type="expression" dxfId="435" priority="4">
      <formula>F106&lt;&gt;""</formula>
    </cfRule>
  </conditionalFormatting>
  <conditionalFormatting sqref="F137:M137">
    <cfRule type="expression" dxfId="434" priority="26">
      <formula>F106&lt;&gt;""</formula>
    </cfRule>
  </conditionalFormatting>
  <conditionalFormatting sqref="H8">
    <cfRule type="expression" dxfId="433" priority="1090">
      <formula>$B$8&lt;&gt;""</formula>
    </cfRule>
  </conditionalFormatting>
  <conditionalFormatting sqref="I12:I17">
    <cfRule type="expression" dxfId="432" priority="1017">
      <formula>I12&lt;&gt;""</formula>
    </cfRule>
  </conditionalFormatting>
  <conditionalFormatting sqref="I18">
    <cfRule type="expression" dxfId="431" priority="1066">
      <formula>$I$18&lt;&gt;""</formula>
    </cfRule>
  </conditionalFormatting>
  <conditionalFormatting sqref="I21">
    <cfRule type="expression" dxfId="430" priority="1295">
      <formula>I21="Not Met"</formula>
    </cfRule>
  </conditionalFormatting>
  <conditionalFormatting sqref="I21:I24">
    <cfRule type="expression" dxfId="429" priority="1110">
      <formula>I21="Met"</formula>
    </cfRule>
  </conditionalFormatting>
  <conditionalFormatting sqref="I22 O26:P26">
    <cfRule type="expression" dxfId="428" priority="1111">
      <formula>I22="Not Met"</formula>
    </cfRule>
  </conditionalFormatting>
  <conditionalFormatting sqref="I26">
    <cfRule type="expression" dxfId="427" priority="1291">
      <formula>I26="Met"</formula>
    </cfRule>
    <cfRule type="expression" dxfId="426" priority="1292">
      <formula>I26="Not Met"</formula>
    </cfRule>
  </conditionalFormatting>
  <conditionalFormatting sqref="I28">
    <cfRule type="expression" dxfId="425" priority="1289">
      <formula>I28="Not Met"</formula>
    </cfRule>
    <cfRule type="expression" dxfId="424" priority="1288">
      <formula>I28="Met"</formula>
    </cfRule>
  </conditionalFormatting>
  <conditionalFormatting sqref="I30">
    <cfRule type="expression" dxfId="423" priority="1287">
      <formula>I30="Not Met"</formula>
    </cfRule>
    <cfRule type="expression" dxfId="422" priority="1286">
      <formula>I30="Met"</formula>
    </cfRule>
  </conditionalFormatting>
  <conditionalFormatting sqref="I32">
    <cfRule type="expression" dxfId="421" priority="1285">
      <formula>I32="Not Met"</formula>
    </cfRule>
    <cfRule type="expression" dxfId="420" priority="1284">
      <formula>I32="Met"</formula>
    </cfRule>
  </conditionalFormatting>
  <conditionalFormatting sqref="I34">
    <cfRule type="expression" dxfId="419" priority="1253">
      <formula>I34="Met"</formula>
    </cfRule>
    <cfRule type="expression" dxfId="418" priority="1254">
      <formula>I34="Not Met"</formula>
    </cfRule>
  </conditionalFormatting>
  <conditionalFormatting sqref="I36">
    <cfRule type="expression" dxfId="417" priority="1298">
      <formula>I$446&lt;&gt;""</formula>
    </cfRule>
  </conditionalFormatting>
  <conditionalFormatting sqref="I37">
    <cfRule type="expression" dxfId="416" priority="1251">
      <formula>I37="Met"</formula>
    </cfRule>
    <cfRule type="expression" dxfId="415" priority="1252">
      <formula>I37="Not Met"</formula>
    </cfRule>
  </conditionalFormatting>
  <conditionalFormatting sqref="I39">
    <cfRule type="expression" dxfId="414" priority="1249">
      <formula>I39="Met"</formula>
    </cfRule>
    <cfRule type="expression" dxfId="413" priority="1250">
      <formula>I39="Not Met"</formula>
    </cfRule>
  </conditionalFormatting>
  <conditionalFormatting sqref="I41">
    <cfRule type="expression" dxfId="412" priority="1247">
      <formula>I41="Met"</formula>
    </cfRule>
    <cfRule type="expression" dxfId="411" priority="1248">
      <formula>I41="Not Met"</formula>
    </cfRule>
  </conditionalFormatting>
  <conditionalFormatting sqref="I43">
    <cfRule type="expression" dxfId="410" priority="1245">
      <formula>I43="Met"</formula>
    </cfRule>
    <cfRule type="expression" dxfId="409" priority="1246">
      <formula>I43="Not Met"</formula>
    </cfRule>
  </conditionalFormatting>
  <conditionalFormatting sqref="I45">
    <cfRule type="expression" dxfId="408" priority="1241">
      <formula>I45="Met"</formula>
    </cfRule>
    <cfRule type="expression" dxfId="407" priority="1242">
      <formula>I45="Not Met"</formula>
    </cfRule>
  </conditionalFormatting>
  <conditionalFormatting sqref="I47">
    <cfRule type="expression" dxfId="406" priority="1239">
      <formula>I47="Met"</formula>
    </cfRule>
    <cfRule type="expression" dxfId="405" priority="1240">
      <formula>I47="Not Met"</formula>
    </cfRule>
  </conditionalFormatting>
  <conditionalFormatting sqref="I49">
    <cfRule type="expression" dxfId="404" priority="1238">
      <formula>I49="Not Met"</formula>
    </cfRule>
    <cfRule type="expression" dxfId="403" priority="1237">
      <formula>I49="Met"</formula>
    </cfRule>
  </conditionalFormatting>
  <conditionalFormatting sqref="I51">
    <cfRule type="expression" dxfId="402" priority="1236">
      <formula>I51="Not Met"</formula>
    </cfRule>
    <cfRule type="expression" dxfId="401" priority="1235">
      <formula>I51="Met"</formula>
    </cfRule>
  </conditionalFormatting>
  <conditionalFormatting sqref="I59:I64">
    <cfRule type="expression" dxfId="400" priority="269">
      <formula>I59&lt;&gt;""</formula>
    </cfRule>
  </conditionalFormatting>
  <conditionalFormatting sqref="I65">
    <cfRule type="expression" dxfId="399" priority="291">
      <formula>$I$59&lt;&gt;""</formula>
    </cfRule>
  </conditionalFormatting>
  <conditionalFormatting sqref="I68">
    <cfRule type="expression" dxfId="398" priority="408">
      <formula>I68="Not Met"</formula>
    </cfRule>
  </conditionalFormatting>
  <conditionalFormatting sqref="I68:I71">
    <cfRule type="expression" dxfId="397" priority="310">
      <formula>I68="Met"</formula>
    </cfRule>
  </conditionalFormatting>
  <conditionalFormatting sqref="I69">
    <cfRule type="expression" dxfId="396" priority="311">
      <formula>I69="Not Met"</formula>
    </cfRule>
  </conditionalFormatting>
  <conditionalFormatting sqref="I73">
    <cfRule type="expression" dxfId="395" priority="405">
      <formula>I73="Not Met"</formula>
    </cfRule>
    <cfRule type="expression" dxfId="394" priority="404">
      <formula>I73="Met"</formula>
    </cfRule>
  </conditionalFormatting>
  <conditionalFormatting sqref="I75">
    <cfRule type="expression" dxfId="393" priority="402">
      <formula>I75="Not Met"</formula>
    </cfRule>
    <cfRule type="expression" dxfId="392" priority="401">
      <formula>I75="Met"</formula>
    </cfRule>
  </conditionalFormatting>
  <conditionalFormatting sqref="I77">
    <cfRule type="expression" dxfId="391" priority="400">
      <formula>I77="Not Met"</formula>
    </cfRule>
    <cfRule type="expression" dxfId="390" priority="399">
      <formula>I77="Met"</formula>
    </cfRule>
  </conditionalFormatting>
  <conditionalFormatting sqref="I79">
    <cfRule type="expression" dxfId="389" priority="398">
      <formula>I79="Not Met"</formula>
    </cfRule>
    <cfRule type="expression" dxfId="388" priority="397">
      <formula>I79="Met"</formula>
    </cfRule>
  </conditionalFormatting>
  <conditionalFormatting sqref="I81">
    <cfRule type="expression" dxfId="387" priority="368">
      <formula>I81="Not Met"</formula>
    </cfRule>
    <cfRule type="expression" dxfId="386" priority="367">
      <formula>I81="Met"</formula>
    </cfRule>
  </conditionalFormatting>
  <conditionalFormatting sqref="I83">
    <cfRule type="expression" dxfId="385" priority="409">
      <formula>I$446&lt;&gt;""</formula>
    </cfRule>
  </conditionalFormatting>
  <conditionalFormatting sqref="I84">
    <cfRule type="expression" dxfId="384" priority="365">
      <formula>I84="Met"</formula>
    </cfRule>
    <cfRule type="expression" dxfId="383" priority="366">
      <formula>I84="Not Met"</formula>
    </cfRule>
  </conditionalFormatting>
  <conditionalFormatting sqref="I86">
    <cfRule type="expression" dxfId="382" priority="363">
      <formula>I86="Met"</formula>
    </cfRule>
    <cfRule type="expression" dxfId="381" priority="364">
      <formula>I86="Not Met"</formula>
    </cfRule>
  </conditionalFormatting>
  <conditionalFormatting sqref="I88">
    <cfRule type="expression" dxfId="380" priority="361">
      <formula>I88="Met"</formula>
    </cfRule>
    <cfRule type="expression" dxfId="379" priority="362">
      <formula>I88="Not Met"</formula>
    </cfRule>
  </conditionalFormatting>
  <conditionalFormatting sqref="I90">
    <cfRule type="expression" dxfId="378" priority="359">
      <formula>I90="Met"</formula>
    </cfRule>
    <cfRule type="expression" dxfId="377" priority="360">
      <formula>I90="Not Met"</formula>
    </cfRule>
  </conditionalFormatting>
  <conditionalFormatting sqref="I92">
    <cfRule type="expression" dxfId="376" priority="355">
      <formula>I92="Met"</formula>
    </cfRule>
    <cfRule type="expression" dxfId="375" priority="356">
      <formula>I92="Not Met"</formula>
    </cfRule>
  </conditionalFormatting>
  <conditionalFormatting sqref="I94">
    <cfRule type="expression" dxfId="374" priority="354">
      <formula>I94="Not Met"</formula>
    </cfRule>
    <cfRule type="expression" dxfId="373" priority="353">
      <formula>I94="Met"</formula>
    </cfRule>
  </conditionalFormatting>
  <conditionalFormatting sqref="I96">
    <cfRule type="expression" dxfId="372" priority="352">
      <formula>I96="Not Met"</formula>
    </cfRule>
    <cfRule type="expression" dxfId="371" priority="351">
      <formula>I96="Met"</formula>
    </cfRule>
  </conditionalFormatting>
  <conditionalFormatting sqref="I98">
    <cfRule type="expression" dxfId="370" priority="350">
      <formula>I98="Not Met"</formula>
    </cfRule>
    <cfRule type="expression" dxfId="369" priority="349">
      <formula>I98="Met"</formula>
    </cfRule>
  </conditionalFormatting>
  <conditionalFormatting sqref="I106:I111">
    <cfRule type="expression" dxfId="368" priority="57">
      <formula>I106&lt;&gt;""</formula>
    </cfRule>
  </conditionalFormatting>
  <conditionalFormatting sqref="I112">
    <cfRule type="expression" dxfId="367" priority="79">
      <formula>$I$112&lt;&gt;""</formula>
    </cfRule>
  </conditionalFormatting>
  <conditionalFormatting sqref="I115">
    <cfRule type="expression" dxfId="366" priority="194">
      <formula>I115="Not Met"</formula>
    </cfRule>
  </conditionalFormatting>
  <conditionalFormatting sqref="I115:I118">
    <cfRule type="expression" dxfId="365" priority="96">
      <formula>I115="Met"</formula>
    </cfRule>
  </conditionalFormatting>
  <conditionalFormatting sqref="I116">
    <cfRule type="expression" dxfId="364" priority="97">
      <formula>I116="Not Met"</formula>
    </cfRule>
  </conditionalFormatting>
  <conditionalFormatting sqref="I120">
    <cfRule type="expression" dxfId="363" priority="191">
      <formula>I120="Not Met"</formula>
    </cfRule>
    <cfRule type="expression" dxfId="362" priority="190">
      <formula>I120="Met"</formula>
    </cfRule>
  </conditionalFormatting>
  <conditionalFormatting sqref="I122">
    <cfRule type="expression" dxfId="361" priority="188">
      <formula>I122="Not Met"</formula>
    </cfRule>
    <cfRule type="expression" dxfId="360" priority="187">
      <formula>I122="Met"</formula>
    </cfRule>
  </conditionalFormatting>
  <conditionalFormatting sqref="I124">
    <cfRule type="expression" dxfId="359" priority="185">
      <formula>I124="Met"</formula>
    </cfRule>
    <cfRule type="expression" dxfId="358" priority="186">
      <formula>I124="Not Met"</formula>
    </cfRule>
  </conditionalFormatting>
  <conditionalFormatting sqref="I126">
    <cfRule type="expression" dxfId="357" priority="184">
      <formula>I126="Not Met"</formula>
    </cfRule>
    <cfRule type="expression" dxfId="356" priority="183">
      <formula>I126="Met"</formula>
    </cfRule>
  </conditionalFormatting>
  <conditionalFormatting sqref="I128">
    <cfRule type="expression" dxfId="355" priority="154">
      <formula>I128="Not Met"</formula>
    </cfRule>
    <cfRule type="expression" dxfId="354" priority="153">
      <formula>I128="Met"</formula>
    </cfRule>
  </conditionalFormatting>
  <conditionalFormatting sqref="I130">
    <cfRule type="expression" dxfId="353" priority="195">
      <formula>I$446&lt;&gt;""</formula>
    </cfRule>
  </conditionalFormatting>
  <conditionalFormatting sqref="I131">
    <cfRule type="expression" dxfId="352" priority="152">
      <formula>I131="Not Met"</formula>
    </cfRule>
    <cfRule type="expression" dxfId="351" priority="151">
      <formula>I131="Met"</formula>
    </cfRule>
  </conditionalFormatting>
  <conditionalFormatting sqref="I133">
    <cfRule type="expression" dxfId="350" priority="150">
      <formula>I133="Not Met"</formula>
    </cfRule>
    <cfRule type="expression" dxfId="349" priority="149">
      <formula>I133="Met"</formula>
    </cfRule>
  </conditionalFormatting>
  <conditionalFormatting sqref="I135">
    <cfRule type="expression" dxfId="348" priority="148">
      <formula>I135="Not Met"</formula>
    </cfRule>
    <cfRule type="expression" dxfId="347" priority="147">
      <formula>I135="Met"</formula>
    </cfRule>
  </conditionalFormatting>
  <conditionalFormatting sqref="I137">
    <cfRule type="expression" dxfId="346" priority="146">
      <formula>I137="Not Met"</formula>
    </cfRule>
    <cfRule type="expression" dxfId="345" priority="145">
      <formula>I137="Met"</formula>
    </cfRule>
  </conditionalFormatting>
  <conditionalFormatting sqref="I139">
    <cfRule type="expression" dxfId="344" priority="141">
      <formula>I139="Met"</formula>
    </cfRule>
    <cfRule type="expression" dxfId="343" priority="142">
      <formula>I139="Not Met"</formula>
    </cfRule>
  </conditionalFormatting>
  <conditionalFormatting sqref="I141">
    <cfRule type="expression" dxfId="342" priority="139">
      <formula>I141="Met"</formula>
    </cfRule>
    <cfRule type="expression" dxfId="341" priority="140">
      <formula>I141="Not Met"</formula>
    </cfRule>
  </conditionalFormatting>
  <conditionalFormatting sqref="I143">
    <cfRule type="expression" dxfId="340" priority="137">
      <formula>I143="Met"</formula>
    </cfRule>
    <cfRule type="expression" dxfId="339" priority="138">
      <formula>I143="Not Met"</formula>
    </cfRule>
  </conditionalFormatting>
  <conditionalFormatting sqref="I145">
    <cfRule type="expression" dxfId="338" priority="135">
      <formula>I145="Met"</formula>
    </cfRule>
    <cfRule type="expression" dxfId="337" priority="136">
      <formula>I145="Not Met"</formula>
    </cfRule>
  </conditionalFormatting>
  <conditionalFormatting sqref="I15:M15">
    <cfRule type="expression" dxfId="336" priority="939">
      <formula>I12&lt;&gt;""</formula>
    </cfRule>
  </conditionalFormatting>
  <conditionalFormatting sqref="I23:M24">
    <cfRule type="expression" dxfId="335" priority="1200">
      <formula>I23="Not Met"</formula>
    </cfRule>
  </conditionalFormatting>
  <conditionalFormatting sqref="I27:M27">
    <cfRule type="expression" dxfId="334" priority="1182">
      <formula>I26="Not Met"</formula>
    </cfRule>
  </conditionalFormatting>
  <conditionalFormatting sqref="I31:M31 F33:M33">
    <cfRule type="expression" dxfId="333" priority="1171">
      <formula>F31&lt;&gt;""</formula>
    </cfRule>
    <cfRule type="expression" dxfId="332" priority="1172">
      <formula>F30="Not Met"</formula>
    </cfRule>
  </conditionalFormatting>
  <conditionalFormatting sqref="I39:M39">
    <cfRule type="expression" dxfId="331" priority="916">
      <formula>I12&lt;&gt;""</formula>
    </cfRule>
  </conditionalFormatting>
  <conditionalFormatting sqref="I45:M45">
    <cfRule type="expression" dxfId="330" priority="908">
      <formula>I12&lt;&gt;""</formula>
    </cfRule>
  </conditionalFormatting>
  <conditionalFormatting sqref="I47:M47">
    <cfRule type="expression" dxfId="329" priority="906">
      <formula>I12&lt;&gt;""</formula>
    </cfRule>
  </conditionalFormatting>
  <conditionalFormatting sqref="I49:M49">
    <cfRule type="expression" dxfId="328" priority="904">
      <formula>I12&lt;&gt;""</formula>
    </cfRule>
  </conditionalFormatting>
  <conditionalFormatting sqref="I51:M51">
    <cfRule type="expression" dxfId="327" priority="902">
      <formula>I12&lt;&gt;""</formula>
    </cfRule>
  </conditionalFormatting>
  <conditionalFormatting sqref="I70:M71">
    <cfRule type="expression" dxfId="326" priority="321">
      <formula>I70="Not Met"</formula>
    </cfRule>
  </conditionalFormatting>
  <conditionalFormatting sqref="I74:M74">
    <cfRule type="expression" dxfId="325" priority="319">
      <formula>I73="Not Met"</formula>
    </cfRule>
  </conditionalFormatting>
  <conditionalFormatting sqref="I78:M78 F80:M80">
    <cfRule type="expression" dxfId="324" priority="317">
      <formula>F77="Not Met"</formula>
    </cfRule>
    <cfRule type="expression" dxfId="323" priority="316">
      <formula>F78&lt;&gt;""</formula>
    </cfRule>
  </conditionalFormatting>
  <conditionalFormatting sqref="I86:M86">
    <cfRule type="expression" dxfId="322" priority="241">
      <formula>I59&lt;&gt;""</formula>
    </cfRule>
  </conditionalFormatting>
  <conditionalFormatting sqref="I88:M88">
    <cfRule type="expression" dxfId="321" priority="239">
      <formula>I59&lt;&gt;""</formula>
    </cfRule>
  </conditionalFormatting>
  <conditionalFormatting sqref="I92:M92">
    <cfRule type="expression" dxfId="320" priority="233">
      <formula>I59&lt;&gt;""</formula>
    </cfRule>
  </conditionalFormatting>
  <conditionalFormatting sqref="I94:M94">
    <cfRule type="expression" dxfId="319" priority="231">
      <formula>I59&lt;&gt;""</formula>
    </cfRule>
  </conditionalFormatting>
  <conditionalFormatting sqref="I96:M96">
    <cfRule type="expression" dxfId="318" priority="229">
      <formula>I59&lt;&gt;""</formula>
    </cfRule>
  </conditionalFormatting>
  <conditionalFormatting sqref="I98:M98">
    <cfRule type="expression" dxfId="317" priority="227">
      <formula>I59&lt;&gt;""</formula>
    </cfRule>
  </conditionalFormatting>
  <conditionalFormatting sqref="I117:M118">
    <cfRule type="expression" dxfId="316" priority="107">
      <formula>I117="Not Met"</formula>
    </cfRule>
  </conditionalFormatting>
  <conditionalFormatting sqref="I121:M121">
    <cfRule type="expression" dxfId="315" priority="105">
      <formula>I120="Not Met"</formula>
    </cfRule>
  </conditionalFormatting>
  <conditionalFormatting sqref="I125:M125 F127:M127">
    <cfRule type="expression" dxfId="314" priority="102">
      <formula>F125&lt;&gt;""</formula>
    </cfRule>
    <cfRule type="expression" dxfId="313" priority="103">
      <formula>F124="Not Met"</formula>
    </cfRule>
  </conditionalFormatting>
  <conditionalFormatting sqref="I139:M139">
    <cfRule type="expression" dxfId="312" priority="22">
      <formula>I106&lt;&gt;""</formula>
    </cfRule>
  </conditionalFormatting>
  <conditionalFormatting sqref="I141:M141">
    <cfRule type="expression" dxfId="311" priority="20">
      <formula>I106&lt;&gt;""</formula>
    </cfRule>
  </conditionalFormatting>
  <conditionalFormatting sqref="I143:M143">
    <cfRule type="expression" dxfId="310" priority="18">
      <formula>I106&lt;&gt;""</formula>
    </cfRule>
  </conditionalFormatting>
  <conditionalFormatting sqref="I145:M145">
    <cfRule type="expression" dxfId="309" priority="16">
      <formula>I106&lt;&gt;""</formula>
    </cfRule>
  </conditionalFormatting>
  <conditionalFormatting sqref="J18:K18">
    <cfRule type="expression" dxfId="308" priority="1065">
      <formula>$J$18&lt;&gt;""</formula>
    </cfRule>
  </conditionalFormatting>
  <conditionalFormatting sqref="J65:K65">
    <cfRule type="expression" dxfId="307" priority="290">
      <formula>$J59&lt;&gt;""</formula>
    </cfRule>
  </conditionalFormatting>
  <conditionalFormatting sqref="J112:K112">
    <cfRule type="expression" dxfId="306" priority="78">
      <formula>$J$112&lt;&gt;""</formula>
    </cfRule>
  </conditionalFormatting>
  <conditionalFormatting sqref="J12:M12">
    <cfRule type="expression" dxfId="305" priority="943">
      <formula>J12&lt;&gt;""</formula>
    </cfRule>
  </conditionalFormatting>
  <conditionalFormatting sqref="J18:M18">
    <cfRule type="expression" dxfId="304" priority="936">
      <formula>J12&lt;&gt;""</formula>
    </cfRule>
  </conditionalFormatting>
  <conditionalFormatting sqref="J21:M22 O21:P22">
    <cfRule type="expression" dxfId="303" priority="1107">
      <formula>J21="Not Met"</formula>
    </cfRule>
  </conditionalFormatting>
  <conditionalFormatting sqref="J23:M24 J26:M26">
    <cfRule type="expression" dxfId="302" priority="1201">
      <formula>J23="Met"</formula>
    </cfRule>
  </conditionalFormatting>
  <conditionalFormatting sqref="J26:M26">
    <cfRule type="expression" dxfId="301" priority="1198">
      <formula>J26="Not Met"</formula>
    </cfRule>
  </conditionalFormatting>
  <conditionalFormatting sqref="J28:M28">
    <cfRule type="expression" dxfId="300" priority="1227">
      <formula>J28="Not Met"</formula>
    </cfRule>
    <cfRule type="expression" dxfId="299" priority="1228">
      <formula>J28="Met"</formula>
    </cfRule>
  </conditionalFormatting>
  <conditionalFormatting sqref="J30:M30">
    <cfRule type="expression" dxfId="298" priority="1226">
      <formula>J30="Met"</formula>
    </cfRule>
    <cfRule type="expression" dxfId="297" priority="1225">
      <formula>J30="Not Met"</formula>
    </cfRule>
  </conditionalFormatting>
  <conditionalFormatting sqref="J32:M32">
    <cfRule type="expression" dxfId="296" priority="1224">
      <formula>J32="Met"</formula>
    </cfRule>
    <cfRule type="expression" dxfId="295" priority="1223">
      <formula>J32="Not Met"</formula>
    </cfRule>
  </conditionalFormatting>
  <conditionalFormatting sqref="J34:M34">
    <cfRule type="expression" dxfId="294" priority="1222">
      <formula>J34="Met"</formula>
    </cfRule>
    <cfRule type="expression" dxfId="293" priority="1221">
      <formula>J34="Not Met"</formula>
    </cfRule>
  </conditionalFormatting>
  <conditionalFormatting sqref="J36:M36">
    <cfRule type="expression" dxfId="292" priority="3738">
      <formula>J$446&lt;&gt;""</formula>
    </cfRule>
  </conditionalFormatting>
  <conditionalFormatting sqref="J37:M37">
    <cfRule type="expression" dxfId="291" priority="1219">
      <formula>J37="Not Met"</formula>
    </cfRule>
    <cfRule type="expression" dxfId="290" priority="1220">
      <formula>J37="Met"</formula>
    </cfRule>
  </conditionalFormatting>
  <conditionalFormatting sqref="J39:M39">
    <cfRule type="expression" dxfId="289" priority="1218">
      <formula>J39="Met"</formula>
    </cfRule>
    <cfRule type="expression" dxfId="288" priority="1217">
      <formula>J39="Not Met"</formula>
    </cfRule>
  </conditionalFormatting>
  <conditionalFormatting sqref="J41:M41">
    <cfRule type="expression" dxfId="287" priority="1216">
      <formula>J41="Met"</formula>
    </cfRule>
    <cfRule type="expression" dxfId="286" priority="1215">
      <formula>J41="Not Met"</formula>
    </cfRule>
  </conditionalFormatting>
  <conditionalFormatting sqref="J43:M43">
    <cfRule type="expression" dxfId="285" priority="1213">
      <formula>J43="Not Met"</formula>
    </cfRule>
    <cfRule type="expression" dxfId="284" priority="1214">
      <formula>J43="Met"</formula>
    </cfRule>
  </conditionalFormatting>
  <conditionalFormatting sqref="J45:M45">
    <cfRule type="expression" dxfId="283" priority="1210">
      <formula>J45="Met"</formula>
    </cfRule>
    <cfRule type="expression" dxfId="282" priority="1209">
      <formula>J45="Not Met"</formula>
    </cfRule>
  </conditionalFormatting>
  <conditionalFormatting sqref="J47:M47">
    <cfRule type="expression" dxfId="281" priority="1208">
      <formula>J47="Met"</formula>
    </cfRule>
    <cfRule type="expression" dxfId="280" priority="1207">
      <formula>J47="Not Met"</formula>
    </cfRule>
  </conditionalFormatting>
  <conditionalFormatting sqref="J49:M49">
    <cfRule type="expression" dxfId="279" priority="1206">
      <formula>J49="Met"</formula>
    </cfRule>
    <cfRule type="expression" dxfId="278" priority="1205">
      <formula>J49="Not Met"</formula>
    </cfRule>
  </conditionalFormatting>
  <conditionalFormatting sqref="J51:M51">
    <cfRule type="expression" dxfId="277" priority="1203">
      <formula>J51="Not Met"</formula>
    </cfRule>
    <cfRule type="expression" dxfId="276" priority="1204">
      <formula>J51="Met"</formula>
    </cfRule>
  </conditionalFormatting>
  <conditionalFormatting sqref="J59:M59">
    <cfRule type="expression" dxfId="275" priority="267">
      <formula>J59&lt;&gt;""</formula>
    </cfRule>
  </conditionalFormatting>
  <conditionalFormatting sqref="J68:M69 F68:H71">
    <cfRule type="expression" dxfId="274" priority="312">
      <formula>F68="Met"</formula>
    </cfRule>
  </conditionalFormatting>
  <conditionalFormatting sqref="J68:M69">
    <cfRule type="expression" dxfId="273" priority="309">
      <formula>J68="Not Met"</formula>
    </cfRule>
  </conditionalFormatting>
  <conditionalFormatting sqref="J70:M71 J73:M73">
    <cfRule type="expression" dxfId="272" priority="322">
      <formula>J70="Met"</formula>
    </cfRule>
  </conditionalFormatting>
  <conditionalFormatting sqref="J73:M73">
    <cfRule type="expression" dxfId="271" priority="320">
      <formula>J73="Not Met"</formula>
    </cfRule>
  </conditionalFormatting>
  <conditionalFormatting sqref="J75:M75">
    <cfRule type="expression" dxfId="270" priority="348">
      <formula>J75="Met"</formula>
    </cfRule>
    <cfRule type="expression" dxfId="269" priority="347">
      <formula>J75="Not Met"</formula>
    </cfRule>
  </conditionalFormatting>
  <conditionalFormatting sqref="J77:M77">
    <cfRule type="expression" dxfId="268" priority="346">
      <formula>J77="Met"</formula>
    </cfRule>
    <cfRule type="expression" dxfId="267" priority="345">
      <formula>J77="Not Met"</formula>
    </cfRule>
  </conditionalFormatting>
  <conditionalFormatting sqref="J79:M79">
    <cfRule type="expression" dxfId="266" priority="343">
      <formula>J79="Not Met"</formula>
    </cfRule>
    <cfRule type="expression" dxfId="265" priority="344">
      <formula>J79="Met"</formula>
    </cfRule>
  </conditionalFormatting>
  <conditionalFormatting sqref="J81:M81">
    <cfRule type="expression" dxfId="264" priority="341">
      <formula>J81="Not Met"</formula>
    </cfRule>
    <cfRule type="expression" dxfId="263" priority="342">
      <formula>J81="Met"</formula>
    </cfRule>
  </conditionalFormatting>
  <conditionalFormatting sqref="J83:M83">
    <cfRule type="expression" dxfId="262" priority="436">
      <formula>J$446&lt;&gt;""</formula>
    </cfRule>
  </conditionalFormatting>
  <conditionalFormatting sqref="J84:M84">
    <cfRule type="expression" dxfId="261" priority="339">
      <formula>J84="Not Met"</formula>
    </cfRule>
    <cfRule type="expression" dxfId="260" priority="340">
      <formula>J84="Met"</formula>
    </cfRule>
  </conditionalFormatting>
  <conditionalFormatting sqref="J86:M86">
    <cfRule type="expression" dxfId="259" priority="337">
      <formula>J86="Not Met"</formula>
    </cfRule>
    <cfRule type="expression" dxfId="258" priority="338">
      <formula>J86="Met"</formula>
    </cfRule>
  </conditionalFormatting>
  <conditionalFormatting sqref="J88:M88">
    <cfRule type="expression" dxfId="257" priority="335">
      <formula>J88="Not Met"</formula>
    </cfRule>
    <cfRule type="expression" dxfId="256" priority="336">
      <formula>J88="Met"</formula>
    </cfRule>
  </conditionalFormatting>
  <conditionalFormatting sqref="J90:M90">
    <cfRule type="expression" dxfId="255" priority="333">
      <formula>J90="Not Met"</formula>
    </cfRule>
    <cfRule type="expression" dxfId="254" priority="334">
      <formula>J90="Met"</formula>
    </cfRule>
  </conditionalFormatting>
  <conditionalFormatting sqref="J92:M92">
    <cfRule type="expression" dxfId="253" priority="330">
      <formula>J92="Met"</formula>
    </cfRule>
    <cfRule type="expression" dxfId="252" priority="329">
      <formula>J92="Not Met"</formula>
    </cfRule>
  </conditionalFormatting>
  <conditionalFormatting sqref="J94:M94">
    <cfRule type="expression" dxfId="251" priority="327">
      <formula>J94="Not Met"</formula>
    </cfRule>
    <cfRule type="expression" dxfId="250" priority="328">
      <formula>J94="Met"</formula>
    </cfRule>
  </conditionalFormatting>
  <conditionalFormatting sqref="J96:M96">
    <cfRule type="expression" dxfId="249" priority="325">
      <formula>J96="Not Met"</formula>
    </cfRule>
    <cfRule type="expression" dxfId="248" priority="326">
      <formula>J96="Met"</formula>
    </cfRule>
  </conditionalFormatting>
  <conditionalFormatting sqref="J98:M98">
    <cfRule type="expression" dxfId="247" priority="323">
      <formula>J98="Not Met"</formula>
    </cfRule>
    <cfRule type="expression" dxfId="246" priority="324">
      <formula>J98="Met"</formula>
    </cfRule>
  </conditionalFormatting>
  <conditionalFormatting sqref="J106:M106">
    <cfRule type="expression" dxfId="245" priority="55">
      <formula>J106&lt;&gt;""</formula>
    </cfRule>
  </conditionalFormatting>
  <conditionalFormatting sqref="J115:M116 F115:H118">
    <cfRule type="expression" dxfId="244" priority="98">
      <formula>F115="Met"</formula>
    </cfRule>
  </conditionalFormatting>
  <conditionalFormatting sqref="J115:M116">
    <cfRule type="expression" dxfId="243" priority="95">
      <formula>J115="Not Met"</formula>
    </cfRule>
  </conditionalFormatting>
  <conditionalFormatting sqref="J117:M118 J120:M120">
    <cfRule type="expression" dxfId="242" priority="108">
      <formula>J117="Met"</formula>
    </cfRule>
  </conditionalFormatting>
  <conditionalFormatting sqref="J120:M120">
    <cfRule type="expression" dxfId="241" priority="106">
      <formula>J120="Not Met"</formula>
    </cfRule>
  </conditionalFormatting>
  <conditionalFormatting sqref="J122:M122">
    <cfRule type="expression" dxfId="240" priority="133">
      <formula>J122="Not Met"</formula>
    </cfRule>
    <cfRule type="expression" dxfId="239" priority="134">
      <formula>J122="Met"</formula>
    </cfRule>
  </conditionalFormatting>
  <conditionalFormatting sqref="J124:M124">
    <cfRule type="expression" dxfId="238" priority="131">
      <formula>J124="Not Met"</formula>
    </cfRule>
    <cfRule type="expression" dxfId="237" priority="132">
      <formula>J124="Met"</formula>
    </cfRule>
  </conditionalFormatting>
  <conditionalFormatting sqref="J126:M126">
    <cfRule type="expression" dxfId="236" priority="129">
      <formula>J126="Not Met"</formula>
    </cfRule>
    <cfRule type="expression" dxfId="235" priority="130">
      <formula>J126="Met"</formula>
    </cfRule>
  </conditionalFormatting>
  <conditionalFormatting sqref="J128:M128">
    <cfRule type="expression" dxfId="234" priority="127">
      <formula>J128="Not Met"</formula>
    </cfRule>
    <cfRule type="expression" dxfId="233" priority="128">
      <formula>J128="Met"</formula>
    </cfRule>
  </conditionalFormatting>
  <conditionalFormatting sqref="J130:M130">
    <cfRule type="expression" dxfId="232" priority="220">
      <formula>J$446&lt;&gt;""</formula>
    </cfRule>
  </conditionalFormatting>
  <conditionalFormatting sqref="J131:M131">
    <cfRule type="expression" dxfId="231" priority="125">
      <formula>J131="Not Met"</formula>
    </cfRule>
    <cfRule type="expression" dxfId="230" priority="126">
      <formula>J131="Met"</formula>
    </cfRule>
  </conditionalFormatting>
  <conditionalFormatting sqref="J133:M133">
    <cfRule type="expression" dxfId="229" priority="123">
      <formula>J133="Not Met"</formula>
    </cfRule>
    <cfRule type="expression" dxfId="228" priority="124">
      <formula>J133="Met"</formula>
    </cfRule>
  </conditionalFormatting>
  <conditionalFormatting sqref="J135:M135">
    <cfRule type="expression" dxfId="227" priority="122">
      <formula>J135="Met"</formula>
    </cfRule>
    <cfRule type="expression" dxfId="226" priority="121">
      <formula>J135="Not Met"</formula>
    </cfRule>
  </conditionalFormatting>
  <conditionalFormatting sqref="J137:M137">
    <cfRule type="expression" dxfId="225" priority="119">
      <formula>J137="Not Met"</formula>
    </cfRule>
    <cfRule type="expression" dxfId="224" priority="120">
      <formula>J137="Met"</formula>
    </cfRule>
  </conditionalFormatting>
  <conditionalFormatting sqref="J139:M139">
    <cfRule type="expression" dxfId="223" priority="116">
      <formula>J139="Met"</formula>
    </cfRule>
    <cfRule type="expression" dxfId="222" priority="115">
      <formula>J139="Not Met"</formula>
    </cfRule>
  </conditionalFormatting>
  <conditionalFormatting sqref="J141:M141">
    <cfRule type="expression" dxfId="221" priority="113">
      <formula>J141="Not Met"</formula>
    </cfRule>
    <cfRule type="expression" dxfId="220" priority="114">
      <formula>J141="Met"</formula>
    </cfRule>
  </conditionalFormatting>
  <conditionalFormatting sqref="J142:M142">
    <cfRule type="expression" dxfId="219" priority="19">
      <formula>$L$142="Not Met"</formula>
    </cfRule>
  </conditionalFormatting>
  <conditionalFormatting sqref="J143:M143">
    <cfRule type="expression" dxfId="218" priority="112">
      <formula>J143="Met"</formula>
    </cfRule>
    <cfRule type="expression" dxfId="217" priority="111">
      <formula>J143="Not Met"</formula>
    </cfRule>
  </conditionalFormatting>
  <conditionalFormatting sqref="J144:M144">
    <cfRule type="expression" dxfId="216" priority="17">
      <formula>$L$143="Not Met"</formula>
    </cfRule>
  </conditionalFormatting>
  <conditionalFormatting sqref="J145:M145">
    <cfRule type="expression" dxfId="215" priority="110">
      <formula>J145="Met"</formula>
    </cfRule>
    <cfRule type="expression" dxfId="214" priority="109">
      <formula>J145="Not Met"</formula>
    </cfRule>
  </conditionalFormatting>
  <conditionalFormatting sqref="J146:M146">
    <cfRule type="expression" dxfId="213" priority="15">
      <formula>$L$145="Not Met"</formula>
    </cfRule>
  </conditionalFormatting>
  <conditionalFormatting sqref="L18:M18">
    <cfRule type="expression" dxfId="212" priority="1064">
      <formula>$L$18&lt;&gt;""</formula>
    </cfRule>
  </conditionalFormatting>
  <conditionalFormatting sqref="L65:M65">
    <cfRule type="expression" dxfId="211" priority="289">
      <formula>$L$59&lt;&gt;""</formula>
    </cfRule>
  </conditionalFormatting>
  <conditionalFormatting sqref="L112:M112">
    <cfRule type="expression" dxfId="210" priority="77">
      <formula>$L$112&lt;&gt;""</formula>
    </cfRule>
  </conditionalFormatting>
  <conditionalFormatting sqref="N13:N17">
    <cfRule type="expression" dxfId="209" priority="899">
      <formula>$N$13&lt;&gt;""</formula>
    </cfRule>
  </conditionalFormatting>
  <conditionalFormatting sqref="N14:N17">
    <cfRule type="expression" dxfId="208" priority="900">
      <formula>O13&lt;&gt;""</formula>
    </cfRule>
  </conditionalFormatting>
  <conditionalFormatting sqref="N19">
    <cfRule type="expression" dxfId="207" priority="897">
      <formula>O12&lt;&gt;""</formula>
    </cfRule>
  </conditionalFormatting>
  <conditionalFormatting sqref="N20">
    <cfRule type="expression" dxfId="206" priority="896">
      <formula>O12&lt;&gt;""</formula>
    </cfRule>
  </conditionalFormatting>
  <conditionalFormatting sqref="N21">
    <cfRule type="expression" dxfId="205" priority="895">
      <formula>O12&lt;&gt;""</formula>
    </cfRule>
  </conditionalFormatting>
  <conditionalFormatting sqref="N22">
    <cfRule type="expression" dxfId="204" priority="894">
      <formula>O12&lt;&gt;""</formula>
    </cfRule>
  </conditionalFormatting>
  <conditionalFormatting sqref="N23">
    <cfRule type="expression" dxfId="203" priority="893">
      <formula>O12&lt;&gt;""</formula>
    </cfRule>
  </conditionalFormatting>
  <conditionalFormatting sqref="N24">
    <cfRule type="expression" dxfId="202" priority="892">
      <formula>O12&lt;&gt;""</formula>
    </cfRule>
  </conditionalFormatting>
  <conditionalFormatting sqref="N25">
    <cfRule type="expression" dxfId="201" priority="891">
      <formula>$N$25&lt;&gt;""</formula>
    </cfRule>
  </conditionalFormatting>
  <conditionalFormatting sqref="N26">
    <cfRule type="expression" dxfId="200" priority="890">
      <formula>O12&lt;&gt;""</formula>
    </cfRule>
  </conditionalFormatting>
  <conditionalFormatting sqref="N27">
    <cfRule type="expression" dxfId="199" priority="888">
      <formula>N27&lt;&gt;""</formula>
    </cfRule>
  </conditionalFormatting>
  <conditionalFormatting sqref="N28">
    <cfRule type="expression" dxfId="198" priority="889">
      <formula>O12&lt;&gt;""</formula>
    </cfRule>
  </conditionalFormatting>
  <conditionalFormatting sqref="N29">
    <cfRule type="expression" dxfId="197" priority="887">
      <formula>N29&lt;&gt;""</formula>
    </cfRule>
  </conditionalFormatting>
  <conditionalFormatting sqref="N30">
    <cfRule type="expression" dxfId="196" priority="886">
      <formula>O12&lt;&gt;""</formula>
    </cfRule>
  </conditionalFormatting>
  <conditionalFormatting sqref="N31">
    <cfRule type="expression" dxfId="195" priority="885">
      <formula>N31&lt;&gt;""</formula>
    </cfRule>
  </conditionalFormatting>
  <conditionalFormatting sqref="N32">
    <cfRule type="expression" dxfId="194" priority="884">
      <formula>O12&lt;&gt;""</formula>
    </cfRule>
  </conditionalFormatting>
  <conditionalFormatting sqref="N33">
    <cfRule type="expression" dxfId="193" priority="883">
      <formula>N33&lt;&gt;""</formula>
    </cfRule>
  </conditionalFormatting>
  <conditionalFormatting sqref="N34">
    <cfRule type="expression" dxfId="192" priority="882">
      <formula>O12&lt;&gt;""</formula>
    </cfRule>
  </conditionalFormatting>
  <conditionalFormatting sqref="N35">
    <cfRule type="expression" dxfId="191" priority="881">
      <formula>N35&lt;&gt;""</formula>
    </cfRule>
  </conditionalFormatting>
  <conditionalFormatting sqref="N37">
    <cfRule type="expression" dxfId="190" priority="880">
      <formula>O12&lt;&gt;""</formula>
    </cfRule>
  </conditionalFormatting>
  <conditionalFormatting sqref="N38">
    <cfRule type="expression" dxfId="189" priority="879">
      <formula>N38&lt;&gt;""</formula>
    </cfRule>
  </conditionalFormatting>
  <conditionalFormatting sqref="N39">
    <cfRule type="expression" dxfId="188" priority="878">
      <formula>O12&lt;&gt;""</formula>
    </cfRule>
  </conditionalFormatting>
  <conditionalFormatting sqref="N40">
    <cfRule type="expression" dxfId="187" priority="877">
      <formula>N40&lt;&gt;""</formula>
    </cfRule>
  </conditionalFormatting>
  <conditionalFormatting sqref="N41">
    <cfRule type="expression" dxfId="186" priority="876">
      <formula>O12&lt;&gt;""</formula>
    </cfRule>
  </conditionalFormatting>
  <conditionalFormatting sqref="N42">
    <cfRule type="expression" dxfId="185" priority="875">
      <formula>N42&lt;&gt;""</formula>
    </cfRule>
  </conditionalFormatting>
  <conditionalFormatting sqref="N43">
    <cfRule type="expression" dxfId="184" priority="874">
      <formula>O12&lt;&gt;""</formula>
    </cfRule>
  </conditionalFormatting>
  <conditionalFormatting sqref="N44">
    <cfRule type="expression" dxfId="183" priority="873">
      <formula>N44&lt;&gt;""</formula>
    </cfRule>
  </conditionalFormatting>
  <conditionalFormatting sqref="N45">
    <cfRule type="expression" dxfId="182" priority="870">
      <formula>O12&lt;&gt;""</formula>
    </cfRule>
  </conditionalFormatting>
  <conditionalFormatting sqref="N46">
    <cfRule type="expression" dxfId="181" priority="821">
      <formula>N46&lt;&gt;""</formula>
    </cfRule>
  </conditionalFormatting>
  <conditionalFormatting sqref="N47">
    <cfRule type="expression" dxfId="180" priority="869">
      <formula>O12&lt;&gt;""</formula>
    </cfRule>
  </conditionalFormatting>
  <conditionalFormatting sqref="N48">
    <cfRule type="expression" dxfId="179" priority="868">
      <formula>N48&lt;&gt;""</formula>
    </cfRule>
  </conditionalFormatting>
  <conditionalFormatting sqref="N49">
    <cfRule type="expression" dxfId="178" priority="867">
      <formula>O12&lt;&gt;""</formula>
    </cfRule>
  </conditionalFormatting>
  <conditionalFormatting sqref="N50">
    <cfRule type="expression" dxfId="177" priority="866">
      <formula>N50&lt;&gt;""</formula>
    </cfRule>
  </conditionalFormatting>
  <conditionalFormatting sqref="N51">
    <cfRule type="expression" dxfId="176" priority="865">
      <formula>O12&lt;&gt;""</formula>
    </cfRule>
  </conditionalFormatting>
  <conditionalFormatting sqref="N52">
    <cfRule type="expression" dxfId="175" priority="864">
      <formula>N52&lt;&gt;""</formula>
    </cfRule>
  </conditionalFormatting>
  <conditionalFormatting sqref="O11">
    <cfRule type="expression" dxfId="174" priority="1067">
      <formula>$O$12&lt;&gt;""</formula>
    </cfRule>
  </conditionalFormatting>
  <conditionalFormatting sqref="O25">
    <cfRule type="expression" dxfId="173" priority="850">
      <formula>O25&lt;&gt;""</formula>
    </cfRule>
  </conditionalFormatting>
  <conditionalFormatting sqref="O27">
    <cfRule type="expression" dxfId="172" priority="848">
      <formula>O27&lt;&gt;""</formula>
    </cfRule>
  </conditionalFormatting>
  <conditionalFormatting sqref="O29">
    <cfRule type="expression" dxfId="171" priority="846">
      <formula>O29&lt;&gt;""</formula>
    </cfRule>
  </conditionalFormatting>
  <conditionalFormatting sqref="O31">
    <cfRule type="expression" dxfId="170" priority="844">
      <formula>O31&lt;&gt;""</formula>
    </cfRule>
  </conditionalFormatting>
  <conditionalFormatting sqref="O33">
    <cfRule type="expression" dxfId="169" priority="842">
      <formula>O33&lt;&gt;""</formula>
    </cfRule>
  </conditionalFormatting>
  <conditionalFormatting sqref="O35">
    <cfRule type="expression" dxfId="168" priority="840">
      <formula>O35&lt;&gt;""</formula>
    </cfRule>
  </conditionalFormatting>
  <conditionalFormatting sqref="O38">
    <cfRule type="expression" dxfId="167" priority="838">
      <formula>O38&lt;&gt;""</formula>
    </cfRule>
  </conditionalFormatting>
  <conditionalFormatting sqref="O40">
    <cfRule type="expression" dxfId="166" priority="836">
      <formula>O40&lt;&gt;""</formula>
    </cfRule>
  </conditionalFormatting>
  <conditionalFormatting sqref="O42">
    <cfRule type="expression" dxfId="165" priority="834">
      <formula>O42&lt;&gt;""</formula>
    </cfRule>
  </conditionalFormatting>
  <conditionalFormatting sqref="O44">
    <cfRule type="expression" dxfId="164" priority="832">
      <formula>O44&lt;&gt;""</formula>
    </cfRule>
  </conditionalFormatting>
  <conditionalFormatting sqref="O46">
    <cfRule type="expression" dxfId="163" priority="828">
      <formula>O46&lt;&gt;""</formula>
    </cfRule>
  </conditionalFormatting>
  <conditionalFormatting sqref="O48">
    <cfRule type="expression" dxfId="162" priority="826">
      <formula>O48&lt;&gt;""</formula>
    </cfRule>
  </conditionalFormatting>
  <conditionalFormatting sqref="O50">
    <cfRule type="expression" dxfId="161" priority="824">
      <formula>O50&lt;&gt;""</formula>
    </cfRule>
  </conditionalFormatting>
  <conditionalFormatting sqref="O52">
    <cfRule type="expression" dxfId="160" priority="822">
      <formula>O52&lt;&gt;""</formula>
    </cfRule>
  </conditionalFormatting>
  <conditionalFormatting sqref="O55:Q55">
    <cfRule type="expression" dxfId="159" priority="3">
      <formula>$O$55&lt;&gt;""</formula>
    </cfRule>
  </conditionalFormatting>
  <conditionalFormatting sqref="O13:R13">
    <cfRule type="expression" dxfId="158" priority="791">
      <formula>O12&lt;&gt;""</formula>
    </cfRule>
  </conditionalFormatting>
  <conditionalFormatting sqref="O14:R14">
    <cfRule type="expression" dxfId="157" priority="790">
      <formula>O12&lt;&gt;""</formula>
    </cfRule>
  </conditionalFormatting>
  <conditionalFormatting sqref="O15:R15">
    <cfRule type="expression" dxfId="156" priority="789">
      <formula>O12&lt;&gt;""</formula>
    </cfRule>
  </conditionalFormatting>
  <conditionalFormatting sqref="O16:R16">
    <cfRule type="expression" dxfId="155" priority="788">
      <formula>O12&lt;&gt;""</formula>
    </cfRule>
  </conditionalFormatting>
  <conditionalFormatting sqref="O17:R17">
    <cfRule type="expression" dxfId="154" priority="787">
      <formula>O12&lt;&gt;""</formula>
    </cfRule>
  </conditionalFormatting>
  <conditionalFormatting sqref="O19:R19">
    <cfRule type="expression" dxfId="153" priority="785">
      <formula>O12&lt;&gt;""</formula>
    </cfRule>
  </conditionalFormatting>
  <conditionalFormatting sqref="O20:R20">
    <cfRule type="expression" dxfId="152" priority="784">
      <formula>O12&lt;&gt;""</formula>
    </cfRule>
  </conditionalFormatting>
  <conditionalFormatting sqref="O21:R21">
    <cfRule type="expression" dxfId="151" priority="783">
      <formula>O12&lt;&gt;""</formula>
    </cfRule>
  </conditionalFormatting>
  <conditionalFormatting sqref="O22:R22">
    <cfRule type="expression" dxfId="150" priority="782">
      <formula>O12&lt;&gt;""</formula>
    </cfRule>
  </conditionalFormatting>
  <conditionalFormatting sqref="O23:R23">
    <cfRule type="expression" dxfId="149" priority="781">
      <formula>O12&lt;&gt;""</formula>
    </cfRule>
  </conditionalFormatting>
  <conditionalFormatting sqref="O24:R24">
    <cfRule type="expression" dxfId="148" priority="780">
      <formula>O12&lt;&gt;""</formula>
    </cfRule>
  </conditionalFormatting>
  <conditionalFormatting sqref="O26:R26 J21:M22 O21:R24 F21:H24 T21:W24 T26:W26 O28:R28 T28:W28 O30:R30 T30:W30 O32:R32 T32:W32 O34:R34 T34:W34 O37:R37 T37:W37 O39:R39 T39:W39 O41:R41 T41:W41 O43:R43 T43:W43 O45:R45 T45:W45 O47:R47 T47:W47 O49:R49 T49:W49 O51:R51 T51:W51">
    <cfRule type="expression" dxfId="147" priority="1112">
      <formula>F21="Met"</formula>
    </cfRule>
  </conditionalFormatting>
  <conditionalFormatting sqref="O26:R26">
    <cfRule type="expression" dxfId="146" priority="779">
      <formula>O12&lt;&gt;""</formula>
    </cfRule>
  </conditionalFormatting>
  <conditionalFormatting sqref="O28:R28">
    <cfRule type="expression" dxfId="145" priority="778">
      <formula>O12&lt;&gt;""</formula>
    </cfRule>
  </conditionalFormatting>
  <conditionalFormatting sqref="O30:R30">
    <cfRule type="expression" dxfId="144" priority="777">
      <formula>O12&lt;&gt;""</formula>
    </cfRule>
  </conditionalFormatting>
  <conditionalFormatting sqref="O32:R32">
    <cfRule type="expression" dxfId="143" priority="776">
      <formula>O12&lt;&gt;""</formula>
    </cfRule>
  </conditionalFormatting>
  <conditionalFormatting sqref="O34:R34">
    <cfRule type="expression" dxfId="142" priority="775">
      <formula>O12&lt;&gt;""</formula>
    </cfRule>
  </conditionalFormatting>
  <conditionalFormatting sqref="O36:R36 T36:W36">
    <cfRule type="expression" dxfId="141" priority="1103">
      <formula>O$402&lt;&gt;""</formula>
    </cfRule>
  </conditionalFormatting>
  <conditionalFormatting sqref="O37:R37">
    <cfRule type="expression" dxfId="140" priority="774">
      <formula>O12&lt;&gt;""</formula>
    </cfRule>
  </conditionalFormatting>
  <conditionalFormatting sqref="O39:R39">
    <cfRule type="expression" dxfId="139" priority="773">
      <formula>O12&lt;&gt;""</formula>
    </cfRule>
  </conditionalFormatting>
  <conditionalFormatting sqref="O41:R41">
    <cfRule type="expression" dxfId="138" priority="772">
      <formula>O12&lt;&gt;""</formula>
    </cfRule>
  </conditionalFormatting>
  <conditionalFormatting sqref="O43:R43">
    <cfRule type="expression" dxfId="137" priority="771">
      <formula>O12&lt;&gt;""</formula>
    </cfRule>
  </conditionalFormatting>
  <conditionalFormatting sqref="O45:R45">
    <cfRule type="expression" dxfId="136" priority="769">
      <formula>O12&lt;&gt;""</formula>
    </cfRule>
  </conditionalFormatting>
  <conditionalFormatting sqref="O47:R47">
    <cfRule type="expression" dxfId="135" priority="768">
      <formula>O12&lt;&gt;""</formula>
    </cfRule>
  </conditionalFormatting>
  <conditionalFormatting sqref="O49:R49">
    <cfRule type="expression" dxfId="134" priority="767">
      <formula>O12&lt;&gt;""</formula>
    </cfRule>
  </conditionalFormatting>
  <conditionalFormatting sqref="O51:R51">
    <cfRule type="expression" dxfId="133" priority="766">
      <formula>O12&lt;&gt;""</formula>
    </cfRule>
  </conditionalFormatting>
  <conditionalFormatting sqref="O12:W12">
    <cfRule type="expression" dxfId="132" priority="619">
      <formula>O12&lt;&gt;""</formula>
    </cfRule>
  </conditionalFormatting>
  <conditionalFormatting sqref="O18:W18">
    <cfRule type="expression" dxfId="131" priority="613">
      <formula>O18&lt;&gt;""</formula>
    </cfRule>
  </conditionalFormatting>
  <conditionalFormatting sqref="Q21:R22 F21:H24 T21:W24 O23:R24 Q26:R26 T26:W26 O28:R28 T28:W28 O30:R30 T30:W30 O32:R32 T32:W32 O34:R34 T34:W34 O37:R37 T37:W37 O39:R39 T39:W39 O41:R41 T41:W41 O43:R43 T43:W43 O45:R45 T45:W45 O47:R47 T47:W47 O49:R49 T49:W49 O51:R51 T51:W51">
    <cfRule type="expression" dxfId="130" priority="1113">
      <formula>F21="Not Met"</formula>
    </cfRule>
  </conditionalFormatting>
  <conditionalFormatting sqref="S13:S17">
    <cfRule type="expression" dxfId="129" priority="438">
      <formula>S13&lt;&gt;""</formula>
    </cfRule>
  </conditionalFormatting>
  <conditionalFormatting sqref="S19">
    <cfRule type="expression" dxfId="128" priority="681">
      <formula>T12&lt;&gt;""</formula>
    </cfRule>
  </conditionalFormatting>
  <conditionalFormatting sqref="S20">
    <cfRule type="expression" dxfId="127" priority="680">
      <formula>T12&lt;&gt;""</formula>
    </cfRule>
  </conditionalFormatting>
  <conditionalFormatting sqref="S21">
    <cfRule type="expression" dxfId="126" priority="679">
      <formula>T12&lt;&gt;""</formula>
    </cfRule>
  </conditionalFormatting>
  <conditionalFormatting sqref="S22">
    <cfRule type="expression" dxfId="125" priority="678">
      <formula>T12&lt;&gt;""</formula>
    </cfRule>
  </conditionalFormatting>
  <conditionalFormatting sqref="S23">
    <cfRule type="expression" dxfId="124" priority="677">
      <formula>T12&lt;&gt;""</formula>
    </cfRule>
  </conditionalFormatting>
  <conditionalFormatting sqref="S24">
    <cfRule type="expression" dxfId="123" priority="676">
      <formula>T12&lt;&gt;""</formula>
    </cfRule>
  </conditionalFormatting>
  <conditionalFormatting sqref="S25">
    <cfRule type="expression" dxfId="122" priority="675">
      <formula>S25&lt;&gt;""</formula>
    </cfRule>
  </conditionalFormatting>
  <conditionalFormatting sqref="S26">
    <cfRule type="expression" dxfId="121" priority="674">
      <formula>T12&lt;&gt;""</formula>
    </cfRule>
  </conditionalFormatting>
  <conditionalFormatting sqref="S27">
    <cfRule type="expression" dxfId="120" priority="672">
      <formula>S27&lt;&gt;""</formula>
    </cfRule>
  </conditionalFormatting>
  <conditionalFormatting sqref="S28">
    <cfRule type="expression" dxfId="119" priority="673">
      <formula>T12&lt;&gt;""</formula>
    </cfRule>
  </conditionalFormatting>
  <conditionalFormatting sqref="S29">
    <cfRule type="expression" dxfId="118" priority="671">
      <formula>S29&lt;&gt;""</formula>
    </cfRule>
  </conditionalFormatting>
  <conditionalFormatting sqref="S30">
    <cfRule type="expression" dxfId="117" priority="670">
      <formula>T12&lt;&gt;""</formula>
    </cfRule>
  </conditionalFormatting>
  <conditionalFormatting sqref="S31">
    <cfRule type="expression" dxfId="116" priority="669">
      <formula>S31&lt;&gt;""</formula>
    </cfRule>
  </conditionalFormatting>
  <conditionalFormatting sqref="S32">
    <cfRule type="expression" dxfId="115" priority="668">
      <formula>T12&lt;&gt;""</formula>
    </cfRule>
  </conditionalFormatting>
  <conditionalFormatting sqref="S33">
    <cfRule type="expression" dxfId="114" priority="667">
      <formula>S33&lt;&gt;""</formula>
    </cfRule>
  </conditionalFormatting>
  <conditionalFormatting sqref="S34">
    <cfRule type="expression" dxfId="113" priority="666">
      <formula>T12&lt;&gt;""</formula>
    </cfRule>
  </conditionalFormatting>
  <conditionalFormatting sqref="S35">
    <cfRule type="expression" dxfId="112" priority="665">
      <formula>S35&lt;&gt;""</formula>
    </cfRule>
  </conditionalFormatting>
  <conditionalFormatting sqref="S37">
    <cfRule type="expression" dxfId="111" priority="664">
      <formula>T12&lt;&gt;""</formula>
    </cfRule>
  </conditionalFormatting>
  <conditionalFormatting sqref="S38">
    <cfRule type="expression" dxfId="110" priority="663">
      <formula>S38&lt;&gt;""</formula>
    </cfRule>
  </conditionalFormatting>
  <conditionalFormatting sqref="S39">
    <cfRule type="expression" dxfId="109" priority="662">
      <formula>T12&lt;&gt;""</formula>
    </cfRule>
  </conditionalFormatting>
  <conditionalFormatting sqref="S40">
    <cfRule type="expression" dxfId="108" priority="661">
      <formula>S40&lt;&gt;""</formula>
    </cfRule>
  </conditionalFormatting>
  <conditionalFormatting sqref="S41">
    <cfRule type="expression" dxfId="107" priority="660">
      <formula>T12&lt;&gt;""</formula>
    </cfRule>
  </conditionalFormatting>
  <conditionalFormatting sqref="S42">
    <cfRule type="expression" dxfId="106" priority="659">
      <formula>S42&lt;&gt;""</formula>
    </cfRule>
  </conditionalFormatting>
  <conditionalFormatting sqref="S43">
    <cfRule type="expression" dxfId="105" priority="658">
      <formula>T12&lt;&gt;""</formula>
    </cfRule>
  </conditionalFormatting>
  <conditionalFormatting sqref="S44">
    <cfRule type="expression" dxfId="104" priority="657">
      <formula>S44&lt;&gt;""</formula>
    </cfRule>
  </conditionalFormatting>
  <conditionalFormatting sqref="S45">
    <cfRule type="expression" dxfId="103" priority="654">
      <formula>T12&lt;&gt;""</formula>
    </cfRule>
  </conditionalFormatting>
  <conditionalFormatting sqref="S46">
    <cfRule type="expression" dxfId="102" priority="647">
      <formula>S46&lt;&gt;""</formula>
    </cfRule>
  </conditionalFormatting>
  <conditionalFormatting sqref="S47">
    <cfRule type="expression" dxfId="101" priority="653">
      <formula>T12&lt;&gt;""</formula>
    </cfRule>
  </conditionalFormatting>
  <conditionalFormatting sqref="S48">
    <cfRule type="expression" dxfId="100" priority="652">
      <formula>S48&lt;&gt;""</formula>
    </cfRule>
  </conditionalFormatting>
  <conditionalFormatting sqref="S49">
    <cfRule type="expression" dxfId="99" priority="651">
      <formula>T12&lt;&gt;""</formula>
    </cfRule>
  </conditionalFormatting>
  <conditionalFormatting sqref="S50">
    <cfRule type="expression" dxfId="98" priority="650">
      <formula>S50&lt;&gt;""</formula>
    </cfRule>
  </conditionalFormatting>
  <conditionalFormatting sqref="S51">
    <cfRule type="expression" dxfId="97" priority="649">
      <formula>T12&lt;&gt;""</formula>
    </cfRule>
  </conditionalFormatting>
  <conditionalFormatting sqref="S52">
    <cfRule type="expression" dxfId="96" priority="648">
      <formula>S52&lt;&gt;""</formula>
    </cfRule>
  </conditionalFormatting>
  <conditionalFormatting sqref="T55:V55">
    <cfRule type="expression" dxfId="95" priority="2">
      <formula>$T$55&lt;&gt;""</formula>
    </cfRule>
  </conditionalFormatting>
  <conditionalFormatting sqref="T11:W11">
    <cfRule type="expression" dxfId="94" priority="684">
      <formula>T12&lt;&gt;""</formula>
    </cfRule>
  </conditionalFormatting>
  <conditionalFormatting sqref="T13:W13">
    <cfRule type="expression" dxfId="93" priority="618">
      <formula>T12&lt;&gt;""</formula>
    </cfRule>
  </conditionalFormatting>
  <conditionalFormatting sqref="T14:W14">
    <cfRule type="expression" dxfId="92" priority="617">
      <formula>T12&lt;&gt;""</formula>
    </cfRule>
  </conditionalFormatting>
  <conditionalFormatting sqref="T15:W15">
    <cfRule type="expression" dxfId="91" priority="616">
      <formula>T12&lt;&gt;""</formula>
    </cfRule>
  </conditionalFormatting>
  <conditionalFormatting sqref="T16:W16">
    <cfRule type="expression" dxfId="90" priority="615">
      <formula>T12&lt;&gt;""</formula>
    </cfRule>
  </conditionalFormatting>
  <conditionalFormatting sqref="T17:W17">
    <cfRule type="expression" dxfId="89" priority="614">
      <formula>T12&lt;&gt;""</formula>
    </cfRule>
  </conditionalFormatting>
  <conditionalFormatting sqref="T19:W19">
    <cfRule type="expression" dxfId="88" priority="612">
      <formula>T12&lt;&gt;""</formula>
    </cfRule>
  </conditionalFormatting>
  <conditionalFormatting sqref="T20:W20">
    <cfRule type="expression" dxfId="87" priority="611">
      <formula>T12&lt;&gt;""</formula>
    </cfRule>
  </conditionalFormatting>
  <conditionalFormatting sqref="T21:W21">
    <cfRule type="expression" dxfId="86" priority="610">
      <formula>T12&lt;&gt;""</formula>
    </cfRule>
  </conditionalFormatting>
  <conditionalFormatting sqref="T22:W22">
    <cfRule type="expression" dxfId="85" priority="609">
      <formula>T12&lt;&gt;""</formula>
    </cfRule>
  </conditionalFormatting>
  <conditionalFormatting sqref="T23:W23">
    <cfRule type="expression" dxfId="84" priority="608">
      <formula>T12&lt;&gt;""</formula>
    </cfRule>
  </conditionalFormatting>
  <conditionalFormatting sqref="T24:W24">
    <cfRule type="expression" dxfId="83" priority="607">
      <formula>T12&lt;&gt;""</formula>
    </cfRule>
  </conditionalFormatting>
  <conditionalFormatting sqref="T26:W26">
    <cfRule type="expression" dxfId="82" priority="606">
      <formula>T12&lt;&gt;""</formula>
    </cfRule>
  </conditionalFormatting>
  <conditionalFormatting sqref="T28:W28">
    <cfRule type="expression" dxfId="81" priority="605">
      <formula>T12&lt;&gt;""</formula>
    </cfRule>
  </conditionalFormatting>
  <conditionalFormatting sqref="T30:W30">
    <cfRule type="expression" dxfId="80" priority="604">
      <formula>T12&lt;&gt;""</formula>
    </cfRule>
  </conditionalFormatting>
  <conditionalFormatting sqref="T32:W32">
    <cfRule type="expression" dxfId="79" priority="603">
      <formula>T12&lt;&gt;""</formula>
    </cfRule>
  </conditionalFormatting>
  <conditionalFormatting sqref="T34:W34">
    <cfRule type="expression" dxfId="78" priority="602">
      <formula>T12&lt;&gt;""</formula>
    </cfRule>
  </conditionalFormatting>
  <conditionalFormatting sqref="T37:W37">
    <cfRule type="expression" dxfId="77" priority="601">
      <formula>T12&lt;&gt;""</formula>
    </cfRule>
  </conditionalFormatting>
  <conditionalFormatting sqref="T39:W39">
    <cfRule type="expression" dxfId="76" priority="600">
      <formula>T12&lt;&gt;""</formula>
    </cfRule>
  </conditionalFormatting>
  <conditionalFormatting sqref="T41:W41">
    <cfRule type="expression" dxfId="75" priority="599">
      <formula>T12&lt;&gt;""</formula>
    </cfRule>
  </conditionalFormatting>
  <conditionalFormatting sqref="T43:W43">
    <cfRule type="expression" dxfId="74" priority="598">
      <formula>T12&lt;&gt;""</formula>
    </cfRule>
  </conditionalFormatting>
  <conditionalFormatting sqref="T45:W45">
    <cfRule type="expression" dxfId="73" priority="596">
      <formula>T12&lt;&gt;""</formula>
    </cfRule>
  </conditionalFormatting>
  <conditionalFormatting sqref="T47:W47">
    <cfRule type="expression" dxfId="72" priority="595">
      <formula>T12&lt;&gt;""</formula>
    </cfRule>
  </conditionalFormatting>
  <conditionalFormatting sqref="T49:W49">
    <cfRule type="expression" dxfId="71" priority="594">
      <formula>T12&lt;&gt;""</formula>
    </cfRule>
  </conditionalFormatting>
  <conditionalFormatting sqref="T51:W51">
    <cfRule type="expression" dxfId="70" priority="593">
      <formula>T12&lt;&gt;""</formula>
    </cfRule>
  </conditionalFormatting>
  <conditionalFormatting sqref="X13:X17">
    <cfRule type="expression" dxfId="69" priority="437">
      <formula>X13&lt;&gt;""</formula>
    </cfRule>
  </conditionalFormatting>
  <conditionalFormatting sqref="X19">
    <cfRule type="expression" dxfId="68" priority="590">
      <formula>Y12&lt;&gt;""</formula>
    </cfRule>
  </conditionalFormatting>
  <conditionalFormatting sqref="X20">
    <cfRule type="expression" dxfId="67" priority="589">
      <formula>Y12&lt;&gt;""</formula>
    </cfRule>
  </conditionalFormatting>
  <conditionalFormatting sqref="X21">
    <cfRule type="expression" dxfId="66" priority="588">
      <formula>Y12&lt;&gt;""</formula>
    </cfRule>
  </conditionalFormatting>
  <conditionalFormatting sqref="X22">
    <cfRule type="expression" dxfId="65" priority="587">
      <formula>Y12&lt;&gt;""</formula>
    </cfRule>
  </conditionalFormatting>
  <conditionalFormatting sqref="X23">
    <cfRule type="expression" dxfId="64" priority="586">
      <formula>Y12&lt;&gt;""</formula>
    </cfRule>
  </conditionalFormatting>
  <conditionalFormatting sqref="X24">
    <cfRule type="expression" dxfId="63" priority="585">
      <formula>Y12&lt;&gt;""</formula>
    </cfRule>
  </conditionalFormatting>
  <conditionalFormatting sqref="X25">
    <cfRule type="expression" dxfId="62" priority="584">
      <formula>X25&lt;&gt;""</formula>
    </cfRule>
  </conditionalFormatting>
  <conditionalFormatting sqref="X26">
    <cfRule type="expression" dxfId="61" priority="583">
      <formula>Y12&lt;&gt;""</formula>
    </cfRule>
  </conditionalFormatting>
  <conditionalFormatting sqref="X27">
    <cfRule type="expression" dxfId="60" priority="581">
      <formula>X27&lt;&gt;""</formula>
    </cfRule>
  </conditionalFormatting>
  <conditionalFormatting sqref="X28">
    <cfRule type="expression" dxfId="59" priority="582">
      <formula>Y12&lt;&gt;""</formula>
    </cfRule>
  </conditionalFormatting>
  <conditionalFormatting sqref="X29">
    <cfRule type="expression" dxfId="58" priority="580">
      <formula>X29&lt;&gt;""</formula>
    </cfRule>
  </conditionalFormatting>
  <conditionalFormatting sqref="X30">
    <cfRule type="expression" dxfId="57" priority="579">
      <formula>Y12&lt;&gt;""</formula>
    </cfRule>
  </conditionalFormatting>
  <conditionalFormatting sqref="X31">
    <cfRule type="expression" dxfId="56" priority="578">
      <formula>X31&lt;&gt;""</formula>
    </cfRule>
  </conditionalFormatting>
  <conditionalFormatting sqref="X32">
    <cfRule type="expression" dxfId="55" priority="577">
      <formula>Y12&lt;&gt;""</formula>
    </cfRule>
  </conditionalFormatting>
  <conditionalFormatting sqref="X33">
    <cfRule type="expression" dxfId="54" priority="576">
      <formula>X33&lt;&gt;""</formula>
    </cfRule>
  </conditionalFormatting>
  <conditionalFormatting sqref="X34">
    <cfRule type="expression" dxfId="53" priority="575">
      <formula>Y12&lt;&gt;""</formula>
    </cfRule>
  </conditionalFormatting>
  <conditionalFormatting sqref="X35">
    <cfRule type="expression" dxfId="52" priority="574">
      <formula>X35&lt;&gt;""</formula>
    </cfRule>
  </conditionalFormatting>
  <conditionalFormatting sqref="X37">
    <cfRule type="expression" dxfId="51" priority="573">
      <formula>Y12&lt;&gt;""</formula>
    </cfRule>
  </conditionalFormatting>
  <conditionalFormatting sqref="X38">
    <cfRule type="expression" dxfId="50" priority="572">
      <formula>X38&lt;&gt;""</formula>
    </cfRule>
  </conditionalFormatting>
  <conditionalFormatting sqref="X39">
    <cfRule type="expression" dxfId="49" priority="571">
      <formula>Y12&lt;&gt;""</formula>
    </cfRule>
  </conditionalFormatting>
  <conditionalFormatting sqref="X40">
    <cfRule type="expression" dxfId="48" priority="570">
      <formula>X40&lt;&gt;""</formula>
    </cfRule>
  </conditionalFormatting>
  <conditionalFormatting sqref="X41">
    <cfRule type="expression" dxfId="47" priority="569">
      <formula>Y12&lt;&gt;""</formula>
    </cfRule>
  </conditionalFormatting>
  <conditionalFormatting sqref="X42">
    <cfRule type="expression" dxfId="46" priority="568">
      <formula>X42&lt;&gt;""</formula>
    </cfRule>
  </conditionalFormatting>
  <conditionalFormatting sqref="X43">
    <cfRule type="expression" dxfId="45" priority="567">
      <formula>Y12&lt;&gt;""</formula>
    </cfRule>
  </conditionalFormatting>
  <conditionalFormatting sqref="X44">
    <cfRule type="expression" dxfId="44" priority="566">
      <formula>X44&lt;&gt;""</formula>
    </cfRule>
  </conditionalFormatting>
  <conditionalFormatting sqref="X45">
    <cfRule type="expression" dxfId="43" priority="563">
      <formula>Y12&lt;&gt;""</formula>
    </cfRule>
  </conditionalFormatting>
  <conditionalFormatting sqref="X46">
    <cfRule type="expression" dxfId="42" priority="556">
      <formula>X46&lt;&gt;""</formula>
    </cfRule>
  </conditionalFormatting>
  <conditionalFormatting sqref="X47">
    <cfRule type="expression" dxfId="41" priority="562">
      <formula>Y12&lt;&gt;""</formula>
    </cfRule>
  </conditionalFormatting>
  <conditionalFormatting sqref="X48">
    <cfRule type="expression" dxfId="40" priority="561">
      <formula>X48&lt;&gt;""</formula>
    </cfRule>
  </conditionalFormatting>
  <conditionalFormatting sqref="X49">
    <cfRule type="expression" dxfId="39" priority="560">
      <formula>Y12&lt;&gt;""</formula>
    </cfRule>
  </conditionalFormatting>
  <conditionalFormatting sqref="X50">
    <cfRule type="expression" dxfId="38" priority="559">
      <formula>X50&lt;&gt;""</formula>
    </cfRule>
  </conditionalFormatting>
  <conditionalFormatting sqref="X51">
    <cfRule type="expression" dxfId="37" priority="558">
      <formula>Y12&lt;&gt;""</formula>
    </cfRule>
  </conditionalFormatting>
  <conditionalFormatting sqref="X52">
    <cfRule type="expression" dxfId="36" priority="557">
      <formula>X52&lt;&gt;""</formula>
    </cfRule>
  </conditionalFormatting>
  <conditionalFormatting sqref="Y55:AA55">
    <cfRule type="expression" dxfId="35" priority="1">
      <formula>$Y$55&lt;&gt;""</formula>
    </cfRule>
  </conditionalFormatting>
  <conditionalFormatting sqref="Y11:AB11">
    <cfRule type="expression" dxfId="34" priority="439">
      <formula>Y12&lt;&gt;""</formula>
    </cfRule>
  </conditionalFormatting>
  <conditionalFormatting sqref="Y12:AB12">
    <cfRule type="expression" dxfId="33" priority="466">
      <formula>Y12&lt;&gt;""</formula>
    </cfRule>
  </conditionalFormatting>
  <conditionalFormatting sqref="Y13:AB13">
    <cfRule type="expression" dxfId="32" priority="465">
      <formula>Y12&lt;&gt;""</formula>
    </cfRule>
  </conditionalFormatting>
  <conditionalFormatting sqref="Y14:AB14">
    <cfRule type="expression" dxfId="31" priority="464">
      <formula>Y12&lt;&gt;""</formula>
    </cfRule>
  </conditionalFormatting>
  <conditionalFormatting sqref="Y15:AB15">
    <cfRule type="expression" dxfId="30" priority="463">
      <formula>Y12&lt;&gt;""</formula>
    </cfRule>
  </conditionalFormatting>
  <conditionalFormatting sqref="Y16:AB16">
    <cfRule type="expression" dxfId="29" priority="462">
      <formula>Y12&lt;&gt;""</formula>
    </cfRule>
  </conditionalFormatting>
  <conditionalFormatting sqref="Y17:AB17">
    <cfRule type="expression" dxfId="28" priority="461">
      <formula>Y12&lt;&gt;""</formula>
    </cfRule>
  </conditionalFormatting>
  <conditionalFormatting sqref="Y18:AB18">
    <cfRule type="expression" dxfId="27" priority="460">
      <formula>Y18&lt;&gt;""</formula>
    </cfRule>
  </conditionalFormatting>
  <conditionalFormatting sqref="Y19:AB19">
    <cfRule type="expression" dxfId="26" priority="459">
      <formula>Y12&lt;&gt;""</formula>
    </cfRule>
  </conditionalFormatting>
  <conditionalFormatting sqref="Y20:AB20">
    <cfRule type="expression" dxfId="25" priority="458">
      <formula>Y12&lt;&gt;""</formula>
    </cfRule>
  </conditionalFormatting>
  <conditionalFormatting sqref="Y21:AB21">
    <cfRule type="expression" dxfId="24" priority="457">
      <formula>Y12&lt;&gt;""</formula>
    </cfRule>
  </conditionalFormatting>
  <conditionalFormatting sqref="Y21:AB24 Y26:AB26 Y28:AB28 Y30:AB30 Y32:AB32 Y34:AB34 Y37:AB37 Y39:AB39 Y41:AB41 Y43:AB43 Y45:AB45 Y47:AB47 Y49:AB49 Y51:AB51">
    <cfRule type="expression" dxfId="23" priority="550">
      <formula>Y21="Not Met"</formula>
    </cfRule>
    <cfRule type="expression" dxfId="22" priority="549">
      <formula>Y21="Met"</formula>
    </cfRule>
  </conditionalFormatting>
  <conditionalFormatting sqref="Y22:AB22">
    <cfRule type="expression" dxfId="21" priority="456">
      <formula>Y12&lt;&gt;""</formula>
    </cfRule>
  </conditionalFormatting>
  <conditionalFormatting sqref="Y23:AB23">
    <cfRule type="expression" dxfId="20" priority="455">
      <formula>Y12&lt;&gt;""</formula>
    </cfRule>
  </conditionalFormatting>
  <conditionalFormatting sqref="Y24:AB24">
    <cfRule type="expression" dxfId="19" priority="454">
      <formula>Y12&lt;&gt;""</formula>
    </cfRule>
  </conditionalFormatting>
  <conditionalFormatting sqref="Y25:AB25 Y31:AB31 Y33:AB33 Y35:AB35">
    <cfRule type="expression" dxfId="18" priority="552">
      <formula>Y25&lt;&gt;""</formula>
    </cfRule>
    <cfRule type="expression" dxfId="17" priority="553">
      <formula>Y24="Not Met"</formula>
    </cfRule>
  </conditionalFormatting>
  <conditionalFormatting sqref="Y26:AB26">
    <cfRule type="expression" dxfId="16" priority="453">
      <formula>Y12&lt;&gt;""</formula>
    </cfRule>
  </conditionalFormatting>
  <conditionalFormatting sqref="Y27:AB27">
    <cfRule type="expression" dxfId="15" priority="551">
      <formula>Y27&lt;&gt;""</formula>
    </cfRule>
  </conditionalFormatting>
  <conditionalFormatting sqref="Y28:AB28">
    <cfRule type="expression" dxfId="14" priority="452">
      <formula>Y12&lt;&gt;""</formula>
    </cfRule>
  </conditionalFormatting>
  <conditionalFormatting sqref="Y29:AB29 Y38:AB38 Y40:AB40 Y42:AB42 Y44:AB44 Y46:AB46 Y48:AB48 Y50:AB50 Y52:AB52 Y27:AB27">
    <cfRule type="expression" dxfId="13" priority="555">
      <formula>Y26="Not Met"</formula>
    </cfRule>
  </conditionalFormatting>
  <conditionalFormatting sqref="Y29:AB29 Y38:AB38 Y40:AB40 Y42:AB42 Y44:AB44 Y46:AB46 Y48:AB48 Y50:AB50 Y52:AB52">
    <cfRule type="expression" dxfId="12" priority="554">
      <formula>Y29&lt;&gt;""</formula>
    </cfRule>
  </conditionalFormatting>
  <conditionalFormatting sqref="Y30:AB30">
    <cfRule type="expression" dxfId="11" priority="451">
      <formula>Y12&lt;&gt;""</formula>
    </cfRule>
  </conditionalFormatting>
  <conditionalFormatting sqref="Y32:AB32">
    <cfRule type="expression" dxfId="10" priority="450">
      <formula>Y12&lt;&gt;""</formula>
    </cfRule>
  </conditionalFormatting>
  <conditionalFormatting sqref="Y34:AB34">
    <cfRule type="expression" dxfId="9" priority="449">
      <formula>Y12&lt;&gt;""</formula>
    </cfRule>
  </conditionalFormatting>
  <conditionalFormatting sqref="Y36:AB36">
    <cfRule type="expression" dxfId="8" priority="548">
      <formula>Y$402&lt;&gt;""</formula>
    </cfRule>
  </conditionalFormatting>
  <conditionalFormatting sqref="Y37:AB37">
    <cfRule type="expression" dxfId="7" priority="448">
      <formula>Y12&lt;&gt;""</formula>
    </cfRule>
  </conditionalFormatting>
  <conditionalFormatting sqref="Y39:AB39">
    <cfRule type="expression" dxfId="6" priority="447">
      <formula>Y12&lt;&gt;""</formula>
    </cfRule>
  </conditionalFormatting>
  <conditionalFormatting sqref="Y41:AB41">
    <cfRule type="expression" dxfId="5" priority="446">
      <formula>Y12&lt;&gt;""</formula>
    </cfRule>
  </conditionalFormatting>
  <conditionalFormatting sqref="Y43:AB43">
    <cfRule type="expression" dxfId="4" priority="445">
      <formula>Y12&lt;&gt;""</formula>
    </cfRule>
  </conditionalFormatting>
  <conditionalFormatting sqref="Y45:AB45">
    <cfRule type="expression" dxfId="3" priority="443">
      <formula>Y12&lt;&gt;""</formula>
    </cfRule>
  </conditionalFormatting>
  <conditionalFormatting sqref="Y47:AB47">
    <cfRule type="expression" dxfId="2" priority="442">
      <formula>Y12&lt;&gt;""</formula>
    </cfRule>
  </conditionalFormatting>
  <conditionalFormatting sqref="Y49:AB49">
    <cfRule type="expression" dxfId="1" priority="441">
      <formula>Y12&lt;&gt;""</formula>
    </cfRule>
  </conditionalFormatting>
  <conditionalFormatting sqref="Y51:AB51">
    <cfRule type="expression" dxfId="0" priority="440">
      <formula>Y12&lt;&gt;""</formula>
    </cfRule>
  </conditionalFormatting>
  <dataValidations count="2">
    <dataValidation type="list" allowBlank="1" showInputMessage="1" showErrorMessage="1" sqref="F19:M20 O19:R20 T19:W20 Y19:AB20 F66:M67 F113:M114" xr:uid="{00000000-0002-0000-0200-000009000000}">
      <formula1>"Yes, No"</formula1>
    </dataValidation>
    <dataValidation type="list" allowBlank="1" showInputMessage="1" showErrorMessage="1" sqref="T26:W26 T49:W49 T21:W24 T47:W47 T41:W41 T45:W45 T39:W39 T30:W30 T32:W32 T28:W28 T51:W51 T37:W37 T34:W34 F51:M51 F28:M28 F32:M32 F30:M30 F39:M39 F21:M24 F45:M45 F41:M41 F47:M47 F49:M49 F26:M26 F43:M43 F34:M34 F37:M37 O28:R28 O32:R32 O30:R30 O21:R24 O26:R26 O34:R34 O37:R37 O51:R51 O39:R39 O45:R45 O41:R41 O47:R47 O49:R49 O43:R43 T43:W43 Y26:AB26 Y49:AB49 Y21:AB24 Y47:AB47 Y41:AB41 Y45:AB45 Y39:AB39 Y30:AB30 Y32:AB32 Y28:AB28 Y51:AB51 Y37:AB37 Y34:AB34 Y43:AB43 F98:M98 F75:M75 F79:M79 F77:M77 F86:M86 F68:M71 F92:M92 F88:M88 F94:M94 F96:M96 F73:M73 F90:M90 F81:M81 F84:M84 F145:M145 F122:M122 F126:M126 F124:M124 F133:M133 F115:M118 F139:M139 F135:M135 F141:M141 F143:M143 F120:M120 F137:M137 F128:M128 F131:M131" xr:uid="{00000000-0002-0000-0200-000000000000}">
      <formula1>"Met, Not Met"</formula1>
    </dataValidation>
  </dataValidations>
  <pageMargins left="0.7" right="0.7" top="0.75" bottom="0.75" header="0.3" footer="0.3"/>
  <pageSetup scale="51" orientation="portrait" r:id="rId1"/>
  <rowBreaks count="1" manualBreakCount="1">
    <brk id="9"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5" tint="0.39997558519241921"/>
    <pageSetUpPr fitToPage="1"/>
  </sheetPr>
  <dimension ref="B2:M55"/>
  <sheetViews>
    <sheetView showGridLines="0" zoomScaleNormal="100" workbookViewId="0">
      <selection activeCell="B7" sqref="B6:K20"/>
    </sheetView>
  </sheetViews>
  <sheetFormatPr defaultColWidth="9.125" defaultRowHeight="14.25"/>
  <cols>
    <col min="1" max="1" width="3.625" customWidth="1"/>
    <col min="2" max="2" width="15.125" customWidth="1"/>
    <col min="3" max="8" width="15.625" customWidth="1"/>
    <col min="9" max="9" width="16.5" customWidth="1"/>
    <col min="10" max="10" width="17" customWidth="1"/>
    <col min="11" max="11" width="15.625" customWidth="1"/>
  </cols>
  <sheetData>
    <row r="2" spans="2:13" ht="100.5" customHeight="1">
      <c r="B2" s="38"/>
      <c r="C2" s="39"/>
      <c r="D2" s="39" t="s">
        <v>521</v>
      </c>
      <c r="E2" s="39"/>
      <c r="F2" s="39"/>
      <c r="G2" s="39"/>
      <c r="H2" s="39"/>
      <c r="I2" s="39"/>
      <c r="J2" s="39"/>
      <c r="K2" s="40"/>
      <c r="M2" s="21"/>
    </row>
    <row r="3" spans="2:13" ht="18">
      <c r="B3" s="10" t="e">
        <f>#REF!</f>
        <v>#REF!</v>
      </c>
      <c r="C3" s="831" t="e">
        <f>#REF!</f>
        <v>#REF!</v>
      </c>
      <c r="D3" s="831"/>
      <c r="E3" s="831"/>
      <c r="F3" s="831"/>
      <c r="G3" s="831"/>
      <c r="H3" s="831"/>
      <c r="I3" s="831"/>
      <c r="J3" s="831"/>
      <c r="K3" s="832"/>
    </row>
    <row r="4" spans="2:13" ht="34.5" customHeight="1">
      <c r="B4" s="833" t="s">
        <v>19</v>
      </c>
      <c r="C4" s="834"/>
      <c r="D4" s="834"/>
      <c r="E4" s="834"/>
      <c r="F4" s="834"/>
      <c r="G4" s="834"/>
      <c r="H4" s="834"/>
      <c r="I4" s="834"/>
      <c r="J4" s="834"/>
      <c r="K4" s="835"/>
    </row>
    <row r="6" spans="2:13" s="135" customFormat="1" ht="42" customHeight="1">
      <c r="B6" s="828" t="s">
        <v>527</v>
      </c>
      <c r="C6" s="829"/>
      <c r="D6" s="829"/>
      <c r="E6" s="829"/>
      <c r="F6" s="829"/>
      <c r="G6" s="829"/>
      <c r="H6" s="829"/>
      <c r="I6" s="829"/>
      <c r="J6" s="829"/>
      <c r="K6" s="830"/>
    </row>
    <row r="7" spans="2:13" ht="18.75" customHeight="1">
      <c r="B7" s="844" t="s">
        <v>522</v>
      </c>
      <c r="C7" s="845"/>
      <c r="D7" s="845"/>
      <c r="E7" s="845"/>
      <c r="F7" s="845"/>
      <c r="G7" s="845"/>
      <c r="H7" s="845"/>
      <c r="I7" s="845"/>
      <c r="J7" s="845"/>
      <c r="K7" s="846"/>
    </row>
    <row r="8" spans="2:13" ht="22.5" customHeight="1">
      <c r="B8" s="844"/>
      <c r="C8" s="845"/>
      <c r="D8" s="845"/>
      <c r="E8" s="845"/>
      <c r="F8" s="845"/>
      <c r="G8" s="845"/>
      <c r="H8" s="845"/>
      <c r="I8" s="845"/>
      <c r="J8" s="845"/>
      <c r="K8" s="846"/>
    </row>
    <row r="9" spans="2:13">
      <c r="B9" s="844"/>
      <c r="C9" s="845"/>
      <c r="D9" s="845"/>
      <c r="E9" s="845"/>
      <c r="F9" s="845"/>
      <c r="G9" s="845"/>
      <c r="H9" s="845"/>
      <c r="I9" s="845"/>
      <c r="J9" s="845"/>
      <c r="K9" s="846"/>
    </row>
    <row r="10" spans="2:13" ht="39" customHeight="1">
      <c r="B10" s="844"/>
      <c r="C10" s="845"/>
      <c r="D10" s="845"/>
      <c r="E10" s="845"/>
      <c r="F10" s="845"/>
      <c r="G10" s="845"/>
      <c r="H10" s="845"/>
      <c r="I10" s="845"/>
      <c r="J10" s="845"/>
      <c r="K10" s="846"/>
    </row>
    <row r="11" spans="2:13">
      <c r="B11" s="844"/>
      <c r="C11" s="845"/>
      <c r="D11" s="845"/>
      <c r="E11" s="845"/>
      <c r="F11" s="845"/>
      <c r="G11" s="845"/>
      <c r="H11" s="845"/>
      <c r="I11" s="845"/>
      <c r="J11" s="845"/>
      <c r="K11" s="846"/>
    </row>
    <row r="12" spans="2:13" ht="18.75" customHeight="1">
      <c r="B12" s="844"/>
      <c r="C12" s="845"/>
      <c r="D12" s="845"/>
      <c r="E12" s="845"/>
      <c r="F12" s="845"/>
      <c r="G12" s="845"/>
      <c r="H12" s="845"/>
      <c r="I12" s="845"/>
      <c r="J12" s="845"/>
      <c r="K12" s="846"/>
    </row>
    <row r="13" spans="2:13">
      <c r="B13" s="844"/>
      <c r="C13" s="845"/>
      <c r="D13" s="845"/>
      <c r="E13" s="845"/>
      <c r="F13" s="845"/>
      <c r="G13" s="845"/>
      <c r="H13" s="845"/>
      <c r="I13" s="845"/>
      <c r="J13" s="845"/>
      <c r="K13" s="846"/>
    </row>
    <row r="14" spans="2:13" ht="39" customHeight="1">
      <c r="B14" s="844"/>
      <c r="C14" s="845"/>
      <c r="D14" s="845"/>
      <c r="E14" s="845"/>
      <c r="F14" s="845"/>
      <c r="G14" s="845"/>
      <c r="H14" s="845"/>
      <c r="I14" s="845"/>
      <c r="J14" s="845"/>
      <c r="K14" s="846"/>
    </row>
    <row r="15" spans="2:13">
      <c r="B15" s="844"/>
      <c r="C15" s="845"/>
      <c r="D15" s="845"/>
      <c r="E15" s="845"/>
      <c r="F15" s="845"/>
      <c r="G15" s="845"/>
      <c r="H15" s="845"/>
      <c r="I15" s="845"/>
      <c r="J15" s="845"/>
      <c r="K15" s="846"/>
    </row>
    <row r="16" spans="2:13" ht="18.75" customHeight="1">
      <c r="B16" s="844"/>
      <c r="C16" s="845"/>
      <c r="D16" s="845"/>
      <c r="E16" s="845"/>
      <c r="F16" s="845"/>
      <c r="G16" s="845"/>
      <c r="H16" s="845"/>
      <c r="I16" s="845"/>
      <c r="J16" s="845"/>
      <c r="K16" s="846"/>
    </row>
    <row r="17" spans="2:12" ht="21" customHeight="1">
      <c r="B17" s="844"/>
      <c r="C17" s="845"/>
      <c r="D17" s="845"/>
      <c r="E17" s="845"/>
      <c r="F17" s="845"/>
      <c r="G17" s="845"/>
      <c r="H17" s="845"/>
      <c r="I17" s="845"/>
      <c r="J17" s="845"/>
      <c r="K17" s="846"/>
    </row>
    <row r="18" spans="2:12" ht="32.25" customHeight="1">
      <c r="B18" s="844"/>
      <c r="C18" s="845"/>
      <c r="D18" s="845"/>
      <c r="E18" s="845"/>
      <c r="F18" s="845"/>
      <c r="G18" s="845"/>
      <c r="H18" s="845"/>
      <c r="I18" s="845"/>
      <c r="J18" s="845"/>
      <c r="K18" s="846"/>
      <c r="L18" s="136"/>
    </row>
    <row r="19" spans="2:12">
      <c r="B19" s="844"/>
      <c r="C19" s="845"/>
      <c r="D19" s="845"/>
      <c r="E19" s="845"/>
      <c r="F19" s="845"/>
      <c r="G19" s="845"/>
      <c r="H19" s="845"/>
      <c r="I19" s="845"/>
      <c r="J19" s="845"/>
      <c r="K19" s="846"/>
    </row>
    <row r="20" spans="2:12" ht="18.75" customHeight="1">
      <c r="B20" s="844"/>
      <c r="C20" s="845"/>
      <c r="D20" s="845"/>
      <c r="E20" s="845"/>
      <c r="F20" s="845"/>
      <c r="G20" s="845"/>
      <c r="H20" s="845"/>
      <c r="I20" s="845"/>
      <c r="J20" s="845"/>
      <c r="K20" s="846"/>
    </row>
    <row r="21" spans="2:12">
      <c r="B21" s="137"/>
      <c r="C21" s="138"/>
      <c r="D21" s="138"/>
      <c r="E21" s="138"/>
      <c r="F21" s="138"/>
      <c r="G21" s="138"/>
      <c r="H21" s="138"/>
      <c r="I21" s="138"/>
      <c r="J21" s="138"/>
      <c r="K21" s="139"/>
    </row>
    <row r="23" spans="2:12" ht="10.5" customHeight="1">
      <c r="B23" s="140"/>
      <c r="C23" s="141"/>
      <c r="D23" s="141"/>
      <c r="E23" s="141"/>
      <c r="F23" s="141"/>
      <c r="G23" s="141"/>
      <c r="H23" s="141"/>
      <c r="I23" s="141"/>
      <c r="J23" s="141"/>
      <c r="K23" s="142"/>
    </row>
    <row r="24" spans="2:12" ht="18.75" customHeight="1">
      <c r="B24" s="839" t="s">
        <v>530</v>
      </c>
      <c r="C24" s="840"/>
      <c r="D24" s="840"/>
      <c r="E24" s="840"/>
      <c r="F24" s="840"/>
      <c r="G24" s="840"/>
      <c r="H24" s="840"/>
      <c r="I24" s="840"/>
      <c r="J24" s="840"/>
      <c r="K24" s="841"/>
    </row>
    <row r="25" spans="2:12" ht="5.25" customHeight="1">
      <c r="B25" s="143"/>
      <c r="C25" s="144"/>
      <c r="D25" s="144"/>
      <c r="E25" s="144"/>
      <c r="F25" s="144"/>
      <c r="G25" s="144"/>
      <c r="H25" s="144"/>
      <c r="I25" s="144"/>
      <c r="J25" s="144"/>
      <c r="K25" s="145"/>
    </row>
    <row r="26" spans="2:12" ht="235.5" customHeight="1">
      <c r="B26" s="836" t="s">
        <v>523</v>
      </c>
      <c r="C26" s="837"/>
      <c r="D26" s="837"/>
      <c r="E26" s="837"/>
      <c r="F26" s="837"/>
      <c r="G26" s="837"/>
      <c r="H26" s="837"/>
      <c r="I26" s="837"/>
      <c r="J26" s="837"/>
      <c r="K26" s="838"/>
    </row>
    <row r="27" spans="2:12" ht="6" customHeight="1">
      <c r="B27" s="143"/>
      <c r="C27" s="144"/>
      <c r="D27" s="144"/>
      <c r="E27" s="144"/>
      <c r="F27" s="144"/>
      <c r="G27" s="144"/>
      <c r="H27" s="144"/>
      <c r="I27" s="144"/>
      <c r="J27" s="144"/>
      <c r="K27" s="145"/>
    </row>
    <row r="28" spans="2:12" ht="75.75" customHeight="1">
      <c r="B28" s="836" t="s">
        <v>524</v>
      </c>
      <c r="C28" s="842"/>
      <c r="D28" s="842"/>
      <c r="E28" s="842"/>
      <c r="F28" s="842"/>
      <c r="G28" s="842"/>
      <c r="H28" s="842"/>
      <c r="I28" s="842"/>
      <c r="J28" s="842"/>
      <c r="K28" s="843"/>
    </row>
    <row r="29" spans="2:12" ht="16.5" customHeight="1">
      <c r="B29" s="143"/>
      <c r="C29" s="144"/>
      <c r="D29" s="144"/>
      <c r="E29" s="144"/>
      <c r="F29" s="144"/>
      <c r="G29" s="144"/>
      <c r="H29" s="144"/>
      <c r="I29" s="144"/>
      <c r="J29" s="144"/>
      <c r="K29" s="145"/>
    </row>
    <row r="30" spans="2:12" ht="32.25" customHeight="1">
      <c r="B30" s="847" t="s">
        <v>525</v>
      </c>
      <c r="C30" s="848"/>
      <c r="D30" s="848"/>
      <c r="E30" s="848"/>
      <c r="F30" s="848"/>
      <c r="G30" s="848"/>
      <c r="H30" s="848"/>
      <c r="I30" s="848"/>
      <c r="J30" s="848"/>
      <c r="K30" s="849"/>
    </row>
    <row r="31" spans="2:12" ht="3.75" customHeight="1">
      <c r="B31" s="143"/>
      <c r="C31" s="144"/>
      <c r="D31" s="144"/>
      <c r="E31" s="144"/>
      <c r="F31" s="144"/>
      <c r="G31" s="144"/>
      <c r="H31" s="144"/>
      <c r="I31" s="144"/>
      <c r="J31" s="144"/>
      <c r="K31" s="145"/>
    </row>
    <row r="32" spans="2:12" ht="122.25" customHeight="1">
      <c r="B32" s="850" t="s">
        <v>526</v>
      </c>
      <c r="C32" s="851"/>
      <c r="D32" s="851"/>
      <c r="E32" s="851"/>
      <c r="F32" s="851"/>
      <c r="G32" s="851"/>
      <c r="H32" s="851"/>
      <c r="I32" s="851"/>
      <c r="J32" s="851"/>
      <c r="K32" s="852"/>
    </row>
    <row r="34" spans="2:12" s="135" customFormat="1" ht="42" customHeight="1">
      <c r="B34" s="828" t="s">
        <v>528</v>
      </c>
      <c r="C34" s="829"/>
      <c r="D34" s="829"/>
      <c r="E34" s="829"/>
      <c r="F34" s="829"/>
      <c r="G34" s="829"/>
      <c r="H34" s="829"/>
      <c r="I34" s="829"/>
      <c r="J34" s="829"/>
      <c r="K34" s="830"/>
    </row>
    <row r="35" spans="2:12" ht="18.75" customHeight="1">
      <c r="B35" s="853" t="s">
        <v>529</v>
      </c>
      <c r="C35" s="845"/>
      <c r="D35" s="845"/>
      <c r="E35" s="845"/>
      <c r="F35" s="845"/>
      <c r="G35" s="845"/>
      <c r="H35" s="845"/>
      <c r="I35" s="845"/>
      <c r="J35" s="845"/>
      <c r="K35" s="846"/>
    </row>
    <row r="36" spans="2:12" ht="22.5" customHeight="1">
      <c r="B36" s="844"/>
      <c r="C36" s="845"/>
      <c r="D36" s="845"/>
      <c r="E36" s="845"/>
      <c r="F36" s="845"/>
      <c r="G36" s="845"/>
      <c r="H36" s="845"/>
      <c r="I36" s="845"/>
      <c r="J36" s="845"/>
      <c r="K36" s="846"/>
    </row>
    <row r="37" spans="2:12">
      <c r="B37" s="844"/>
      <c r="C37" s="845"/>
      <c r="D37" s="845"/>
      <c r="E37" s="845"/>
      <c r="F37" s="845"/>
      <c r="G37" s="845"/>
      <c r="H37" s="845"/>
      <c r="I37" s="845"/>
      <c r="J37" s="845"/>
      <c r="K37" s="846"/>
    </row>
    <row r="38" spans="2:12" ht="39" customHeight="1">
      <c r="B38" s="844"/>
      <c r="C38" s="845"/>
      <c r="D38" s="845"/>
      <c r="E38" s="845"/>
      <c r="F38" s="845"/>
      <c r="G38" s="845"/>
      <c r="H38" s="845"/>
      <c r="I38" s="845"/>
      <c r="J38" s="845"/>
      <c r="K38" s="846"/>
    </row>
    <row r="39" spans="2:12">
      <c r="B39" s="844"/>
      <c r="C39" s="845"/>
      <c r="D39" s="845"/>
      <c r="E39" s="845"/>
      <c r="F39" s="845"/>
      <c r="G39" s="845"/>
      <c r="H39" s="845"/>
      <c r="I39" s="845"/>
      <c r="J39" s="845"/>
      <c r="K39" s="846"/>
    </row>
    <row r="40" spans="2:12" ht="18.75" customHeight="1">
      <c r="B40" s="844"/>
      <c r="C40" s="845"/>
      <c r="D40" s="845"/>
      <c r="E40" s="845"/>
      <c r="F40" s="845"/>
      <c r="G40" s="845"/>
      <c r="H40" s="845"/>
      <c r="I40" s="845"/>
      <c r="J40" s="845"/>
      <c r="K40" s="846"/>
    </row>
    <row r="41" spans="2:12">
      <c r="B41" s="844"/>
      <c r="C41" s="845"/>
      <c r="D41" s="845"/>
      <c r="E41" s="845"/>
      <c r="F41" s="845"/>
      <c r="G41" s="845"/>
      <c r="H41" s="845"/>
      <c r="I41" s="845"/>
      <c r="J41" s="845"/>
      <c r="K41" s="846"/>
    </row>
    <row r="42" spans="2:12" ht="39" customHeight="1">
      <c r="B42" s="844"/>
      <c r="C42" s="845"/>
      <c r="D42" s="845"/>
      <c r="E42" s="845"/>
      <c r="F42" s="845"/>
      <c r="G42" s="845"/>
      <c r="H42" s="845"/>
      <c r="I42" s="845"/>
      <c r="J42" s="845"/>
      <c r="K42" s="846"/>
    </row>
    <row r="43" spans="2:12" ht="42" customHeight="1">
      <c r="B43" s="844"/>
      <c r="C43" s="845"/>
      <c r="D43" s="845"/>
      <c r="E43" s="845"/>
      <c r="F43" s="845"/>
      <c r="G43" s="845"/>
      <c r="H43" s="845"/>
      <c r="I43" s="845"/>
      <c r="J43" s="845"/>
      <c r="K43" s="846"/>
    </row>
    <row r="44" spans="2:12" ht="18.75" customHeight="1">
      <c r="B44" s="844"/>
      <c r="C44" s="845"/>
      <c r="D44" s="845"/>
      <c r="E44" s="845"/>
      <c r="F44" s="845"/>
      <c r="G44" s="845"/>
      <c r="H44" s="845"/>
      <c r="I44" s="845"/>
      <c r="J44" s="845"/>
      <c r="K44" s="846"/>
    </row>
    <row r="45" spans="2:12" ht="21" customHeight="1">
      <c r="B45" s="844"/>
      <c r="C45" s="845"/>
      <c r="D45" s="845"/>
      <c r="E45" s="845"/>
      <c r="F45" s="845"/>
      <c r="G45" s="845"/>
      <c r="H45" s="845"/>
      <c r="I45" s="845"/>
      <c r="J45" s="845"/>
      <c r="K45" s="846"/>
    </row>
    <row r="46" spans="2:12" ht="32.25" customHeight="1">
      <c r="B46" s="844"/>
      <c r="C46" s="845"/>
      <c r="D46" s="845"/>
      <c r="E46" s="845"/>
      <c r="F46" s="845"/>
      <c r="G46" s="845"/>
      <c r="H46" s="845"/>
      <c r="I46" s="845"/>
      <c r="J46" s="845"/>
      <c r="K46" s="846"/>
      <c r="L46" s="136"/>
    </row>
    <row r="47" spans="2:12" ht="34.5" customHeight="1">
      <c r="B47" s="844"/>
      <c r="C47" s="845"/>
      <c r="D47" s="845"/>
      <c r="E47" s="845"/>
      <c r="F47" s="845"/>
      <c r="G47" s="845"/>
      <c r="H47" s="845"/>
      <c r="I47" s="845"/>
      <c r="J47" s="845"/>
      <c r="K47" s="846"/>
    </row>
    <row r="48" spans="2:12" ht="18.75" customHeight="1">
      <c r="B48" s="844"/>
      <c r="C48" s="845"/>
      <c r="D48" s="845"/>
      <c r="E48" s="845"/>
      <c r="F48" s="845"/>
      <c r="G48" s="845"/>
      <c r="H48" s="845"/>
      <c r="I48" s="845"/>
      <c r="J48" s="845"/>
      <c r="K48" s="846"/>
    </row>
    <row r="49" spans="2:11">
      <c r="B49" s="137"/>
      <c r="C49" s="138"/>
      <c r="D49" s="138"/>
      <c r="E49" s="138"/>
      <c r="F49" s="138"/>
      <c r="G49" s="138"/>
      <c r="H49" s="138"/>
      <c r="I49" s="138"/>
      <c r="J49" s="138"/>
      <c r="K49" s="139"/>
    </row>
    <row r="51" spans="2:11" ht="10.5" customHeight="1">
      <c r="B51" s="140"/>
      <c r="C51" s="141"/>
      <c r="D51" s="141"/>
      <c r="E51" s="141"/>
      <c r="F51" s="141"/>
      <c r="G51" s="141"/>
      <c r="H51" s="141"/>
      <c r="I51" s="141"/>
      <c r="J51" s="141"/>
      <c r="K51" s="142"/>
    </row>
    <row r="52" spans="2:11" ht="18.75" customHeight="1">
      <c r="B52" s="839" t="s">
        <v>531</v>
      </c>
      <c r="C52" s="840"/>
      <c r="D52" s="840"/>
      <c r="E52" s="840"/>
      <c r="F52" s="840"/>
      <c r="G52" s="840"/>
      <c r="H52" s="840"/>
      <c r="I52" s="840"/>
      <c r="J52" s="840"/>
      <c r="K52" s="841"/>
    </row>
    <row r="53" spans="2:11" ht="5.25" customHeight="1">
      <c r="B53" s="143"/>
      <c r="C53" s="144"/>
      <c r="D53" s="144"/>
      <c r="E53" s="144"/>
      <c r="F53" s="144"/>
      <c r="G53" s="144"/>
      <c r="H53" s="144"/>
      <c r="I53" s="144"/>
      <c r="J53" s="144"/>
      <c r="K53" s="145"/>
    </row>
    <row r="54" spans="2:11" ht="207" customHeight="1">
      <c r="B54" s="836" t="s">
        <v>532</v>
      </c>
      <c r="C54" s="837"/>
      <c r="D54" s="837"/>
      <c r="E54" s="837"/>
      <c r="F54" s="837"/>
      <c r="G54" s="837"/>
      <c r="H54" s="837"/>
      <c r="I54" s="837"/>
      <c r="J54" s="837"/>
      <c r="K54" s="838"/>
    </row>
    <row r="55" spans="2:11" ht="6" customHeight="1">
      <c r="B55" s="143"/>
      <c r="C55" s="144"/>
      <c r="D55" s="144"/>
      <c r="E55" s="144"/>
      <c r="F55" s="144"/>
      <c r="G55" s="144"/>
      <c r="H55" s="144"/>
      <c r="I55" s="144"/>
      <c r="J55" s="144"/>
      <c r="K55" s="145"/>
    </row>
  </sheetData>
  <sheetProtection algorithmName="SHA-512" hashValue="PmgRyFGxABSH0yhsuHsKfwW3uVbhs3jCf7+NvsbaglC8EuXoK4B2GDaB1SmbYM20iVIbt2iEJjvxEqi++hplDw==" saltValue="eKBmSqf+3uf3rWo63JK4fw==" spinCount="100000" sheet="1" objects="1" scenarios="1"/>
  <mergeCells count="13">
    <mergeCell ref="B6:K6"/>
    <mergeCell ref="C3:K3"/>
    <mergeCell ref="B4:K4"/>
    <mergeCell ref="B54:K54"/>
    <mergeCell ref="B24:K24"/>
    <mergeCell ref="B26:K26"/>
    <mergeCell ref="B28:K28"/>
    <mergeCell ref="B7:K20"/>
    <mergeCell ref="B30:K30"/>
    <mergeCell ref="B32:K32"/>
    <mergeCell ref="B34:K34"/>
    <mergeCell ref="B35:K48"/>
    <mergeCell ref="B52:K52"/>
  </mergeCells>
  <pageMargins left="0.45" right="0.45" top="0.5" bottom="0.5" header="0.3" footer="0.3"/>
  <pageSetup scale="69" fitToHeight="0" orientation="landscape" r:id="rId1"/>
  <rowBreaks count="1" manualBreakCount="1">
    <brk id="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17</vt:i4>
      </vt:variant>
    </vt:vector>
  </HeadingPairs>
  <TitlesOfParts>
    <vt:vector size="23" baseType="lpstr">
      <vt:lpstr>EA-LoR App</vt:lpstr>
      <vt:lpstr>Cover Page</vt:lpstr>
      <vt:lpstr>SV Findings</vt:lpstr>
      <vt:lpstr>Summary of Findings - Main</vt:lpstr>
      <vt:lpstr>Satellite(s)</vt:lpstr>
      <vt:lpstr>SV Scripts</vt:lpstr>
      <vt:lpstr>'EA-LoR App'!EASAdmin</vt:lpstr>
      <vt:lpstr>'EA-LoR App'!EASDegree</vt:lpstr>
      <vt:lpstr>'EA-LoR App'!EASInst</vt:lpstr>
      <vt:lpstr>'EA-LoR App'!EASStatus</vt:lpstr>
      <vt:lpstr>'EA-LoR App'!EASType</vt:lpstr>
      <vt:lpstr>MetNADNE</vt:lpstr>
      <vt:lpstr>'Cover Page'!Print_Area</vt:lpstr>
      <vt:lpstr>'EA-LoR App'!Print_Area</vt:lpstr>
      <vt:lpstr>'Satellite(s)'!Print_Area</vt:lpstr>
      <vt:lpstr>'Summary of Findings - Main'!Print_Area</vt:lpstr>
      <vt:lpstr>'SV Findings'!Print_Area</vt:lpstr>
      <vt:lpstr>'SV Findings'!Print_Titles</vt:lpstr>
      <vt:lpstr>'EA-LoR App'!Readers</vt:lpstr>
      <vt:lpstr>Sponsorship</vt:lpstr>
      <vt:lpstr>Standards</vt:lpstr>
      <vt:lpstr>'EA-LoR App'!YNApp</vt:lpstr>
      <vt:lpstr>'EA-LoR App'!YNNApp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wwg</dc:creator>
  <cp:lastModifiedBy>Lisa Collard</cp:lastModifiedBy>
  <cp:lastPrinted>2024-12-05T19:55:07Z</cp:lastPrinted>
  <dcterms:created xsi:type="dcterms:W3CDTF">2015-08-24T14:47:43Z</dcterms:created>
  <dcterms:modified xsi:type="dcterms:W3CDTF">2025-06-27T16:56:48Z</dcterms:modified>
</cp:coreProperties>
</file>