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updateLinks="always"/>
  <mc:AlternateContent xmlns:mc="http://schemas.openxmlformats.org/markup-compatibility/2006">
    <mc:Choice Requires="x15">
      <x15ac:absPath xmlns:x15ac="http://schemas.microsoft.com/office/spreadsheetml/2010/11/ac" url="H:\Lisa's Place\_In Progress\Website Templates\Self Studies\"/>
    </mc:Choice>
  </mc:AlternateContent>
  <xr:revisionPtr revIDLastSave="0" documentId="13_ncr:1_{63565552-8D15-4992-AC33-DB0B2C8197E7}" xr6:coauthVersionLast="47" xr6:coauthVersionMax="47" xr10:uidLastSave="{00000000-0000-0000-0000-000000000000}"/>
  <bookViews>
    <workbookView xWindow="-120" yWindow="-120" windowWidth="27645" windowHeight="16440" xr2:uid="{00000000-000D-0000-FFFF-FFFF00000000}"/>
  </bookViews>
  <sheets>
    <sheet name="Instructions" sheetId="1" r:id="rId1"/>
    <sheet name="Title Page" sheetId="4" r:id="rId2"/>
    <sheet name="Program Info" sheetId="13" r:id="rId3"/>
    <sheet name="Standard I-Sponsorship" sheetId="25" r:id="rId4"/>
    <sheet name="Standard II-Goals" sheetId="26" r:id="rId5"/>
    <sheet name="Standard III-Resources" sheetId="27" r:id="rId6"/>
    <sheet name="Standard III-Personnel" sheetId="28" r:id="rId7"/>
    <sheet name="Standard III-Affiliates" sheetId="31" r:id="rId8"/>
    <sheet name="Standard III-Preceptors" sheetId="11" r:id="rId9"/>
    <sheet name="Standard IV-Evaluation" sheetId="29" r:id="rId10"/>
    <sheet name="Standard V-Fair Practices" sheetId="30" r:id="rId11"/>
    <sheet name="Alternate &amp; Satellite Locations" sheetId="2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1">OFFSET(Instructions!$A$1,0,0,53,Instructions!$S$3)</definedName>
    <definedName name="_10">OFFSET('[1]Standard_IV-Evaluation'!$A$1,0,0,50,Instructions!$S$12)</definedName>
    <definedName name="_11">OFFSET('[2]Standard_V-Fair_Practices'!$A$1,0,0,130,Instructions!$S$13)</definedName>
    <definedName name="_12">OFFSET('Alternate &amp; Satellite Locations'!$A$1,0,0,89,Instructions!$S$13)</definedName>
    <definedName name="_2">OFFSET([3]Title!$A$1,0,0,43,Instructions!$S$4)</definedName>
    <definedName name="_3">OFFSET([4]Program_Info!$A$1,0,0,83,Instructions!$S$5)</definedName>
    <definedName name="_4">OFFSET('[5]Standard_I-Sponsorship'!$A$1,0,0,123,Instructions!$S$6)</definedName>
    <definedName name="_5">OFFSET('[6]Standard_II-Goals'!$A$1,0,0,90,Instructions!$S$7)</definedName>
    <definedName name="_6">OFFSET('[7]Standard_III-Resources'!$A$1,0,0,136,Instructions!$S$8)</definedName>
    <definedName name="_7">OFFSET('[8]Standard_III-Personnel'!$A$1,0,0,192,Instructions!$S$9)</definedName>
    <definedName name="_8">OFFSET('[9]Standard_III-Affiliates'!$A$1,0,0,128,Instructions!$S$10)</definedName>
    <definedName name="_9">OFFSET('[10]Standard_III-Preceptors'!$A$1,0,0,86,Instructions!$S$11)</definedName>
    <definedName name="Instructions" localSheetId="0">OFFSET(Instructions!$A$1,0,0,53,Instructions!$S$3)</definedName>
    <definedName name="_xlnm.Print_Area" localSheetId="11">'Alternate &amp; Satellite Locations'!$A$1:$M$136</definedName>
    <definedName name="_xlnm.Print_Area" localSheetId="0">Instructions!$A$1:$G$51</definedName>
    <definedName name="_xlnm.Print_Area" localSheetId="2">'Program Info'!$A$1:$K$90</definedName>
    <definedName name="_xlnm.Print_Area" localSheetId="4">'Standard II-Goals'!$A$1:$O$100</definedName>
    <definedName name="_xlnm.Print_Area" localSheetId="7">'Standard III-Affiliates'!$A$1:$OB$167</definedName>
    <definedName name="_xlnm.Print_Area" localSheetId="6">'Standard III-Personnel'!$A$1:$O$203</definedName>
    <definedName name="_xlnm.Print_Area" localSheetId="8">'Standard III-Preceptors'!$A$1:$O$64</definedName>
    <definedName name="_xlnm.Print_Area" localSheetId="5">'Standard III-Resources'!$A$1:$O$177</definedName>
    <definedName name="_xlnm.Print_Area" localSheetId="3">'Standard I-Sponsorship'!$A$1:$O$134</definedName>
    <definedName name="_xlnm.Print_Area" localSheetId="9">'Standard IV-Evaluation'!$A$1:$O$51</definedName>
    <definedName name="_xlnm.Print_Area" localSheetId="10">'Standard V-Fair Practices'!$A$1:$O$138</definedName>
    <definedName name="_xlnm.Print_Area">Instructions!Instructions, Title</definedName>
    <definedName name="PStatus">'Standard I-Sponsorship'!$U$29:$AA$29</definedName>
    <definedName name="PType">'Standard I-Sponsorship'!$S$25:$AD$25</definedName>
    <definedName name="SCategory" localSheetId="3">'Standard I-Sponsorship'!$V$15:$AA$15</definedName>
    <definedName name="Title" localSheetId="1">OFFSET([3]Title!$A$1,0,0,43,Instructions!$S$4)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4" l="1"/>
  <c r="D43" i="27"/>
  <c r="D23" i="28" l="1"/>
  <c r="D21" i="28"/>
  <c r="D25" i="30"/>
  <c r="H126" i="25" l="1"/>
  <c r="D25" i="13"/>
  <c r="C19" i="4"/>
  <c r="D34" i="13" l="1"/>
  <c r="B139" i="22" l="1"/>
  <c r="B3" i="22"/>
  <c r="B141" i="30"/>
  <c r="B3" i="30"/>
  <c r="D32" i="30"/>
  <c r="D31" i="30"/>
  <c r="B54" i="29"/>
  <c r="B4" i="29"/>
  <c r="B5" i="11"/>
  <c r="B67" i="11"/>
  <c r="B170" i="31"/>
  <c r="B4" i="31"/>
  <c r="B3" i="28"/>
  <c r="B206" i="28"/>
  <c r="B3" i="27"/>
  <c r="B180" i="27"/>
  <c r="B82" i="27"/>
  <c r="B3" i="26"/>
  <c r="D6" i="26" s="1"/>
  <c r="B103" i="26"/>
  <c r="B3" i="13"/>
  <c r="B137" i="25"/>
  <c r="B4" i="25"/>
  <c r="D50" i="25"/>
  <c r="B93" i="13"/>
  <c r="C51" i="4"/>
  <c r="C17" i="4"/>
  <c r="E3" i="4"/>
  <c r="H19" i="4"/>
  <c r="C28" i="13" l="1"/>
  <c r="C27" i="13"/>
  <c r="C26" i="13"/>
  <c r="C25" i="13"/>
  <c r="C31" i="13"/>
  <c r="C30" i="13"/>
  <c r="C29" i="13"/>
  <c r="C32" i="13"/>
  <c r="C127" i="22"/>
  <c r="D29" i="30"/>
  <c r="D6" i="30"/>
  <c r="D21" i="29"/>
  <c r="D26" i="11"/>
  <c r="D23" i="11"/>
  <c r="D15" i="11"/>
  <c r="D12" i="11"/>
  <c r="B61" i="31"/>
  <c r="S39" i="31"/>
  <c r="AF39" i="31"/>
  <c r="AS39" i="31"/>
  <c r="BF39" i="31"/>
  <c r="BS39" i="31"/>
  <c r="CF39" i="31"/>
  <c r="CS39" i="31"/>
  <c r="DF39" i="31"/>
  <c r="DS39" i="31"/>
  <c r="EF39" i="31"/>
  <c r="ES39" i="31"/>
  <c r="FF39" i="31"/>
  <c r="FS39" i="31"/>
  <c r="GF39" i="31"/>
  <c r="GS39" i="31"/>
  <c r="HF39" i="31"/>
  <c r="HS39" i="31"/>
  <c r="IF39" i="31"/>
  <c r="IS39" i="31"/>
  <c r="JF39" i="31"/>
  <c r="JS39" i="31"/>
  <c r="KF39" i="31"/>
  <c r="KS39" i="31"/>
  <c r="LF39" i="31"/>
  <c r="LS39" i="31"/>
  <c r="MF39" i="31"/>
  <c r="MS39" i="31"/>
  <c r="NF39" i="31"/>
  <c r="NS39" i="31"/>
  <c r="F39" i="31"/>
  <c r="B9" i="31"/>
  <c r="D193" i="28"/>
  <c r="D164" i="28"/>
  <c r="D136" i="28"/>
  <c r="D113" i="28"/>
  <c r="D110" i="28"/>
  <c r="D138" i="27"/>
  <c r="B81" i="27"/>
  <c r="D31" i="26"/>
  <c r="D30" i="26"/>
  <c r="K23" i="28"/>
  <c r="K21" i="28"/>
  <c r="C128" i="22" l="1"/>
  <c r="C18" i="22"/>
  <c r="I15" i="25"/>
  <c r="C15" i="25"/>
  <c r="D32" i="25" s="1"/>
  <c r="I14" i="25"/>
  <c r="D17" i="25" s="1"/>
  <c r="H34" i="25" l="1"/>
  <c r="H33" i="25"/>
  <c r="E21" i="25"/>
  <c r="E20" i="25"/>
  <c r="E19" i="25"/>
  <c r="E18" i="25"/>
  <c r="H40" i="28" l="1"/>
  <c r="H39" i="28"/>
  <c r="H38" i="28"/>
  <c r="H37" i="28"/>
  <c r="H36" i="28"/>
  <c r="NO96" i="31" l="1"/>
  <c r="NB96" i="31"/>
  <c r="MO96" i="31"/>
  <c r="MB96" i="31"/>
  <c r="LO96" i="31"/>
  <c r="LB96" i="31"/>
  <c r="KO96" i="31"/>
  <c r="KB96" i="31"/>
  <c r="JO96" i="31"/>
  <c r="JB96" i="31"/>
  <c r="IO96" i="31"/>
  <c r="IB96" i="31"/>
  <c r="HO96" i="31"/>
  <c r="HB96" i="31"/>
  <c r="GO96" i="31"/>
  <c r="GB96" i="31"/>
  <c r="FO96" i="31"/>
  <c r="FB96" i="31"/>
  <c r="EO96" i="31"/>
  <c r="EB96" i="31"/>
  <c r="DO96" i="31"/>
  <c r="DB96" i="31"/>
  <c r="CO96" i="31"/>
  <c r="CB96" i="31"/>
  <c r="BO96" i="31"/>
  <c r="BB96" i="31"/>
  <c r="AO96" i="31"/>
  <c r="O96" i="31"/>
  <c r="AB96" i="31"/>
  <c r="A14" i="1"/>
  <c r="D6" i="28" s="1"/>
  <c r="H12" i="29" l="1"/>
  <c r="R45" i="28"/>
  <c r="H59" i="28"/>
  <c r="H60" i="28" s="1"/>
  <c r="R5" i="29"/>
  <c r="D7" i="29"/>
  <c r="D10" i="29"/>
  <c r="D98" i="28"/>
  <c r="D57" i="28"/>
  <c r="D47" i="28"/>
  <c r="C131" i="22"/>
  <c r="B24" i="1"/>
  <c r="B22" i="1"/>
  <c r="D78" i="30"/>
  <c r="D27" i="4"/>
  <c r="B36" i="1"/>
  <c r="C20" i="13"/>
  <c r="C19" i="13"/>
  <c r="C13" i="13"/>
  <c r="C14" i="13"/>
  <c r="C15" i="13"/>
  <c r="C16" i="13"/>
  <c r="C17" i="13"/>
  <c r="C18" i="13"/>
  <c r="C12" i="13"/>
  <c r="C11" i="13"/>
  <c r="C10" i="13"/>
  <c r="D82" i="30"/>
  <c r="L25" i="30"/>
  <c r="D36" i="29"/>
  <c r="D24" i="29"/>
  <c r="D9" i="27"/>
  <c r="D5" i="27"/>
  <c r="D29" i="4"/>
  <c r="D27" i="27" l="1"/>
  <c r="D81" i="26"/>
  <c r="B11" i="4"/>
  <c r="G11" i="4" s="1"/>
  <c r="H83" i="27" l="1"/>
  <c r="H114" i="27" s="1"/>
  <c r="H129" i="27" s="1"/>
  <c r="D86" i="26" l="1"/>
  <c r="D38" i="25"/>
  <c r="D46" i="25"/>
  <c r="D13" i="30"/>
  <c r="H15" i="30" s="1"/>
  <c r="D13" i="27"/>
  <c r="H14" i="30" l="1"/>
  <c r="H16" i="30"/>
  <c r="H17" i="30"/>
  <c r="H18" i="30"/>
  <c r="C20" i="4" l="1"/>
  <c r="C21" i="4"/>
  <c r="H49" i="30" l="1"/>
  <c r="DG97" i="31" l="1"/>
  <c r="B96" i="31"/>
  <c r="R111" i="25" l="1"/>
  <c r="O111" i="25"/>
  <c r="E6" i="13"/>
  <c r="E9" i="13"/>
  <c r="DR164" i="31" l="1"/>
  <c r="DR162" i="31"/>
  <c r="DR161" i="31"/>
  <c r="DE164" i="31"/>
  <c r="DE162" i="31"/>
  <c r="DE161" i="31"/>
  <c r="CR164" i="31"/>
  <c r="CR162" i="31"/>
  <c r="CR161" i="31"/>
  <c r="CE164" i="31"/>
  <c r="CE162" i="31"/>
  <c r="CE161" i="31"/>
  <c r="BR164" i="31"/>
  <c r="BR162" i="31"/>
  <c r="BR161" i="31"/>
  <c r="BE164" i="31"/>
  <c r="BE162" i="31"/>
  <c r="BE161" i="31"/>
  <c r="AR164" i="31"/>
  <c r="AR162" i="31"/>
  <c r="AR161" i="31"/>
  <c r="AE164" i="31"/>
  <c r="AE162" i="31"/>
  <c r="AE161" i="31"/>
  <c r="R164" i="31"/>
  <c r="R162" i="31"/>
  <c r="R161" i="31"/>
  <c r="E164" i="31"/>
  <c r="C124" i="22" l="1"/>
  <c r="J124" i="22"/>
  <c r="H164" i="27" l="1"/>
  <c r="H163" i="27"/>
  <c r="H162" i="27"/>
  <c r="H161" i="27"/>
  <c r="H160" i="27"/>
  <c r="H159" i="27"/>
  <c r="H158" i="27"/>
  <c r="H157" i="27"/>
  <c r="H156" i="27"/>
  <c r="H155" i="27"/>
  <c r="H154" i="27"/>
  <c r="H153" i="27"/>
  <c r="H152" i="27"/>
  <c r="H151" i="27"/>
  <c r="H150" i="27"/>
  <c r="H149" i="27"/>
  <c r="H148" i="27"/>
  <c r="H147" i="27"/>
  <c r="H146" i="27"/>
  <c r="H145" i="27"/>
  <c r="H144" i="27"/>
  <c r="H143" i="27"/>
  <c r="H142" i="27"/>
  <c r="H141" i="27"/>
  <c r="H140" i="27"/>
  <c r="H17" i="27"/>
  <c r="H16" i="27"/>
  <c r="H15" i="27"/>
  <c r="H92" i="26"/>
  <c r="H91" i="26"/>
  <c r="H90" i="26"/>
  <c r="H89" i="26"/>
  <c r="H76" i="26"/>
  <c r="H75" i="26"/>
  <c r="H74" i="26"/>
  <c r="J68" i="25"/>
  <c r="D68" i="25"/>
  <c r="D6" i="25"/>
  <c r="J6" i="25"/>
  <c r="B67" i="25" l="1"/>
  <c r="H129" i="25"/>
  <c r="H128" i="25"/>
  <c r="H127" i="25"/>
  <c r="H84" i="25"/>
  <c r="H83" i="25"/>
  <c r="H82" i="25"/>
  <c r="H81" i="25"/>
  <c r="H63" i="25"/>
  <c r="H62" i="25"/>
  <c r="H61" i="25"/>
  <c r="H60" i="25"/>
  <c r="BX129" i="31" l="1"/>
  <c r="BK129" i="31"/>
  <c r="AX129" i="31"/>
  <c r="AK129" i="31"/>
  <c r="X129" i="31"/>
  <c r="NX129" i="31"/>
  <c r="NK129" i="31"/>
  <c r="MX129" i="31"/>
  <c r="MK129" i="31"/>
  <c r="LX129" i="31"/>
  <c r="LK129" i="31"/>
  <c r="KX129" i="31"/>
  <c r="KK129" i="31"/>
  <c r="JX129" i="31"/>
  <c r="JK129" i="31"/>
  <c r="IX129" i="31"/>
  <c r="IK129" i="31"/>
  <c r="HX129" i="31"/>
  <c r="HK129" i="31"/>
  <c r="GX129" i="31"/>
  <c r="GK129" i="31"/>
  <c r="FX129" i="31"/>
  <c r="FK129" i="31"/>
  <c r="EX129" i="31"/>
  <c r="EK129" i="31"/>
  <c r="DX129" i="31"/>
  <c r="DK129" i="31"/>
  <c r="CX129" i="31"/>
  <c r="CK129" i="31"/>
  <c r="K164" i="31"/>
  <c r="DX164" i="31"/>
  <c r="NX55" i="31"/>
  <c r="NR127" i="31"/>
  <c r="NE127" i="31"/>
  <c r="MR127" i="31"/>
  <c r="ME127" i="31"/>
  <c r="LR127" i="31"/>
  <c r="LE127" i="31"/>
  <c r="KR127" i="31"/>
  <c r="KE127" i="31"/>
  <c r="JR127" i="31"/>
  <c r="JE127" i="31"/>
  <c r="IR127" i="31"/>
  <c r="IE127" i="31"/>
  <c r="HR127" i="31"/>
  <c r="HE127" i="31"/>
  <c r="GR127" i="31"/>
  <c r="GE127" i="31"/>
  <c r="FR127" i="31"/>
  <c r="FE127" i="31"/>
  <c r="ER127" i="31"/>
  <c r="EE127" i="31"/>
  <c r="DR127" i="31"/>
  <c r="DE127" i="31"/>
  <c r="CR127" i="31"/>
  <c r="CE127" i="31"/>
  <c r="BR127" i="31"/>
  <c r="BE127" i="31"/>
  <c r="AR127" i="31"/>
  <c r="AE127" i="31"/>
  <c r="R127" i="31"/>
  <c r="E127" i="31"/>
  <c r="E162" i="31"/>
  <c r="NR53" i="31"/>
  <c r="NE53" i="31"/>
  <c r="MR53" i="31"/>
  <c r="ME53" i="31"/>
  <c r="LR53" i="31"/>
  <c r="LE53" i="31"/>
  <c r="KR53" i="31"/>
  <c r="KE53" i="31"/>
  <c r="JR53" i="31"/>
  <c r="JE53" i="31"/>
  <c r="IR53" i="31"/>
  <c r="IE53" i="31"/>
  <c r="HR53" i="31"/>
  <c r="HE53" i="31"/>
  <c r="GR53" i="31"/>
  <c r="GE53" i="31"/>
  <c r="FR53" i="31"/>
  <c r="FE53" i="31"/>
  <c r="ER53" i="31"/>
  <c r="EE53" i="31"/>
  <c r="DR53" i="31"/>
  <c r="DE53" i="31"/>
  <c r="CR53" i="31"/>
  <c r="CE53" i="31"/>
  <c r="BR53" i="31"/>
  <c r="BE53" i="31"/>
  <c r="AR53" i="31"/>
  <c r="AE53" i="31"/>
  <c r="R53" i="31"/>
  <c r="E53" i="31"/>
  <c r="H157" i="28"/>
  <c r="H156" i="28"/>
  <c r="H155" i="28"/>
  <c r="H154" i="28"/>
  <c r="H153" i="28"/>
  <c r="H152" i="28"/>
  <c r="H151" i="28"/>
  <c r="H150" i="28"/>
  <c r="H149" i="28"/>
  <c r="H148" i="28"/>
  <c r="H147" i="28"/>
  <c r="H146" i="28"/>
  <c r="H145" i="28"/>
  <c r="H144" i="28"/>
  <c r="H143" i="28"/>
  <c r="H142" i="28"/>
  <c r="H141" i="28"/>
  <c r="H140" i="28"/>
  <c r="H139" i="28"/>
  <c r="H138" i="28"/>
  <c r="J84" i="22" l="1"/>
  <c r="F84" i="22"/>
  <c r="E84" i="22"/>
  <c r="M105" i="22"/>
  <c r="L105" i="22"/>
  <c r="K105" i="22"/>
  <c r="G105" i="22"/>
  <c r="F105" i="22"/>
  <c r="B120" i="22"/>
  <c r="B119" i="22"/>
  <c r="B118" i="22"/>
  <c r="B117" i="22"/>
  <c r="N105" i="22"/>
  <c r="L84" i="22"/>
  <c r="I46" i="22"/>
  <c r="K84" i="22"/>
  <c r="H46" i="22"/>
  <c r="B99" i="22"/>
  <c r="B98" i="22"/>
  <c r="B97" i="22"/>
  <c r="B61" i="22"/>
  <c r="B60" i="22"/>
  <c r="B59" i="22"/>
  <c r="B58" i="22"/>
  <c r="P61" i="22"/>
  <c r="P60" i="22"/>
  <c r="P59" i="22"/>
  <c r="B40" i="22"/>
  <c r="B39" i="22"/>
  <c r="B38" i="22"/>
  <c r="C45" i="22"/>
  <c r="C44" i="22"/>
  <c r="J46" i="22"/>
  <c r="H25" i="22"/>
  <c r="G46" i="22"/>
  <c r="F25" i="22"/>
  <c r="C16" i="22"/>
  <c r="H42" i="11"/>
  <c r="H38" i="11"/>
  <c r="B141" i="31"/>
  <c r="B143" i="31" l="1"/>
  <c r="L143" i="31"/>
  <c r="E10" i="13" l="1"/>
  <c r="I65" i="27" l="1"/>
  <c r="I63" i="27"/>
  <c r="I59" i="27"/>
  <c r="I57" i="27"/>
  <c r="D57" i="27"/>
  <c r="D65" i="27"/>
  <c r="D63" i="27"/>
  <c r="D59" i="27"/>
  <c r="D55" i="27"/>
  <c r="I55" i="27"/>
  <c r="G23" i="4" l="1"/>
  <c r="E23" i="4"/>
  <c r="C23" i="4"/>
  <c r="E161" i="31"/>
  <c r="DK164" i="31"/>
  <c r="CX164" i="31"/>
  <c r="CK164" i="31"/>
  <c r="BX164" i="31"/>
  <c r="BK164" i="31"/>
  <c r="AX164" i="31"/>
  <c r="AK164" i="31"/>
  <c r="X164" i="31"/>
  <c r="DR150" i="31" l="1"/>
  <c r="DO157" i="31"/>
  <c r="DO155" i="31"/>
  <c r="DO154" i="31"/>
  <c r="DB155" i="31"/>
  <c r="DB154" i="31"/>
  <c r="DO153" i="31"/>
  <c r="DO151" i="31"/>
  <c r="DO150" i="31"/>
  <c r="DO149" i="31"/>
  <c r="DO148" i="31"/>
  <c r="DO147" i="31"/>
  <c r="DO145" i="31"/>
  <c r="DE150" i="31"/>
  <c r="DB157" i="31"/>
  <c r="CO157" i="31"/>
  <c r="DB153" i="31"/>
  <c r="DB151" i="31"/>
  <c r="DB150" i="31"/>
  <c r="DB149" i="31"/>
  <c r="DB148" i="31"/>
  <c r="DB147" i="31"/>
  <c r="DB145" i="31"/>
  <c r="CR150" i="31"/>
  <c r="CO154" i="31"/>
  <c r="CO153" i="31"/>
  <c r="CO151" i="31"/>
  <c r="CO150" i="31"/>
  <c r="CO149" i="31"/>
  <c r="CO148" i="31"/>
  <c r="CO147" i="31"/>
  <c r="CO145" i="31"/>
  <c r="CB145" i="31"/>
  <c r="BO145" i="31"/>
  <c r="BB145" i="31"/>
  <c r="AO145" i="31"/>
  <c r="AB145" i="31"/>
  <c r="O145" i="31"/>
  <c r="B145" i="31"/>
  <c r="CE150" i="31" l="1"/>
  <c r="CB157" i="31"/>
  <c r="CB154" i="31"/>
  <c r="CB153" i="31"/>
  <c r="CB151" i="31"/>
  <c r="CB150" i="31"/>
  <c r="CB149" i="31"/>
  <c r="CB148" i="31"/>
  <c r="CB147" i="31"/>
  <c r="BR150" i="31"/>
  <c r="BO157" i="31"/>
  <c r="BO154" i="31"/>
  <c r="BO153" i="31"/>
  <c r="BO151" i="31"/>
  <c r="BO150" i="31"/>
  <c r="BO149" i="31"/>
  <c r="BO148" i="31"/>
  <c r="BO147" i="31"/>
  <c r="BE150" i="31"/>
  <c r="BB157" i="31"/>
  <c r="BB154" i="31"/>
  <c r="BB153" i="31"/>
  <c r="BB151" i="31"/>
  <c r="BB150" i="31"/>
  <c r="BB149" i="31"/>
  <c r="BB148" i="31"/>
  <c r="BB147" i="31"/>
  <c r="AR150" i="31"/>
  <c r="AO157" i="31"/>
  <c r="AO154" i="31"/>
  <c r="AO153" i="31"/>
  <c r="AO151" i="31"/>
  <c r="AO150" i="31"/>
  <c r="AO149" i="31"/>
  <c r="AO148" i="31"/>
  <c r="AO147" i="31"/>
  <c r="AE150" i="31"/>
  <c r="AB157" i="31"/>
  <c r="AB154" i="31"/>
  <c r="AB153" i="31"/>
  <c r="AB151" i="31"/>
  <c r="AB150" i="31"/>
  <c r="AB149" i="31"/>
  <c r="AB148" i="31"/>
  <c r="AB147" i="31"/>
  <c r="R150" i="31"/>
  <c r="O157" i="31"/>
  <c r="O154" i="31"/>
  <c r="O153" i="31"/>
  <c r="O151" i="31"/>
  <c r="O150" i="31"/>
  <c r="O149" i="31"/>
  <c r="O148" i="31"/>
  <c r="O147" i="31"/>
  <c r="CO155" i="31"/>
  <c r="CB155" i="31"/>
  <c r="BO155" i="31"/>
  <c r="BB155" i="31"/>
  <c r="AO155" i="31"/>
  <c r="AB155" i="31"/>
  <c r="O155" i="31"/>
  <c r="B153" i="31"/>
  <c r="NB82" i="31"/>
  <c r="MO82" i="31"/>
  <c r="MB82" i="31"/>
  <c r="LO82" i="31"/>
  <c r="LB82" i="31"/>
  <c r="KO82" i="31"/>
  <c r="KB82" i="31"/>
  <c r="JO82" i="31"/>
  <c r="JB82" i="31"/>
  <c r="IO82" i="31"/>
  <c r="IB82" i="31"/>
  <c r="HO82" i="31"/>
  <c r="HB82" i="31"/>
  <c r="GO82" i="31"/>
  <c r="GB82" i="31"/>
  <c r="FO82" i="31"/>
  <c r="FB82" i="31"/>
  <c r="EO82" i="31"/>
  <c r="EB82" i="31"/>
  <c r="DO82" i="31"/>
  <c r="DB82" i="31"/>
  <c r="CO82" i="31"/>
  <c r="CB82" i="31"/>
  <c r="BO82" i="31"/>
  <c r="BB82" i="31"/>
  <c r="AO82" i="31"/>
  <c r="AB82" i="31"/>
  <c r="NO82" i="31"/>
  <c r="O82" i="31"/>
  <c r="L19" i="31"/>
  <c r="B33" i="31"/>
  <c r="O35" i="31"/>
  <c r="O34" i="31"/>
  <c r="O33" i="31"/>
  <c r="AB35" i="31"/>
  <c r="AB34" i="31"/>
  <c r="AB33" i="31"/>
  <c r="AO35" i="31"/>
  <c r="AO34" i="31"/>
  <c r="AO33" i="31"/>
  <c r="BB35" i="31"/>
  <c r="BB34" i="31"/>
  <c r="BB33" i="31"/>
  <c r="BO35" i="31"/>
  <c r="BO34" i="31"/>
  <c r="BO33" i="31"/>
  <c r="CB35" i="31"/>
  <c r="CB34" i="31"/>
  <c r="CB33" i="31"/>
  <c r="CO35" i="31"/>
  <c r="CO34" i="31"/>
  <c r="CO33" i="31"/>
  <c r="DB35" i="31"/>
  <c r="DB34" i="31"/>
  <c r="DB33" i="31"/>
  <c r="DO35" i="31"/>
  <c r="DO34" i="31"/>
  <c r="DO33" i="31"/>
  <c r="EB35" i="31"/>
  <c r="EB34" i="31"/>
  <c r="EB33" i="31"/>
  <c r="EO35" i="31"/>
  <c r="EO34" i="31"/>
  <c r="EO33" i="31"/>
  <c r="FB35" i="31"/>
  <c r="FB34" i="31"/>
  <c r="FB33" i="31"/>
  <c r="FO35" i="31"/>
  <c r="FO34" i="31"/>
  <c r="FO33" i="31"/>
  <c r="GB35" i="31"/>
  <c r="GB34" i="31"/>
  <c r="GB33" i="31"/>
  <c r="GO35" i="31"/>
  <c r="GO34" i="31"/>
  <c r="GO33" i="31"/>
  <c r="HB35" i="31"/>
  <c r="HB34" i="31"/>
  <c r="HB33" i="31"/>
  <c r="HO35" i="31"/>
  <c r="HO34" i="31"/>
  <c r="HO33" i="31"/>
  <c r="IB35" i="31"/>
  <c r="IB34" i="31"/>
  <c r="IB33" i="31"/>
  <c r="IO35" i="31"/>
  <c r="IO34" i="31"/>
  <c r="IO33" i="31"/>
  <c r="JB35" i="31"/>
  <c r="JB34" i="31"/>
  <c r="JB33" i="31"/>
  <c r="JO35" i="31"/>
  <c r="JO34" i="31"/>
  <c r="JO33" i="31"/>
  <c r="KB35" i="31"/>
  <c r="KB34" i="31"/>
  <c r="KB33" i="31"/>
  <c r="KO35" i="31"/>
  <c r="KO34" i="31"/>
  <c r="KO33" i="31"/>
  <c r="LB35" i="31"/>
  <c r="LB34" i="31"/>
  <c r="LB33" i="31"/>
  <c r="LO35" i="31"/>
  <c r="LO34" i="31"/>
  <c r="LO33" i="31"/>
  <c r="MB35" i="31"/>
  <c r="MB34" i="31"/>
  <c r="MB33" i="31"/>
  <c r="MO35" i="31"/>
  <c r="MO34" i="31"/>
  <c r="MO33" i="31"/>
  <c r="NB34" i="31"/>
  <c r="NB35" i="31"/>
  <c r="NB33" i="31"/>
  <c r="NO33" i="31"/>
  <c r="NO35" i="31"/>
  <c r="NO25" i="31"/>
  <c r="NB25" i="31"/>
  <c r="MO25" i="31"/>
  <c r="MB25" i="31"/>
  <c r="LO25" i="31"/>
  <c r="LB25" i="31"/>
  <c r="KO25" i="31"/>
  <c r="KB25" i="31"/>
  <c r="JO25" i="31"/>
  <c r="JB25" i="31"/>
  <c r="IO25" i="31"/>
  <c r="IB25" i="31"/>
  <c r="HO25" i="31"/>
  <c r="HB25" i="31"/>
  <c r="GO25" i="31"/>
  <c r="GB25" i="31"/>
  <c r="FO25" i="31"/>
  <c r="FB25" i="31"/>
  <c r="EO25" i="31"/>
  <c r="EB25" i="31"/>
  <c r="DO25" i="31"/>
  <c r="DB25" i="31"/>
  <c r="CO25" i="31"/>
  <c r="CB25" i="31"/>
  <c r="BO25" i="31"/>
  <c r="BB25" i="31"/>
  <c r="AO25" i="31"/>
  <c r="AB25" i="31"/>
  <c r="O25" i="31"/>
  <c r="B154" i="31"/>
  <c r="B151" i="31"/>
  <c r="B157" i="31"/>
  <c r="B155" i="31"/>
  <c r="E150" i="31"/>
  <c r="B150" i="31"/>
  <c r="B149" i="31"/>
  <c r="B148" i="31"/>
  <c r="B147" i="31"/>
  <c r="B82" i="31"/>
  <c r="B25" i="31"/>
  <c r="NO91" i="31"/>
  <c r="NB91" i="31"/>
  <c r="AB91" i="31"/>
  <c r="H143" i="31" l="1"/>
  <c r="AO91" i="31"/>
  <c r="BB91" i="31"/>
  <c r="BO91" i="31"/>
  <c r="CB91" i="31"/>
  <c r="CO91" i="31"/>
  <c r="DB91" i="31"/>
  <c r="DO91" i="31"/>
  <c r="EB91" i="31"/>
  <c r="EO91" i="31"/>
  <c r="FB91" i="31"/>
  <c r="FO91" i="31"/>
  <c r="GB91" i="31"/>
  <c r="GO91" i="31"/>
  <c r="HB91" i="31"/>
  <c r="HO91" i="31"/>
  <c r="IB91" i="31"/>
  <c r="IO91" i="31"/>
  <c r="JB91" i="31"/>
  <c r="JO91" i="31"/>
  <c r="KB91" i="31"/>
  <c r="KO91" i="31"/>
  <c r="LB91" i="31"/>
  <c r="LO91" i="31"/>
  <c r="MB91" i="31"/>
  <c r="MO91" i="31"/>
  <c r="O91" i="31"/>
  <c r="B91" i="31"/>
  <c r="E92" i="26"/>
  <c r="E91" i="26"/>
  <c r="E90" i="26"/>
  <c r="E89" i="26"/>
  <c r="E88" i="26" s="1"/>
  <c r="D45" i="26"/>
  <c r="J143" i="31" l="1"/>
  <c r="H44" i="11"/>
  <c r="H73" i="31"/>
  <c r="B34" i="31" l="1"/>
  <c r="G25" i="22" l="1"/>
  <c r="E46" i="22" l="1"/>
  <c r="D46" i="22"/>
  <c r="C46" i="22"/>
  <c r="C43" i="22"/>
  <c r="D25" i="22" l="1"/>
  <c r="C25" i="22"/>
  <c r="C23" i="22"/>
  <c r="C17" i="22"/>
  <c r="B116" i="22"/>
  <c r="B115" i="22"/>
  <c r="B114" i="22"/>
  <c r="B113" i="22"/>
  <c r="B112" i="22"/>
  <c r="B111" i="22"/>
  <c r="B110" i="22"/>
  <c r="B109" i="22"/>
  <c r="B108" i="22"/>
  <c r="B107" i="22"/>
  <c r="B106" i="22"/>
  <c r="J105" i="22"/>
  <c r="I105" i="22"/>
  <c r="H105" i="22"/>
  <c r="E105" i="22"/>
  <c r="D105" i="22"/>
  <c r="C105" i="22"/>
  <c r="C104" i="22"/>
  <c r="C103" i="22"/>
  <c r="C102" i="22"/>
  <c r="B96" i="22"/>
  <c r="B95" i="22"/>
  <c r="B94" i="22"/>
  <c r="B93" i="22"/>
  <c r="B92" i="22"/>
  <c r="B91" i="22"/>
  <c r="B90" i="22"/>
  <c r="B89" i="22"/>
  <c r="B88" i="22"/>
  <c r="B87" i="22"/>
  <c r="B86" i="22"/>
  <c r="B85" i="22"/>
  <c r="I84" i="22"/>
  <c r="H84" i="22"/>
  <c r="G84" i="22"/>
  <c r="D84" i="22"/>
  <c r="C84" i="22"/>
  <c r="C83" i="22"/>
  <c r="C82" i="22"/>
  <c r="E77" i="22"/>
  <c r="C80" i="22" s="1"/>
  <c r="C77" i="22"/>
  <c r="F76" i="22"/>
  <c r="C76" i="22"/>
  <c r="F75" i="22"/>
  <c r="C75" i="22"/>
  <c r="DD74" i="22"/>
  <c r="CU74" i="22"/>
  <c r="CL74" i="22"/>
  <c r="CC74" i="22"/>
  <c r="BT74" i="22"/>
  <c r="BK74" i="22"/>
  <c r="BB74" i="22"/>
  <c r="AS74" i="22"/>
  <c r="AJ74" i="22"/>
  <c r="AA74" i="22"/>
  <c r="R74" i="22"/>
  <c r="F74" i="22"/>
  <c r="O106" i="22" l="1"/>
  <c r="M85" i="22"/>
  <c r="B35" i="31" l="1"/>
  <c r="H169" i="27" l="1"/>
  <c r="H168" i="27"/>
  <c r="H167" i="27"/>
  <c r="H166" i="27"/>
  <c r="H165" i="27"/>
  <c r="F115" i="27"/>
  <c r="M114" i="27"/>
  <c r="L114" i="27"/>
  <c r="K114" i="27"/>
  <c r="J114" i="27"/>
  <c r="I114" i="27"/>
  <c r="N113" i="27"/>
  <c r="N112" i="27"/>
  <c r="N111" i="27"/>
  <c r="N110" i="27"/>
  <c r="N109" i="27"/>
  <c r="N114" i="27" l="1"/>
  <c r="D23" i="13"/>
  <c r="M115" i="27"/>
  <c r="D24" i="13" s="1"/>
  <c r="I59" i="11" l="1"/>
  <c r="K6" i="25" l="1"/>
  <c r="E5" i="13"/>
  <c r="R80" i="26" l="1"/>
  <c r="D58" i="25"/>
  <c r="C72" i="25" l="1"/>
  <c r="D33" i="13" l="1"/>
  <c r="K129" i="31" l="1"/>
  <c r="K55" i="31"/>
  <c r="NK55" i="31"/>
  <c r="MX55" i="31"/>
  <c r="MK55" i="31"/>
  <c r="LX55" i="31"/>
  <c r="LK55" i="31"/>
  <c r="KX55" i="31"/>
  <c r="KK55" i="31"/>
  <c r="JX55" i="31"/>
  <c r="JK55" i="31"/>
  <c r="IX55" i="31"/>
  <c r="IK55" i="31"/>
  <c r="HX55" i="31"/>
  <c r="HK55" i="31"/>
  <c r="GX55" i="31"/>
  <c r="GK55" i="31"/>
  <c r="FX55" i="31"/>
  <c r="FK55" i="31"/>
  <c r="EX55" i="31"/>
  <c r="EK55" i="31"/>
  <c r="DX55" i="31"/>
  <c r="DK55" i="31"/>
  <c r="CX55" i="31"/>
  <c r="CK55" i="31"/>
  <c r="BX55" i="31"/>
  <c r="BK55" i="31"/>
  <c r="AX55" i="31"/>
  <c r="AK55" i="31"/>
  <c r="X55" i="31"/>
  <c r="H18" i="27" l="1"/>
  <c r="H14" i="27"/>
  <c r="K25" i="27" l="1"/>
  <c r="K51" i="27"/>
  <c r="NO95" i="31" l="1"/>
  <c r="NB95" i="31"/>
  <c r="MO95" i="31"/>
  <c r="MB95" i="31"/>
  <c r="LO95" i="31"/>
  <c r="LB95" i="31"/>
  <c r="KO95" i="31"/>
  <c r="KB95" i="31"/>
  <c r="JO95" i="31"/>
  <c r="JB95" i="31"/>
  <c r="IO95" i="31"/>
  <c r="IB95" i="31"/>
  <c r="HO95" i="31"/>
  <c r="HB95" i="31"/>
  <c r="GO95" i="31"/>
  <c r="GB95" i="31"/>
  <c r="FO95" i="31"/>
  <c r="FB95" i="31"/>
  <c r="EO95" i="31"/>
  <c r="EB95" i="31"/>
  <c r="DO95" i="31"/>
  <c r="DB95" i="31"/>
  <c r="CO95" i="31"/>
  <c r="CB95" i="31"/>
  <c r="BO95" i="31"/>
  <c r="BB95" i="31"/>
  <c r="AO95" i="31"/>
  <c r="AB95" i="31"/>
  <c r="O95" i="31"/>
  <c r="B95" i="31"/>
  <c r="K19" i="28" l="1"/>
  <c r="H66" i="31" l="1"/>
  <c r="H14" i="31"/>
  <c r="AI147" i="31" l="1"/>
  <c r="CI147" i="31"/>
  <c r="DV147" i="31"/>
  <c r="V147" i="31"/>
  <c r="DI147" i="31"/>
  <c r="I147" i="31"/>
  <c r="BV147" i="31"/>
  <c r="I84" i="31"/>
  <c r="E128" i="31" s="1"/>
  <c r="CV147" i="31"/>
  <c r="BI147" i="31"/>
  <c r="AV147" i="31"/>
  <c r="NV147" i="31"/>
  <c r="JV84" i="31"/>
  <c r="JR128" i="31" s="1"/>
  <c r="DV84" i="31"/>
  <c r="DR128" i="31" s="1"/>
  <c r="JI84" i="31"/>
  <c r="JE128" i="31" s="1"/>
  <c r="DI84" i="31"/>
  <c r="DE128" i="31" s="1"/>
  <c r="HV84" i="31"/>
  <c r="HR128" i="31" s="1"/>
  <c r="HI84" i="31"/>
  <c r="HE128" i="31" s="1"/>
  <c r="MV84" i="31"/>
  <c r="MR128" i="31" s="1"/>
  <c r="AV84" i="31"/>
  <c r="AR128" i="31" s="1"/>
  <c r="MI84" i="31"/>
  <c r="ME128" i="31" s="1"/>
  <c r="AI84" i="31"/>
  <c r="AE128" i="31" s="1"/>
  <c r="FV84" i="31"/>
  <c r="FR128" i="31" s="1"/>
  <c r="V84" i="31"/>
  <c r="R128" i="31" s="1"/>
  <c r="LI84" i="31"/>
  <c r="LE128" i="31" s="1"/>
  <c r="KV84" i="31"/>
  <c r="KR128" i="31" s="1"/>
  <c r="KI84" i="31"/>
  <c r="KE128" i="31" s="1"/>
  <c r="IV84" i="31"/>
  <c r="IR128" i="31" s="1"/>
  <c r="CV84" i="31"/>
  <c r="CR128" i="31" s="1"/>
  <c r="II84" i="31"/>
  <c r="IE128" i="31" s="1"/>
  <c r="CI84" i="31"/>
  <c r="CE128" i="31" s="1"/>
  <c r="NV84" i="31"/>
  <c r="NR128" i="31" s="1"/>
  <c r="BV84" i="31"/>
  <c r="BR128" i="31" s="1"/>
  <c r="NI84" i="31"/>
  <c r="NE128" i="31" s="1"/>
  <c r="BI84" i="31"/>
  <c r="BE128" i="31" s="1"/>
  <c r="GV84" i="31"/>
  <c r="GR128" i="31" s="1"/>
  <c r="GI84" i="31"/>
  <c r="GE128" i="31" s="1"/>
  <c r="LV84" i="31"/>
  <c r="LR128" i="31" s="1"/>
  <c r="FI84" i="31"/>
  <c r="FE128" i="31" s="1"/>
  <c r="EV84" i="31"/>
  <c r="ER128" i="31" s="1"/>
  <c r="EI84" i="31"/>
  <c r="EE128" i="31" s="1"/>
  <c r="R163" i="31" l="1"/>
  <c r="O160" i="31"/>
  <c r="AE163" i="31"/>
  <c r="AB160" i="31"/>
  <c r="AR163" i="31"/>
  <c r="AO160" i="31"/>
  <c r="BE163" i="31"/>
  <c r="BB160" i="31"/>
  <c r="BR163" i="31"/>
  <c r="BO160" i="31"/>
  <c r="CB160" i="31"/>
  <c r="CE163" i="31"/>
  <c r="CR163" i="31"/>
  <c r="CO160" i="31"/>
  <c r="DB160" i="31"/>
  <c r="DE163" i="31"/>
  <c r="DR163" i="31"/>
  <c r="DO160" i="31"/>
  <c r="B160" i="31"/>
  <c r="E163" i="31"/>
  <c r="DB125" i="31"/>
  <c r="FO125" i="31"/>
  <c r="IB125" i="31"/>
  <c r="GB125" i="31"/>
  <c r="CO125" i="31"/>
  <c r="MB125" i="31"/>
  <c r="JO125" i="31"/>
  <c r="NO125" i="31"/>
  <c r="JB125" i="31"/>
  <c r="GO125" i="31"/>
  <c r="CB125" i="31"/>
  <c r="AB125" i="31"/>
  <c r="BB125" i="31"/>
  <c r="KB125" i="31"/>
  <c r="MO125" i="31"/>
  <c r="O125" i="31"/>
  <c r="FB125" i="31"/>
  <c r="LO125" i="31"/>
  <c r="DO125" i="31"/>
  <c r="IO125" i="31"/>
  <c r="NB125" i="31"/>
  <c r="KO125" i="31"/>
  <c r="HB125" i="31"/>
  <c r="EO125" i="31"/>
  <c r="AO125" i="31"/>
  <c r="EB125" i="31"/>
  <c r="BO125" i="31"/>
  <c r="LB125" i="31"/>
  <c r="HO125" i="31"/>
  <c r="OF145" i="31"/>
  <c r="OB149" i="31"/>
  <c r="OJ146" i="31"/>
  <c r="OF148" i="31"/>
  <c r="OH147" i="31"/>
  <c r="OD145" i="31"/>
  <c r="OF151" i="31"/>
  <c r="OH151" i="31"/>
  <c r="OD152" i="31"/>
  <c r="OD150" i="31"/>
  <c r="OB151" i="31"/>
  <c r="OH148" i="31"/>
  <c r="OD153" i="31"/>
  <c r="OF150" i="31"/>
  <c r="OB148" i="31"/>
  <c r="OH145" i="31"/>
  <c r="OD146" i="31"/>
  <c r="OH152" i="31"/>
  <c r="OF153" i="31"/>
  <c r="OD148" i="31"/>
  <c r="OB147" i="31"/>
  <c r="OD147" i="31"/>
  <c r="OH150" i="31"/>
  <c r="OD149" i="31"/>
  <c r="OB153" i="31"/>
  <c r="OB146" i="31"/>
  <c r="OF146" i="31"/>
  <c r="OB154" i="31"/>
  <c r="OD151" i="31"/>
  <c r="OJ145" i="31"/>
  <c r="OB150" i="31"/>
  <c r="OB145" i="31"/>
  <c r="OB152" i="31"/>
  <c r="OF147" i="31"/>
  <c r="OF154" i="31"/>
  <c r="OH153" i="31"/>
  <c r="OF149" i="31"/>
  <c r="OF152" i="31"/>
  <c r="OH146" i="31"/>
  <c r="OD154" i="31"/>
  <c r="OH149" i="31"/>
  <c r="R97" i="31"/>
  <c r="O97" i="31"/>
  <c r="AE97" i="31"/>
  <c r="AB97" i="31"/>
  <c r="AR97" i="31"/>
  <c r="AO97" i="31"/>
  <c r="BE97" i="31"/>
  <c r="BB97" i="31"/>
  <c r="BR97" i="31"/>
  <c r="BO97" i="31"/>
  <c r="CE97" i="31"/>
  <c r="CB97" i="31"/>
  <c r="CR97" i="31"/>
  <c r="CO97" i="31"/>
  <c r="DE97" i="31"/>
  <c r="DB97" i="31"/>
  <c r="DR97" i="31"/>
  <c r="DO97" i="31"/>
  <c r="EE97" i="31"/>
  <c r="EB97" i="31"/>
  <c r="ER97" i="31"/>
  <c r="EO97" i="31"/>
  <c r="FE97" i="31"/>
  <c r="FB97" i="31"/>
  <c r="FR97" i="31"/>
  <c r="FO97" i="31"/>
  <c r="GE97" i="31"/>
  <c r="GB97" i="31"/>
  <c r="GR97" i="31"/>
  <c r="GO97" i="31"/>
  <c r="HE97" i="31"/>
  <c r="HB97" i="31"/>
  <c r="HR97" i="31"/>
  <c r="HO97" i="31"/>
  <c r="IE97" i="31"/>
  <c r="IB97" i="31"/>
  <c r="IR97" i="31"/>
  <c r="IO97" i="31"/>
  <c r="JE97" i="31"/>
  <c r="JB97" i="31"/>
  <c r="JR97" i="31"/>
  <c r="JO97" i="31"/>
  <c r="KE97" i="31"/>
  <c r="KB97" i="31"/>
  <c r="KR97" i="31"/>
  <c r="KO97" i="31"/>
  <c r="LE97" i="31"/>
  <c r="LB97" i="31"/>
  <c r="LR97" i="31"/>
  <c r="LO97" i="31"/>
  <c r="ME97" i="31"/>
  <c r="MB97" i="31"/>
  <c r="MR97" i="31"/>
  <c r="MO97" i="31"/>
  <c r="NE97" i="31"/>
  <c r="NB97" i="31"/>
  <c r="NR97" i="31"/>
  <c r="NO97" i="31"/>
  <c r="H158" i="28" l="1"/>
  <c r="E150" i="28"/>
  <c r="F46" i="22" l="1"/>
  <c r="E25" i="22"/>
  <c r="C24" i="22"/>
  <c r="E18" i="22"/>
  <c r="C21" i="22" s="1"/>
  <c r="B26" i="22"/>
  <c r="B57" i="22" l="1"/>
  <c r="B56" i="22"/>
  <c r="B55" i="22"/>
  <c r="B54" i="22"/>
  <c r="B53" i="22"/>
  <c r="B52" i="22"/>
  <c r="B51" i="22"/>
  <c r="B50" i="22"/>
  <c r="B49" i="22"/>
  <c r="B48" i="22"/>
  <c r="B47" i="22"/>
  <c r="B37" i="22"/>
  <c r="B36" i="22"/>
  <c r="B35" i="22"/>
  <c r="B34" i="22"/>
  <c r="B33" i="22"/>
  <c r="B32" i="22"/>
  <c r="B31" i="22"/>
  <c r="B30" i="22"/>
  <c r="B29" i="22"/>
  <c r="B28" i="22"/>
  <c r="B27" i="22"/>
  <c r="I26" i="22" l="1"/>
  <c r="K47" i="22"/>
  <c r="F129" i="27"/>
  <c r="B97" i="31" l="1"/>
  <c r="H130" i="25" l="1"/>
  <c r="H1" i="4" l="1"/>
  <c r="D26" i="13"/>
  <c r="D29" i="13"/>
  <c r="DN122" i="31"/>
  <c r="DN121" i="31"/>
  <c r="DN120" i="31"/>
  <c r="DN119" i="31"/>
  <c r="DN118" i="31"/>
  <c r="DN117" i="31"/>
  <c r="DN116" i="31"/>
  <c r="DN115" i="31"/>
  <c r="DN114" i="31"/>
  <c r="DN113" i="31"/>
  <c r="DN112" i="31"/>
  <c r="DN111" i="31"/>
  <c r="DN110" i="31"/>
  <c r="DN109" i="31"/>
  <c r="DN108" i="31"/>
  <c r="DN107" i="31"/>
  <c r="DN106" i="31"/>
  <c r="DN105" i="31"/>
  <c r="DN104" i="31"/>
  <c r="DN103" i="31"/>
  <c r="DN102" i="31"/>
  <c r="DN101" i="31"/>
  <c r="DN100" i="31"/>
  <c r="DN99" i="31"/>
  <c r="DN98" i="31"/>
  <c r="DA122" i="31"/>
  <c r="DA121" i="31"/>
  <c r="DA120" i="31"/>
  <c r="DA119" i="31"/>
  <c r="DA118" i="31"/>
  <c r="DA117" i="31"/>
  <c r="DA116" i="31"/>
  <c r="DA115" i="31"/>
  <c r="DA114" i="31"/>
  <c r="DA113" i="31"/>
  <c r="DA112" i="31"/>
  <c r="DA111" i="31"/>
  <c r="DA110" i="31"/>
  <c r="DA109" i="31"/>
  <c r="DA108" i="31"/>
  <c r="DA107" i="31"/>
  <c r="DA106" i="31"/>
  <c r="DA105" i="31"/>
  <c r="DA104" i="31"/>
  <c r="DA103" i="31"/>
  <c r="DA102" i="31"/>
  <c r="DA101" i="31"/>
  <c r="DA100" i="31"/>
  <c r="DA99" i="31"/>
  <c r="DA98" i="31"/>
  <c r="CN122" i="31" l="1"/>
  <c r="CN121" i="31"/>
  <c r="CN120" i="31"/>
  <c r="CN119" i="31"/>
  <c r="CN118" i="31"/>
  <c r="CN117" i="31"/>
  <c r="CN116" i="31"/>
  <c r="CN115" i="31"/>
  <c r="CN114" i="31"/>
  <c r="CN113" i="31"/>
  <c r="CN112" i="31"/>
  <c r="CN111" i="31"/>
  <c r="CN110" i="31"/>
  <c r="CN109" i="31"/>
  <c r="CN108" i="31"/>
  <c r="CN107" i="31"/>
  <c r="CN106" i="31"/>
  <c r="CN105" i="31"/>
  <c r="CN104" i="31"/>
  <c r="CN103" i="31"/>
  <c r="CN102" i="31"/>
  <c r="CN101" i="31"/>
  <c r="CN100" i="31"/>
  <c r="CN99" i="31"/>
  <c r="CN98" i="31"/>
  <c r="CA122" i="31"/>
  <c r="CA121" i="31"/>
  <c r="CA120" i="31"/>
  <c r="CA119" i="31"/>
  <c r="CA118" i="31"/>
  <c r="CA117" i="31"/>
  <c r="CA116" i="31"/>
  <c r="CA115" i="31"/>
  <c r="CA114" i="31"/>
  <c r="CA113" i="31"/>
  <c r="CA112" i="31"/>
  <c r="CA111" i="31"/>
  <c r="CA110" i="31"/>
  <c r="CA109" i="31"/>
  <c r="CA108" i="31"/>
  <c r="CA107" i="31"/>
  <c r="CA106" i="31"/>
  <c r="CA105" i="31"/>
  <c r="CA104" i="31"/>
  <c r="CA103" i="31"/>
  <c r="CA102" i="31"/>
  <c r="CA101" i="31"/>
  <c r="CA100" i="31"/>
  <c r="CA99" i="31"/>
  <c r="CA98" i="31"/>
  <c r="BN122" i="31"/>
  <c r="BN121" i="31"/>
  <c r="BN120" i="31"/>
  <c r="BN119" i="31"/>
  <c r="BN118" i="31"/>
  <c r="BN117" i="31"/>
  <c r="BN116" i="31"/>
  <c r="BN115" i="31"/>
  <c r="BN114" i="31"/>
  <c r="BN113" i="31"/>
  <c r="BN112" i="31"/>
  <c r="BN111" i="31"/>
  <c r="BN110" i="31"/>
  <c r="BN109" i="31"/>
  <c r="BN108" i="31"/>
  <c r="BN107" i="31"/>
  <c r="BN106" i="31"/>
  <c r="BN105" i="31"/>
  <c r="BN104" i="31"/>
  <c r="BN103" i="31"/>
  <c r="BN102" i="31"/>
  <c r="BN101" i="31"/>
  <c r="BN100" i="31"/>
  <c r="BN99" i="31"/>
  <c r="BN98" i="31"/>
  <c r="BA122" i="31"/>
  <c r="BA121" i="31"/>
  <c r="BA120" i="31"/>
  <c r="BA119" i="31"/>
  <c r="BA118" i="31"/>
  <c r="BA117" i="31"/>
  <c r="BA116" i="31"/>
  <c r="BA115" i="31"/>
  <c r="BA114" i="31"/>
  <c r="BA113" i="31"/>
  <c r="BA112" i="31"/>
  <c r="BA111" i="31"/>
  <c r="BA110" i="31"/>
  <c r="BA108" i="31"/>
  <c r="BA109" i="31"/>
  <c r="BA107" i="31"/>
  <c r="BA106" i="31"/>
  <c r="BA105" i="31"/>
  <c r="BA104" i="31"/>
  <c r="BA103" i="31"/>
  <c r="BA102" i="31"/>
  <c r="BA101" i="31"/>
  <c r="BA100" i="31"/>
  <c r="BA99" i="31"/>
  <c r="BA98" i="31"/>
  <c r="AN122" i="31"/>
  <c r="AN121" i="31"/>
  <c r="AN120" i="31"/>
  <c r="AN119" i="31"/>
  <c r="AN118" i="31"/>
  <c r="AN117" i="31"/>
  <c r="AN116" i="31"/>
  <c r="AN115" i="31"/>
  <c r="AN114" i="31"/>
  <c r="AN113" i="31"/>
  <c r="AN112" i="31"/>
  <c r="AN111" i="31"/>
  <c r="AN110" i="31"/>
  <c r="AN109" i="31"/>
  <c r="AN108" i="31"/>
  <c r="AN107" i="31"/>
  <c r="AN106" i="31"/>
  <c r="AN105" i="31"/>
  <c r="AN104" i="31"/>
  <c r="AN103" i="31"/>
  <c r="AN102" i="31"/>
  <c r="AN101" i="31"/>
  <c r="AN100" i="31"/>
  <c r="AN99" i="31"/>
  <c r="AN98" i="31"/>
  <c r="AA122" i="31"/>
  <c r="AA121" i="31"/>
  <c r="AA120" i="31"/>
  <c r="AA119" i="31"/>
  <c r="AA118" i="31"/>
  <c r="AA117" i="31"/>
  <c r="AA116" i="31"/>
  <c r="AA115" i="31"/>
  <c r="AA114" i="31"/>
  <c r="AA113" i="31"/>
  <c r="AA112" i="31"/>
  <c r="AA111" i="31"/>
  <c r="AA110" i="31"/>
  <c r="AA109" i="31"/>
  <c r="AA108" i="31"/>
  <c r="AA107" i="31"/>
  <c r="AA106" i="31"/>
  <c r="AA105" i="31"/>
  <c r="AA104" i="31"/>
  <c r="AA103" i="31"/>
  <c r="AA102" i="31"/>
  <c r="AA101" i="31"/>
  <c r="AA100" i="31"/>
  <c r="AA99" i="31"/>
  <c r="AA98" i="31"/>
  <c r="N122" i="31"/>
  <c r="N121" i="31"/>
  <c r="N120" i="31"/>
  <c r="N119" i="31"/>
  <c r="N118" i="31"/>
  <c r="N117" i="31"/>
  <c r="N116" i="31"/>
  <c r="N115" i="31"/>
  <c r="N114" i="31"/>
  <c r="N113" i="31"/>
  <c r="N112" i="31"/>
  <c r="N111" i="31"/>
  <c r="N110" i="31"/>
  <c r="N109" i="31"/>
  <c r="N108" i="31"/>
  <c r="N107" i="31"/>
  <c r="N106" i="31"/>
  <c r="N105" i="31"/>
  <c r="N104" i="31"/>
  <c r="N103" i="31"/>
  <c r="N102" i="31"/>
  <c r="N101" i="31"/>
  <c r="N100" i="31"/>
  <c r="N99" i="31"/>
  <c r="N98" i="31"/>
  <c r="A122" i="31"/>
  <c r="A121" i="31"/>
  <c r="A120" i="31"/>
  <c r="A119" i="31"/>
  <c r="A118" i="31"/>
  <c r="A117" i="31"/>
  <c r="A116" i="31"/>
  <c r="A115" i="31"/>
  <c r="A114" i="31"/>
  <c r="A113" i="31"/>
  <c r="A112" i="31"/>
  <c r="A111" i="31"/>
  <c r="A110" i="31"/>
  <c r="A109" i="31"/>
  <c r="A108" i="31"/>
  <c r="A107" i="31"/>
  <c r="A106" i="31"/>
  <c r="A105" i="31"/>
  <c r="A104" i="31"/>
  <c r="A103" i="31"/>
  <c r="A102" i="31"/>
  <c r="A101" i="31"/>
  <c r="A100" i="31"/>
  <c r="A99" i="31"/>
  <c r="NV122" i="31" l="1"/>
  <c r="NN122" i="31"/>
  <c r="NV121" i="31"/>
  <c r="NN121" i="31"/>
  <c r="NV120" i="31"/>
  <c r="NN120" i="31"/>
  <c r="NV119" i="31"/>
  <c r="NN119" i="31"/>
  <c r="NV118" i="31"/>
  <c r="NN118" i="31"/>
  <c r="NV117" i="31"/>
  <c r="NN117" i="31"/>
  <c r="NV116" i="31"/>
  <c r="NN116" i="31"/>
  <c r="NV115" i="31"/>
  <c r="NN115" i="31"/>
  <c r="NV114" i="31"/>
  <c r="NN114" i="31"/>
  <c r="NV113" i="31"/>
  <c r="NN113" i="31"/>
  <c r="NV112" i="31"/>
  <c r="NN112" i="31"/>
  <c r="NV111" i="31"/>
  <c r="NN111" i="31"/>
  <c r="NV110" i="31"/>
  <c r="NN110" i="31"/>
  <c r="NV109" i="31"/>
  <c r="NN109" i="31"/>
  <c r="NV108" i="31"/>
  <c r="NN108" i="31"/>
  <c r="NV107" i="31"/>
  <c r="NN107" i="31"/>
  <c r="NV106" i="31"/>
  <c r="NN106" i="31"/>
  <c r="NV105" i="31"/>
  <c r="NN105" i="31"/>
  <c r="NV104" i="31"/>
  <c r="NN104" i="31"/>
  <c r="NV103" i="31"/>
  <c r="NN103" i="31"/>
  <c r="NV102" i="31"/>
  <c r="NN102" i="31"/>
  <c r="NV101" i="31"/>
  <c r="NN101" i="31"/>
  <c r="NV100" i="31"/>
  <c r="NN100" i="31"/>
  <c r="NV99" i="31"/>
  <c r="NN99" i="31"/>
  <c r="NV98" i="31"/>
  <c r="NN98" i="31"/>
  <c r="NT97" i="31"/>
  <c r="NI122" i="31"/>
  <c r="NA122" i="31"/>
  <c r="NI121" i="31"/>
  <c r="NA121" i="31"/>
  <c r="NI120" i="31"/>
  <c r="NA120" i="31"/>
  <c r="NI119" i="31"/>
  <c r="NA119" i="31"/>
  <c r="NI118" i="31"/>
  <c r="NA118" i="31"/>
  <c r="NI117" i="31"/>
  <c r="NA117" i="31"/>
  <c r="NI116" i="31"/>
  <c r="NA116" i="31"/>
  <c r="NI115" i="31"/>
  <c r="NA115" i="31"/>
  <c r="NI114" i="31"/>
  <c r="NA114" i="31"/>
  <c r="NI113" i="31"/>
  <c r="NA113" i="31"/>
  <c r="NI112" i="31"/>
  <c r="NA112" i="31"/>
  <c r="NI111" i="31"/>
  <c r="NA111" i="31"/>
  <c r="NI110" i="31"/>
  <c r="NA110" i="31"/>
  <c r="NI109" i="31"/>
  <c r="NA109" i="31"/>
  <c r="NI108" i="31"/>
  <c r="NA108" i="31"/>
  <c r="NI107" i="31"/>
  <c r="NA107" i="31"/>
  <c r="NI106" i="31"/>
  <c r="NA106" i="31"/>
  <c r="NI105" i="31"/>
  <c r="NA105" i="31"/>
  <c r="NI104" i="31"/>
  <c r="NA104" i="31"/>
  <c r="NI103" i="31"/>
  <c r="NA103" i="31"/>
  <c r="NI102" i="31"/>
  <c r="NA102" i="31"/>
  <c r="NI101" i="31"/>
  <c r="NA101" i="31"/>
  <c r="NI100" i="31"/>
  <c r="NA100" i="31"/>
  <c r="NI99" i="31"/>
  <c r="NA99" i="31"/>
  <c r="NI98" i="31"/>
  <c r="NA98" i="31"/>
  <c r="NG97" i="31"/>
  <c r="NA97" i="31" l="1"/>
  <c r="ND95" i="31" s="1"/>
  <c r="NN97" i="31"/>
  <c r="NQ95" i="31" s="1"/>
  <c r="NV97" i="31"/>
  <c r="NI97" i="31"/>
  <c r="MV122" i="31"/>
  <c r="MN122" i="31"/>
  <c r="MV121" i="31"/>
  <c r="MN121" i="31"/>
  <c r="MV120" i="31"/>
  <c r="MN120" i="31"/>
  <c r="MV119" i="31"/>
  <c r="MN119" i="31"/>
  <c r="MV118" i="31"/>
  <c r="MN118" i="31"/>
  <c r="MV117" i="31"/>
  <c r="MN117" i="31"/>
  <c r="MV116" i="31"/>
  <c r="MN116" i="31"/>
  <c r="MV115" i="31"/>
  <c r="MN115" i="31"/>
  <c r="MV114" i="31"/>
  <c r="MN114" i="31"/>
  <c r="MV113" i="31"/>
  <c r="MN113" i="31"/>
  <c r="MV112" i="31"/>
  <c r="MN112" i="31"/>
  <c r="MV111" i="31"/>
  <c r="MN111" i="31"/>
  <c r="MV110" i="31"/>
  <c r="MN110" i="31"/>
  <c r="MV109" i="31"/>
  <c r="MN109" i="31"/>
  <c r="MV108" i="31"/>
  <c r="MN108" i="31"/>
  <c r="MV107" i="31"/>
  <c r="MN107" i="31"/>
  <c r="MV106" i="31"/>
  <c r="MN106" i="31"/>
  <c r="MV105" i="31"/>
  <c r="MN105" i="31"/>
  <c r="MV104" i="31"/>
  <c r="MN104" i="31"/>
  <c r="MV103" i="31"/>
  <c r="MN103" i="31"/>
  <c r="MV102" i="31"/>
  <c r="MN102" i="31"/>
  <c r="MV101" i="31"/>
  <c r="MN101" i="31"/>
  <c r="MV100" i="31"/>
  <c r="MN100" i="31"/>
  <c r="MV99" i="31"/>
  <c r="MN99" i="31"/>
  <c r="MV98" i="31"/>
  <c r="MN98" i="31"/>
  <c r="MT97" i="31"/>
  <c r="MI122" i="31"/>
  <c r="MA122" i="31"/>
  <c r="MI121" i="31"/>
  <c r="MA121" i="31"/>
  <c r="MI120" i="31"/>
  <c r="MA120" i="31"/>
  <c r="MI119" i="31"/>
  <c r="MA119" i="31"/>
  <c r="MI118" i="31"/>
  <c r="MA118" i="31"/>
  <c r="MI117" i="31"/>
  <c r="MA117" i="31"/>
  <c r="MI116" i="31"/>
  <c r="MA116" i="31"/>
  <c r="MI115" i="31"/>
  <c r="MA115" i="31"/>
  <c r="MI114" i="31"/>
  <c r="MA114" i="31"/>
  <c r="MI113" i="31"/>
  <c r="MA113" i="31"/>
  <c r="MI112" i="31"/>
  <c r="MA112" i="31"/>
  <c r="MI111" i="31"/>
  <c r="MA111" i="31"/>
  <c r="MI110" i="31"/>
  <c r="MA110" i="31"/>
  <c r="MI109" i="31"/>
  <c r="MA109" i="31"/>
  <c r="MI108" i="31"/>
  <c r="MA108" i="31"/>
  <c r="MI107" i="31"/>
  <c r="MA107" i="31"/>
  <c r="MI106" i="31"/>
  <c r="MA106" i="31"/>
  <c r="MI105" i="31"/>
  <c r="MA105" i="31"/>
  <c r="MI104" i="31"/>
  <c r="MA104" i="31"/>
  <c r="MI103" i="31"/>
  <c r="MA103" i="31"/>
  <c r="MI102" i="31"/>
  <c r="MA102" i="31"/>
  <c r="MI101" i="31"/>
  <c r="MA101" i="31"/>
  <c r="MI100" i="31"/>
  <c r="MA100" i="31"/>
  <c r="MI99" i="31"/>
  <c r="MA99" i="31"/>
  <c r="MI98" i="31"/>
  <c r="MA98" i="31"/>
  <c r="MG97" i="31"/>
  <c r="LV122" i="31"/>
  <c r="LN122" i="31"/>
  <c r="LV121" i="31"/>
  <c r="LN121" i="31"/>
  <c r="LV120" i="31"/>
  <c r="LN120" i="31"/>
  <c r="LV119" i="31"/>
  <c r="LN119" i="31"/>
  <c r="LV118" i="31"/>
  <c r="LN118" i="31"/>
  <c r="LV117" i="31"/>
  <c r="LN117" i="31"/>
  <c r="LV116" i="31"/>
  <c r="LN116" i="31"/>
  <c r="LV115" i="31"/>
  <c r="LN115" i="31"/>
  <c r="LV114" i="31"/>
  <c r="LN114" i="31"/>
  <c r="LV113" i="31"/>
  <c r="LN113" i="31"/>
  <c r="LV112" i="31"/>
  <c r="LN112" i="31"/>
  <c r="LV111" i="31"/>
  <c r="LN111" i="31"/>
  <c r="LV110" i="31"/>
  <c r="LN110" i="31"/>
  <c r="LV109" i="31"/>
  <c r="LN109" i="31"/>
  <c r="LV108" i="31"/>
  <c r="LN108" i="31"/>
  <c r="LV107" i="31"/>
  <c r="LN107" i="31"/>
  <c r="LV106" i="31"/>
  <c r="LN106" i="31"/>
  <c r="LV105" i="31"/>
  <c r="LN105" i="31"/>
  <c r="LV104" i="31"/>
  <c r="LN104" i="31"/>
  <c r="LV103" i="31"/>
  <c r="LN103" i="31"/>
  <c r="LV102" i="31"/>
  <c r="LN102" i="31"/>
  <c r="LV101" i="31"/>
  <c r="LN101" i="31"/>
  <c r="LV100" i="31"/>
  <c r="LN100" i="31"/>
  <c r="LV99" i="31"/>
  <c r="LN99" i="31"/>
  <c r="LV98" i="31"/>
  <c r="LN98" i="31"/>
  <c r="LT97" i="31"/>
  <c r="LI122" i="31"/>
  <c r="LA122" i="31"/>
  <c r="LI121" i="31"/>
  <c r="LA121" i="31"/>
  <c r="LI120" i="31"/>
  <c r="LA120" i="31"/>
  <c r="LI119" i="31"/>
  <c r="LA119" i="31"/>
  <c r="LI118" i="31"/>
  <c r="LA118" i="31"/>
  <c r="LI117" i="31"/>
  <c r="LA117" i="31"/>
  <c r="LI116" i="31"/>
  <c r="LA116" i="31"/>
  <c r="LI115" i="31"/>
  <c r="LA115" i="31"/>
  <c r="LI114" i="31"/>
  <c r="LA114" i="31"/>
  <c r="LI113" i="31"/>
  <c r="LA113" i="31"/>
  <c r="LI112" i="31"/>
  <c r="LA112" i="31"/>
  <c r="LI111" i="31"/>
  <c r="LA111" i="31"/>
  <c r="LI110" i="31"/>
  <c r="LA110" i="31"/>
  <c r="LI109" i="31"/>
  <c r="LA109" i="31"/>
  <c r="LI108" i="31"/>
  <c r="LA108" i="31"/>
  <c r="LI107" i="31"/>
  <c r="LA107" i="31"/>
  <c r="LI106" i="31"/>
  <c r="LA106" i="31"/>
  <c r="LI105" i="31"/>
  <c r="LA105" i="31"/>
  <c r="LI104" i="31"/>
  <c r="LA104" i="31"/>
  <c r="LI103" i="31"/>
  <c r="LA103" i="31"/>
  <c r="LI102" i="31"/>
  <c r="LA102" i="31"/>
  <c r="LI101" i="31"/>
  <c r="LA101" i="31"/>
  <c r="LI100" i="31"/>
  <c r="LA100" i="31"/>
  <c r="LI99" i="31"/>
  <c r="LA99" i="31"/>
  <c r="LI98" i="31"/>
  <c r="LA98" i="31"/>
  <c r="LG97" i="31"/>
  <c r="KV122" i="31"/>
  <c r="KN122" i="31"/>
  <c r="KV121" i="31"/>
  <c r="KN121" i="31"/>
  <c r="KV120" i="31"/>
  <c r="KN120" i="31"/>
  <c r="KV119" i="31"/>
  <c r="KN119" i="31"/>
  <c r="KV118" i="31"/>
  <c r="KN118" i="31"/>
  <c r="KV117" i="31"/>
  <c r="KN117" i="31"/>
  <c r="KV116" i="31"/>
  <c r="KN116" i="31"/>
  <c r="KV115" i="31"/>
  <c r="KN115" i="31"/>
  <c r="KV114" i="31"/>
  <c r="KN114" i="31"/>
  <c r="KV113" i="31"/>
  <c r="KN113" i="31"/>
  <c r="KV112" i="31"/>
  <c r="KN112" i="31"/>
  <c r="KV111" i="31"/>
  <c r="KN111" i="31"/>
  <c r="KV110" i="31"/>
  <c r="KN110" i="31"/>
  <c r="KV109" i="31"/>
  <c r="KN109" i="31"/>
  <c r="KV108" i="31"/>
  <c r="KN108" i="31"/>
  <c r="KV107" i="31"/>
  <c r="KN107" i="31"/>
  <c r="KV106" i="31"/>
  <c r="KN106" i="31"/>
  <c r="KV105" i="31"/>
  <c r="KN105" i="31"/>
  <c r="KV104" i="31"/>
  <c r="KN104" i="31"/>
  <c r="KV103" i="31"/>
  <c r="KN103" i="31"/>
  <c r="KV102" i="31"/>
  <c r="KN102" i="31"/>
  <c r="KV101" i="31"/>
  <c r="KN101" i="31"/>
  <c r="KV100" i="31"/>
  <c r="KN100" i="31"/>
  <c r="KV99" i="31"/>
  <c r="KN99" i="31"/>
  <c r="KV98" i="31"/>
  <c r="KN98" i="31"/>
  <c r="KT97" i="31"/>
  <c r="KI122" i="31"/>
  <c r="KA122" i="31"/>
  <c r="KI121" i="31"/>
  <c r="KA121" i="31"/>
  <c r="KI120" i="31"/>
  <c r="KA120" i="31"/>
  <c r="KI119" i="31"/>
  <c r="KA119" i="31"/>
  <c r="KI118" i="31"/>
  <c r="KA118" i="31"/>
  <c r="KI117" i="31"/>
  <c r="KA117" i="31"/>
  <c r="KI116" i="31"/>
  <c r="KA116" i="31"/>
  <c r="KI115" i="31"/>
  <c r="KA115" i="31"/>
  <c r="KI114" i="31"/>
  <c r="KA114" i="31"/>
  <c r="KI113" i="31"/>
  <c r="KA113" i="31"/>
  <c r="KI112" i="31"/>
  <c r="KA112" i="31"/>
  <c r="KI111" i="31"/>
  <c r="KA111" i="31"/>
  <c r="KI110" i="31"/>
  <c r="KA110" i="31"/>
  <c r="KI109" i="31"/>
  <c r="KA109" i="31"/>
  <c r="KI108" i="31"/>
  <c r="KA108" i="31"/>
  <c r="KI107" i="31"/>
  <c r="KA107" i="31"/>
  <c r="KI106" i="31"/>
  <c r="KA106" i="31"/>
  <c r="KI105" i="31"/>
  <c r="KA105" i="31"/>
  <c r="KI104" i="31"/>
  <c r="KA104" i="31"/>
  <c r="KI103" i="31"/>
  <c r="KA103" i="31"/>
  <c r="KI102" i="31"/>
  <c r="KA102" i="31"/>
  <c r="KI101" i="31"/>
  <c r="KA101" i="31"/>
  <c r="KI100" i="31"/>
  <c r="KA100" i="31"/>
  <c r="KI99" i="31"/>
  <c r="KA99" i="31"/>
  <c r="KI98" i="31"/>
  <c r="KA98" i="31"/>
  <c r="KG97" i="31"/>
  <c r="JV122" i="31"/>
  <c r="JN122" i="31"/>
  <c r="JV121" i="31"/>
  <c r="JN121" i="31"/>
  <c r="JV120" i="31"/>
  <c r="JN120" i="31"/>
  <c r="JV119" i="31"/>
  <c r="JN119" i="31"/>
  <c r="JV118" i="31"/>
  <c r="JN118" i="31"/>
  <c r="JV117" i="31"/>
  <c r="JN117" i="31"/>
  <c r="JV116" i="31"/>
  <c r="JN116" i="31"/>
  <c r="JV115" i="31"/>
  <c r="JN115" i="31"/>
  <c r="JV114" i="31"/>
  <c r="JN114" i="31"/>
  <c r="JV113" i="31"/>
  <c r="JN113" i="31"/>
  <c r="JV112" i="31"/>
  <c r="JN112" i="31"/>
  <c r="JV111" i="31"/>
  <c r="JN111" i="31"/>
  <c r="JV110" i="31"/>
  <c r="JN110" i="31"/>
  <c r="JV109" i="31"/>
  <c r="JN109" i="31"/>
  <c r="JV108" i="31"/>
  <c r="JN108" i="31"/>
  <c r="JV107" i="31"/>
  <c r="JN107" i="31"/>
  <c r="JV106" i="31"/>
  <c r="JN106" i="31"/>
  <c r="JV105" i="31"/>
  <c r="JN105" i="31"/>
  <c r="JV104" i="31"/>
  <c r="JN104" i="31"/>
  <c r="JV103" i="31"/>
  <c r="JN103" i="31"/>
  <c r="JV102" i="31"/>
  <c r="JN102" i="31"/>
  <c r="JV101" i="31"/>
  <c r="JN101" i="31"/>
  <c r="JV100" i="31"/>
  <c r="JN100" i="31"/>
  <c r="JV99" i="31"/>
  <c r="JN99" i="31"/>
  <c r="JV98" i="31"/>
  <c r="JN98" i="31"/>
  <c r="JT97" i="31"/>
  <c r="JI122" i="31"/>
  <c r="JA122" i="31"/>
  <c r="JI121" i="31"/>
  <c r="JA121" i="31"/>
  <c r="JI120" i="31"/>
  <c r="JA120" i="31"/>
  <c r="JI119" i="31"/>
  <c r="JA119" i="31"/>
  <c r="JI118" i="31"/>
  <c r="JA118" i="31"/>
  <c r="JI117" i="31"/>
  <c r="JA117" i="31"/>
  <c r="JI116" i="31"/>
  <c r="JA116" i="31"/>
  <c r="JI115" i="31"/>
  <c r="JA115" i="31"/>
  <c r="JI114" i="31"/>
  <c r="JA114" i="31"/>
  <c r="JI113" i="31"/>
  <c r="JA113" i="31"/>
  <c r="JI112" i="31"/>
  <c r="JA112" i="31"/>
  <c r="JI111" i="31"/>
  <c r="JA111" i="31"/>
  <c r="JI110" i="31"/>
  <c r="JA110" i="31"/>
  <c r="JI109" i="31"/>
  <c r="JA109" i="31"/>
  <c r="JI108" i="31"/>
  <c r="JA108" i="31"/>
  <c r="JI107" i="31"/>
  <c r="JA107" i="31"/>
  <c r="JI106" i="31"/>
  <c r="JA106" i="31"/>
  <c r="JI105" i="31"/>
  <c r="JA105" i="31"/>
  <c r="JI104" i="31"/>
  <c r="JA104" i="31"/>
  <c r="JI103" i="31"/>
  <c r="JA103" i="31"/>
  <c r="JI102" i="31"/>
  <c r="JA102" i="31"/>
  <c r="JI101" i="31"/>
  <c r="JA101" i="31"/>
  <c r="JI100" i="31"/>
  <c r="JA100" i="31"/>
  <c r="JI99" i="31"/>
  <c r="JA99" i="31"/>
  <c r="JI98" i="31"/>
  <c r="JA98" i="31"/>
  <c r="JG97" i="31"/>
  <c r="IV122" i="31"/>
  <c r="IN122" i="31"/>
  <c r="IV121" i="31"/>
  <c r="IN121" i="31"/>
  <c r="IV120" i="31"/>
  <c r="IN120" i="31"/>
  <c r="IV119" i="31"/>
  <c r="IN119" i="31"/>
  <c r="IV118" i="31"/>
  <c r="IN118" i="31"/>
  <c r="IV117" i="31"/>
  <c r="IN117" i="31"/>
  <c r="IV116" i="31"/>
  <c r="IN116" i="31"/>
  <c r="IV115" i="31"/>
  <c r="IN115" i="31"/>
  <c r="IV114" i="31"/>
  <c r="IN114" i="31"/>
  <c r="IV113" i="31"/>
  <c r="IN113" i="31"/>
  <c r="IV112" i="31"/>
  <c r="IN112" i="31"/>
  <c r="IV111" i="31"/>
  <c r="IN111" i="31"/>
  <c r="IV110" i="31"/>
  <c r="IN110" i="31"/>
  <c r="IV109" i="31"/>
  <c r="IN109" i="31"/>
  <c r="IV108" i="31"/>
  <c r="IN108" i="31"/>
  <c r="IV107" i="31"/>
  <c r="IN107" i="31"/>
  <c r="IV106" i="31"/>
  <c r="IN106" i="31"/>
  <c r="IV105" i="31"/>
  <c r="IN105" i="31"/>
  <c r="IV104" i="31"/>
  <c r="IN104" i="31"/>
  <c r="IV103" i="31"/>
  <c r="IN103" i="31"/>
  <c r="IV102" i="31"/>
  <c r="IN102" i="31"/>
  <c r="IV101" i="31"/>
  <c r="IN101" i="31"/>
  <c r="IV100" i="31"/>
  <c r="IN100" i="31"/>
  <c r="IV99" i="31"/>
  <c r="IN99" i="31"/>
  <c r="IV98" i="31"/>
  <c r="IN98" i="31"/>
  <c r="IT97" i="31"/>
  <c r="II122" i="31"/>
  <c r="IA122" i="31"/>
  <c r="II121" i="31"/>
  <c r="IA121" i="31"/>
  <c r="II120" i="31"/>
  <c r="IA120" i="31"/>
  <c r="II119" i="31"/>
  <c r="IA119" i="31"/>
  <c r="II118" i="31"/>
  <c r="IA118" i="31"/>
  <c r="II117" i="31"/>
  <c r="IA117" i="31"/>
  <c r="II116" i="31"/>
  <c r="IA116" i="31"/>
  <c r="II115" i="31"/>
  <c r="IA115" i="31"/>
  <c r="II114" i="31"/>
  <c r="IA114" i="31"/>
  <c r="II113" i="31"/>
  <c r="IA113" i="31"/>
  <c r="II112" i="31"/>
  <c r="IA112" i="31"/>
  <c r="II111" i="31"/>
  <c r="IA111" i="31"/>
  <c r="II110" i="31"/>
  <c r="IA110" i="31"/>
  <c r="II109" i="31"/>
  <c r="IA109" i="31"/>
  <c r="II108" i="31"/>
  <c r="IA108" i="31"/>
  <c r="II107" i="31"/>
  <c r="IA107" i="31"/>
  <c r="II106" i="31"/>
  <c r="IA106" i="31"/>
  <c r="II105" i="31"/>
  <c r="IA105" i="31"/>
  <c r="II104" i="31"/>
  <c r="IA104" i="31"/>
  <c r="II103" i="31"/>
  <c r="IA103" i="31"/>
  <c r="II102" i="31"/>
  <c r="IA102" i="31"/>
  <c r="II101" i="31"/>
  <c r="IA101" i="31"/>
  <c r="II100" i="31"/>
  <c r="IA100" i="31"/>
  <c r="II99" i="31"/>
  <c r="IA99" i="31"/>
  <c r="II98" i="31"/>
  <c r="IA98" i="31"/>
  <c r="IG97" i="31"/>
  <c r="HV122" i="31"/>
  <c r="HN122" i="31"/>
  <c r="HV121" i="31"/>
  <c r="HN121" i="31"/>
  <c r="HV120" i="31"/>
  <c r="HN120" i="31"/>
  <c r="HV119" i="31"/>
  <c r="HN119" i="31"/>
  <c r="HV118" i="31"/>
  <c r="HN118" i="31"/>
  <c r="HV117" i="31"/>
  <c r="HN117" i="31"/>
  <c r="HV116" i="31"/>
  <c r="HN116" i="31"/>
  <c r="HV115" i="31"/>
  <c r="HN115" i="31"/>
  <c r="HV114" i="31"/>
  <c r="HN114" i="31"/>
  <c r="HV113" i="31"/>
  <c r="HN113" i="31"/>
  <c r="HV112" i="31"/>
  <c r="HN112" i="31"/>
  <c r="HV111" i="31"/>
  <c r="HN111" i="31"/>
  <c r="HV110" i="31"/>
  <c r="HN110" i="31"/>
  <c r="HV109" i="31"/>
  <c r="HN109" i="31"/>
  <c r="HV108" i="31"/>
  <c r="HN108" i="31"/>
  <c r="HV107" i="31"/>
  <c r="HN107" i="31"/>
  <c r="HV106" i="31"/>
  <c r="HN106" i="31"/>
  <c r="HV105" i="31"/>
  <c r="HN105" i="31"/>
  <c r="HV104" i="31"/>
  <c r="HN104" i="31"/>
  <c r="HV103" i="31"/>
  <c r="HN103" i="31"/>
  <c r="HV102" i="31"/>
  <c r="HN102" i="31"/>
  <c r="HV101" i="31"/>
  <c r="HN101" i="31"/>
  <c r="HV100" i="31"/>
  <c r="HN100" i="31"/>
  <c r="HV99" i="31"/>
  <c r="HN99" i="31"/>
  <c r="HV98" i="31"/>
  <c r="HN98" i="31"/>
  <c r="HT97" i="31"/>
  <c r="HI122" i="31"/>
  <c r="HA122" i="31"/>
  <c r="HI121" i="31"/>
  <c r="HA121" i="31"/>
  <c r="HI120" i="31"/>
  <c r="HA120" i="31"/>
  <c r="HI119" i="31"/>
  <c r="HA119" i="31"/>
  <c r="HI118" i="31"/>
  <c r="HA118" i="31"/>
  <c r="HI117" i="31"/>
  <c r="HA117" i="31"/>
  <c r="HI116" i="31"/>
  <c r="HA116" i="31"/>
  <c r="HI115" i="31"/>
  <c r="HA115" i="31"/>
  <c r="HI114" i="31"/>
  <c r="HA114" i="31"/>
  <c r="HI113" i="31"/>
  <c r="HA113" i="31"/>
  <c r="HI112" i="31"/>
  <c r="HA112" i="31"/>
  <c r="HI111" i="31"/>
  <c r="HA111" i="31"/>
  <c r="HI110" i="31"/>
  <c r="HA110" i="31"/>
  <c r="HI109" i="31"/>
  <c r="HA109" i="31"/>
  <c r="HI108" i="31"/>
  <c r="HA108" i="31"/>
  <c r="HI107" i="31"/>
  <c r="HA107" i="31"/>
  <c r="HI106" i="31"/>
  <c r="HA106" i="31"/>
  <c r="HI105" i="31"/>
  <c r="HA105" i="31"/>
  <c r="HI104" i="31"/>
  <c r="HA104" i="31"/>
  <c r="HI103" i="31"/>
  <c r="HA103" i="31"/>
  <c r="HI102" i="31"/>
  <c r="HA102" i="31"/>
  <c r="HI101" i="31"/>
  <c r="HA101" i="31"/>
  <c r="HI100" i="31"/>
  <c r="HA100" i="31"/>
  <c r="HI99" i="31"/>
  <c r="HA99" i="31"/>
  <c r="HI98" i="31"/>
  <c r="HA98" i="31"/>
  <c r="HG97" i="31"/>
  <c r="GV122" i="31"/>
  <c r="GN122" i="31"/>
  <c r="GV121" i="31"/>
  <c r="GN121" i="31"/>
  <c r="GV120" i="31"/>
  <c r="GN120" i="31"/>
  <c r="GV119" i="31"/>
  <c r="GN119" i="31"/>
  <c r="GV118" i="31"/>
  <c r="GN118" i="31"/>
  <c r="GV117" i="31"/>
  <c r="GN117" i="31"/>
  <c r="GV116" i="31"/>
  <c r="GN116" i="31"/>
  <c r="GV115" i="31"/>
  <c r="GN115" i="31"/>
  <c r="GV114" i="31"/>
  <c r="GN114" i="31"/>
  <c r="GV113" i="31"/>
  <c r="GN113" i="31"/>
  <c r="GV112" i="31"/>
  <c r="GN112" i="31"/>
  <c r="GV111" i="31"/>
  <c r="GN111" i="31"/>
  <c r="GV110" i="31"/>
  <c r="GN110" i="31"/>
  <c r="GV109" i="31"/>
  <c r="GN109" i="31"/>
  <c r="GV108" i="31"/>
  <c r="GN108" i="31"/>
  <c r="GV107" i="31"/>
  <c r="GN107" i="31"/>
  <c r="GV106" i="31"/>
  <c r="GN106" i="31"/>
  <c r="GV105" i="31"/>
  <c r="GN105" i="31"/>
  <c r="GV104" i="31"/>
  <c r="GN104" i="31"/>
  <c r="GV103" i="31"/>
  <c r="GN103" i="31"/>
  <c r="GV102" i="31"/>
  <c r="GN102" i="31"/>
  <c r="GV101" i="31"/>
  <c r="GN101" i="31"/>
  <c r="GV100" i="31"/>
  <c r="GN100" i="31"/>
  <c r="GV99" i="31"/>
  <c r="GN99" i="31"/>
  <c r="GV98" i="31"/>
  <c r="GN98" i="31"/>
  <c r="GT97" i="31"/>
  <c r="GI122" i="31"/>
  <c r="GA122" i="31"/>
  <c r="GI121" i="31"/>
  <c r="GA121" i="31"/>
  <c r="GI120" i="31"/>
  <c r="GA120" i="31"/>
  <c r="GI119" i="31"/>
  <c r="GA119" i="31"/>
  <c r="GI118" i="31"/>
  <c r="GA118" i="31"/>
  <c r="GI117" i="31"/>
  <c r="GA117" i="31"/>
  <c r="GI116" i="31"/>
  <c r="GA116" i="31"/>
  <c r="GI115" i="31"/>
  <c r="GA115" i="31"/>
  <c r="GI114" i="31"/>
  <c r="GA114" i="31"/>
  <c r="GI113" i="31"/>
  <c r="GA113" i="31"/>
  <c r="GI112" i="31"/>
  <c r="GA112" i="31"/>
  <c r="GI111" i="31"/>
  <c r="GA111" i="31"/>
  <c r="GI110" i="31"/>
  <c r="GA110" i="31"/>
  <c r="GI109" i="31"/>
  <c r="GA109" i="31"/>
  <c r="GI108" i="31"/>
  <c r="GA108" i="31"/>
  <c r="GI107" i="31"/>
  <c r="GA107" i="31"/>
  <c r="GI106" i="31"/>
  <c r="GA106" i="31"/>
  <c r="GI105" i="31"/>
  <c r="GA105" i="31"/>
  <c r="GI104" i="31"/>
  <c r="GA104" i="31"/>
  <c r="GI103" i="31"/>
  <c r="GA103" i="31"/>
  <c r="GI102" i="31"/>
  <c r="GA102" i="31"/>
  <c r="GI101" i="31"/>
  <c r="GA101" i="31"/>
  <c r="GI100" i="31"/>
  <c r="GA100" i="31"/>
  <c r="GI99" i="31"/>
  <c r="GA99" i="31"/>
  <c r="GI98" i="31"/>
  <c r="GA98" i="31"/>
  <c r="GG97" i="31"/>
  <c r="FV122" i="31"/>
  <c r="FN122" i="31"/>
  <c r="FV121" i="31"/>
  <c r="FN121" i="31"/>
  <c r="FV120" i="31"/>
  <c r="FN120" i="31"/>
  <c r="FV119" i="31"/>
  <c r="FN119" i="31"/>
  <c r="FV118" i="31"/>
  <c r="FN118" i="31"/>
  <c r="FV117" i="31"/>
  <c r="FN117" i="31"/>
  <c r="FV116" i="31"/>
  <c r="FN116" i="31"/>
  <c r="FV115" i="31"/>
  <c r="FN115" i="31"/>
  <c r="FV114" i="31"/>
  <c r="FN114" i="31"/>
  <c r="FV113" i="31"/>
  <c r="FN113" i="31"/>
  <c r="FV112" i="31"/>
  <c r="FN112" i="31"/>
  <c r="FV111" i="31"/>
  <c r="FN111" i="31"/>
  <c r="FV110" i="31"/>
  <c r="FN110" i="31"/>
  <c r="FV109" i="31"/>
  <c r="FN109" i="31"/>
  <c r="FV108" i="31"/>
  <c r="FN108" i="31"/>
  <c r="FV107" i="31"/>
  <c r="FN107" i="31"/>
  <c r="FV106" i="31"/>
  <c r="FN106" i="31"/>
  <c r="FV105" i="31"/>
  <c r="FN105" i="31"/>
  <c r="FV104" i="31"/>
  <c r="FN104" i="31"/>
  <c r="FV103" i="31"/>
  <c r="FN103" i="31"/>
  <c r="FV102" i="31"/>
  <c r="FN102" i="31"/>
  <c r="FV101" i="31"/>
  <c r="FN101" i="31"/>
  <c r="FV100" i="31"/>
  <c r="FN100" i="31"/>
  <c r="FV99" i="31"/>
  <c r="FN99" i="31"/>
  <c r="FV98" i="31"/>
  <c r="FN98" i="31"/>
  <c r="FT97" i="31"/>
  <c r="FI122" i="31"/>
  <c r="FA122" i="31"/>
  <c r="FI121" i="31"/>
  <c r="FA121" i="31"/>
  <c r="FI120" i="31"/>
  <c r="FA120" i="31"/>
  <c r="FI119" i="31"/>
  <c r="FA119" i="31"/>
  <c r="FI118" i="31"/>
  <c r="FA118" i="31"/>
  <c r="FI117" i="31"/>
  <c r="FA117" i="31"/>
  <c r="FI116" i="31"/>
  <c r="FA116" i="31"/>
  <c r="FI115" i="31"/>
  <c r="FA115" i="31"/>
  <c r="FI114" i="31"/>
  <c r="FA114" i="31"/>
  <c r="FI113" i="31"/>
  <c r="FA113" i="31"/>
  <c r="FI112" i="31"/>
  <c r="FA112" i="31"/>
  <c r="FI111" i="31"/>
  <c r="FA111" i="31"/>
  <c r="FI110" i="31"/>
  <c r="FA110" i="31"/>
  <c r="FI109" i="31"/>
  <c r="FA109" i="31"/>
  <c r="FI108" i="31"/>
  <c r="FA108" i="31"/>
  <c r="FI107" i="31"/>
  <c r="FA107" i="31"/>
  <c r="FI106" i="31"/>
  <c r="FA106" i="31"/>
  <c r="FI105" i="31"/>
  <c r="FA105" i="31"/>
  <c r="FI104" i="31"/>
  <c r="FA104" i="31"/>
  <c r="FI103" i="31"/>
  <c r="FA103" i="31"/>
  <c r="FI102" i="31"/>
  <c r="FA102" i="31"/>
  <c r="FI101" i="31"/>
  <c r="FA101" i="31"/>
  <c r="FI100" i="31"/>
  <c r="FA100" i="31"/>
  <c r="FI99" i="31"/>
  <c r="FA99" i="31"/>
  <c r="FI98" i="31"/>
  <c r="FA98" i="31"/>
  <c r="FG97" i="31"/>
  <c r="EV122" i="31"/>
  <c r="EN122" i="31"/>
  <c r="EV121" i="31"/>
  <c r="EN121" i="31"/>
  <c r="EV120" i="31"/>
  <c r="EN120" i="31"/>
  <c r="EV119" i="31"/>
  <c r="EN119" i="31"/>
  <c r="EV118" i="31"/>
  <c r="EN118" i="31"/>
  <c r="EV117" i="31"/>
  <c r="EN117" i="31"/>
  <c r="EV116" i="31"/>
  <c r="EN116" i="31"/>
  <c r="EV115" i="31"/>
  <c r="EN115" i="31"/>
  <c r="EV114" i="31"/>
  <c r="EN114" i="31"/>
  <c r="EV113" i="31"/>
  <c r="EN113" i="31"/>
  <c r="EV112" i="31"/>
  <c r="EN112" i="31"/>
  <c r="EV111" i="31"/>
  <c r="EN111" i="31"/>
  <c r="EV110" i="31"/>
  <c r="EN110" i="31"/>
  <c r="EV109" i="31"/>
  <c r="EN109" i="31"/>
  <c r="EV108" i="31"/>
  <c r="EN108" i="31"/>
  <c r="EV107" i="31"/>
  <c r="EN107" i="31"/>
  <c r="EV106" i="31"/>
  <c r="EN106" i="31"/>
  <c r="EV105" i="31"/>
  <c r="EN105" i="31"/>
  <c r="EV104" i="31"/>
  <c r="EN104" i="31"/>
  <c r="EV103" i="31"/>
  <c r="EN103" i="31"/>
  <c r="EV102" i="31"/>
  <c r="EN102" i="31"/>
  <c r="EV101" i="31"/>
  <c r="EN101" i="31"/>
  <c r="EV100" i="31"/>
  <c r="EN100" i="31"/>
  <c r="EV99" i="31"/>
  <c r="EN99" i="31"/>
  <c r="EV98" i="31"/>
  <c r="EN98" i="31"/>
  <c r="ET97" i="31"/>
  <c r="EI122" i="31"/>
  <c r="EA122" i="31"/>
  <c r="EI121" i="31"/>
  <c r="EA121" i="31"/>
  <c r="EI120" i="31"/>
  <c r="EA120" i="31"/>
  <c r="EI119" i="31"/>
  <c r="EA119" i="31"/>
  <c r="EI118" i="31"/>
  <c r="EA118" i="31"/>
  <c r="EI117" i="31"/>
  <c r="EA117" i="31"/>
  <c r="EI116" i="31"/>
  <c r="EA116" i="31"/>
  <c r="EI115" i="31"/>
  <c r="EA115" i="31"/>
  <c r="EI114" i="31"/>
  <c r="EA114" i="31"/>
  <c r="EI113" i="31"/>
  <c r="EA113" i="31"/>
  <c r="EI112" i="31"/>
  <c r="EA112" i="31"/>
  <c r="EI111" i="31"/>
  <c r="EA111" i="31"/>
  <c r="EI110" i="31"/>
  <c r="EA110" i="31"/>
  <c r="EI109" i="31"/>
  <c r="EA109" i="31"/>
  <c r="EI108" i="31"/>
  <c r="EA108" i="31"/>
  <c r="EI107" i="31"/>
  <c r="EA107" i="31"/>
  <c r="EI106" i="31"/>
  <c r="EA106" i="31"/>
  <c r="EI105" i="31"/>
  <c r="EA105" i="31"/>
  <c r="EI104" i="31"/>
  <c r="EA104" i="31"/>
  <c r="EI103" i="31"/>
  <c r="EA103" i="31"/>
  <c r="EI102" i="31"/>
  <c r="EA102" i="31"/>
  <c r="EI101" i="31"/>
  <c r="EA101" i="31"/>
  <c r="EI100" i="31"/>
  <c r="EA100" i="31"/>
  <c r="EI99" i="31"/>
  <c r="EA99" i="31"/>
  <c r="EI98" i="31"/>
  <c r="EA98" i="31"/>
  <c r="EG97" i="31"/>
  <c r="DV122" i="31"/>
  <c r="DV121" i="31"/>
  <c r="DV120" i="31"/>
  <c r="DV119" i="31"/>
  <c r="DV118" i="31"/>
  <c r="DV117" i="31"/>
  <c r="DV116" i="31"/>
  <c r="DV115" i="31"/>
  <c r="DV114" i="31"/>
  <c r="DV113" i="31"/>
  <c r="DV112" i="31"/>
  <c r="DV111" i="31"/>
  <c r="DV110" i="31"/>
  <c r="DV109" i="31"/>
  <c r="DV108" i="31"/>
  <c r="DV107" i="31"/>
  <c r="DV106" i="31"/>
  <c r="DV105" i="31"/>
  <c r="DV104" i="31"/>
  <c r="DV103" i="31"/>
  <c r="DV102" i="31"/>
  <c r="DV101" i="31"/>
  <c r="DN97" i="31"/>
  <c r="DQ95" i="31" s="1"/>
  <c r="DV100" i="31"/>
  <c r="DV99" i="31"/>
  <c r="DV98" i="31"/>
  <c r="DT97" i="31"/>
  <c r="DI122" i="31"/>
  <c r="DI121" i="31"/>
  <c r="DI120" i="31"/>
  <c r="DI119" i="31"/>
  <c r="DI118" i="31"/>
  <c r="DI117" i="31"/>
  <c r="DI116" i="31"/>
  <c r="DI115" i="31"/>
  <c r="DI114" i="31"/>
  <c r="DI113" i="31"/>
  <c r="DI112" i="31"/>
  <c r="DI111" i="31"/>
  <c r="DI110" i="31"/>
  <c r="DI109" i="31"/>
  <c r="DI108" i="31"/>
  <c r="DI107" i="31"/>
  <c r="DI106" i="31"/>
  <c r="DI105" i="31"/>
  <c r="DI104" i="31"/>
  <c r="DI103" i="31"/>
  <c r="DI102" i="31"/>
  <c r="DI101" i="31"/>
  <c r="DI100" i="31"/>
  <c r="DI99" i="31"/>
  <c r="DI98" i="31"/>
  <c r="DA97" i="31"/>
  <c r="DD95" i="31" s="1"/>
  <c r="CV122" i="31"/>
  <c r="CV121" i="31"/>
  <c r="CV120" i="31"/>
  <c r="CV119" i="31"/>
  <c r="CV118" i="31"/>
  <c r="CV117" i="31"/>
  <c r="CV116" i="31"/>
  <c r="CV115" i="31"/>
  <c r="CV114" i="31"/>
  <c r="CV113" i="31"/>
  <c r="CV112" i="31"/>
  <c r="CV111" i="31"/>
  <c r="CV110" i="31"/>
  <c r="CV109" i="31"/>
  <c r="CV108" i="31"/>
  <c r="CV107" i="31"/>
  <c r="CV106" i="31"/>
  <c r="CV105" i="31"/>
  <c r="CV104" i="31"/>
  <c r="CV103" i="31"/>
  <c r="CV102" i="31"/>
  <c r="CV101" i="31"/>
  <c r="CN97" i="31"/>
  <c r="CQ95" i="31" s="1"/>
  <c r="CV100" i="31"/>
  <c r="CV99" i="31"/>
  <c r="CV98" i="31"/>
  <c r="CT97" i="31"/>
  <c r="CI122" i="31"/>
  <c r="CI121" i="31"/>
  <c r="CI120" i="31"/>
  <c r="CI119" i="31"/>
  <c r="CI118" i="31"/>
  <c r="CI117" i="31"/>
  <c r="CI116" i="31"/>
  <c r="CI115" i="31"/>
  <c r="CI114" i="31"/>
  <c r="CI113" i="31"/>
  <c r="CI112" i="31"/>
  <c r="CI111" i="31"/>
  <c r="CI110" i="31"/>
  <c r="CI109" i="31"/>
  <c r="CI108" i="31"/>
  <c r="CI107" i="31"/>
  <c r="CI106" i="31"/>
  <c r="CI105" i="31"/>
  <c r="CI104" i="31"/>
  <c r="CI103" i="31"/>
  <c r="CI102" i="31"/>
  <c r="CI101" i="31"/>
  <c r="CI100" i="31"/>
  <c r="CI99" i="31"/>
  <c r="CI98" i="31"/>
  <c r="CG97" i="31"/>
  <c r="BV122" i="31"/>
  <c r="BV121" i="31"/>
  <c r="BV120" i="31"/>
  <c r="BV119" i="31"/>
  <c r="BV118" i="31"/>
  <c r="BV117" i="31"/>
  <c r="BV116" i="31"/>
  <c r="BV115" i="31"/>
  <c r="BV114" i="31"/>
  <c r="BV113" i="31"/>
  <c r="BV112" i="31"/>
  <c r="BV111" i="31"/>
  <c r="BV110" i="31"/>
  <c r="BV109" i="31"/>
  <c r="BV108" i="31"/>
  <c r="BV107" i="31"/>
  <c r="BV106" i="31"/>
  <c r="BV105" i="31"/>
  <c r="BV104" i="31"/>
  <c r="BV103" i="31"/>
  <c r="BV102" i="31"/>
  <c r="BV101" i="31"/>
  <c r="BV100" i="31"/>
  <c r="BV99" i="31"/>
  <c r="BV98" i="31"/>
  <c r="BT97" i="31"/>
  <c r="BI122" i="31"/>
  <c r="BI121" i="31"/>
  <c r="BI120" i="31"/>
  <c r="BI119" i="31"/>
  <c r="BI118" i="31"/>
  <c r="BI117" i="31"/>
  <c r="BI116" i="31"/>
  <c r="BI115" i="31"/>
  <c r="BI114" i="31"/>
  <c r="BI113" i="31"/>
  <c r="BI112" i="31"/>
  <c r="BI111" i="31"/>
  <c r="BI110" i="31"/>
  <c r="BI109" i="31"/>
  <c r="BI108" i="31"/>
  <c r="BI107" i="31"/>
  <c r="BI106" i="31"/>
  <c r="BI105" i="31"/>
  <c r="BI104" i="31"/>
  <c r="BI103" i="31"/>
  <c r="BI102" i="31"/>
  <c r="BI101" i="31"/>
  <c r="BI100" i="31"/>
  <c r="BI99" i="31"/>
  <c r="BI98" i="31"/>
  <c r="BG97" i="31"/>
  <c r="BB162" i="31" l="1"/>
  <c r="DO162" i="31"/>
  <c r="CO162" i="31"/>
  <c r="BO162" i="31"/>
  <c r="DB162" i="31"/>
  <c r="CB162" i="31"/>
  <c r="EN97" i="31"/>
  <c r="EQ95" i="31" s="1"/>
  <c r="FN97" i="31"/>
  <c r="FQ95" i="31" s="1"/>
  <c r="JI97" i="31"/>
  <c r="DV97" i="31"/>
  <c r="LN97" i="31"/>
  <c r="LQ95" i="31" s="1"/>
  <c r="GI97" i="31"/>
  <c r="GN97" i="31"/>
  <c r="GQ95" i="31" s="1"/>
  <c r="KN97" i="31"/>
  <c r="KQ95" i="31" s="1"/>
  <c r="LA97" i="31"/>
  <c r="LD95" i="31" s="1"/>
  <c r="JA97" i="31"/>
  <c r="JD95" i="31" s="1"/>
  <c r="EV97" i="31"/>
  <c r="FA97" i="31"/>
  <c r="FD95" i="31" s="1"/>
  <c r="GA97" i="31"/>
  <c r="GD95" i="31" s="1"/>
  <c r="HA97" i="31"/>
  <c r="HD95" i="31" s="1"/>
  <c r="HN97" i="31"/>
  <c r="HQ95" i="31" s="1"/>
  <c r="IN97" i="31"/>
  <c r="IQ95" i="31" s="1"/>
  <c r="JN97" i="31"/>
  <c r="JQ95" i="31" s="1"/>
  <c r="LI97" i="31"/>
  <c r="MA97" i="31"/>
  <c r="MD95" i="31" s="1"/>
  <c r="MN97" i="31"/>
  <c r="MQ95" i="31" s="1"/>
  <c r="MV97" i="31"/>
  <c r="MI97" i="31"/>
  <c r="LV97" i="31"/>
  <c r="KI97" i="31"/>
  <c r="JV97" i="31"/>
  <c r="IV97" i="31"/>
  <c r="II97" i="31"/>
  <c r="HV97" i="31"/>
  <c r="HI97" i="31"/>
  <c r="GV97" i="31"/>
  <c r="FV97" i="31"/>
  <c r="FI97" i="31"/>
  <c r="EI97" i="31"/>
  <c r="DI97" i="31"/>
  <c r="CV97" i="31"/>
  <c r="CI97" i="31"/>
  <c r="BV97" i="31"/>
  <c r="BI97" i="31"/>
  <c r="IA97" i="31"/>
  <c r="ID95" i="31" s="1"/>
  <c r="EA97" i="31"/>
  <c r="ED95" i="31" s="1"/>
  <c r="CA97" i="31"/>
  <c r="CD95" i="31" s="1"/>
  <c r="BN97" i="31"/>
  <c r="BQ95" i="31" s="1"/>
  <c r="BA97" i="31"/>
  <c r="BD95" i="31" s="1"/>
  <c r="KV97" i="31"/>
  <c r="KA97" i="31"/>
  <c r="KD95" i="31" s="1"/>
  <c r="AV122" i="31"/>
  <c r="AV121" i="31"/>
  <c r="AV120" i="31"/>
  <c r="AV119" i="31"/>
  <c r="AV118" i="31"/>
  <c r="AV117" i="31"/>
  <c r="AV116" i="31"/>
  <c r="AV115" i="31"/>
  <c r="AV114" i="31"/>
  <c r="AV113" i="31"/>
  <c r="AV112" i="31"/>
  <c r="AV111" i="31"/>
  <c r="AV110" i="31"/>
  <c r="AV109" i="31"/>
  <c r="AV108" i="31"/>
  <c r="AV107" i="31"/>
  <c r="AV106" i="31"/>
  <c r="AV105" i="31"/>
  <c r="AV104" i="31"/>
  <c r="AV103" i="31"/>
  <c r="AV102" i="31"/>
  <c r="AV101" i="31"/>
  <c r="AV100" i="31"/>
  <c r="AV99" i="31"/>
  <c r="AV98" i="31"/>
  <c r="AT97" i="31"/>
  <c r="AI122" i="31"/>
  <c r="AI121" i="31"/>
  <c r="AI120" i="31"/>
  <c r="AI119" i="31"/>
  <c r="AI118" i="31"/>
  <c r="AI117" i="31"/>
  <c r="AI116" i="31"/>
  <c r="AI115" i="31"/>
  <c r="AI114" i="31"/>
  <c r="AI113" i="31"/>
  <c r="AI112" i="31"/>
  <c r="AI111" i="31"/>
  <c r="AI110" i="31"/>
  <c r="AI109" i="31"/>
  <c r="AI108" i="31"/>
  <c r="AI107" i="31"/>
  <c r="AI106" i="31"/>
  <c r="AI105" i="31"/>
  <c r="AI104" i="31"/>
  <c r="AI103" i="31"/>
  <c r="AI102" i="31"/>
  <c r="AI101" i="31"/>
  <c r="AI100" i="31"/>
  <c r="AI99" i="31"/>
  <c r="AI98" i="31"/>
  <c r="AG97" i="31"/>
  <c r="V122" i="31"/>
  <c r="V121" i="31"/>
  <c r="V120" i="31"/>
  <c r="V119" i="31"/>
  <c r="V118" i="31"/>
  <c r="V117" i="31"/>
  <c r="V116" i="31"/>
  <c r="V115" i="31"/>
  <c r="V114" i="31"/>
  <c r="V113" i="31"/>
  <c r="V112" i="31"/>
  <c r="V111" i="31"/>
  <c r="V110" i="31"/>
  <c r="V109" i="31"/>
  <c r="V108" i="31"/>
  <c r="V107" i="31"/>
  <c r="V106" i="31"/>
  <c r="V105" i="31"/>
  <c r="V104" i="31"/>
  <c r="V103" i="31"/>
  <c r="V102" i="31"/>
  <c r="V101" i="31"/>
  <c r="V100" i="31"/>
  <c r="V99" i="31"/>
  <c r="V98" i="31"/>
  <c r="T97"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98" i="31"/>
  <c r="A98" i="31"/>
  <c r="B162" i="31" l="1"/>
  <c r="AO162" i="31"/>
  <c r="O162" i="31"/>
  <c r="AB162" i="31"/>
  <c r="V97" i="31"/>
  <c r="AV97" i="31"/>
  <c r="N97" i="31"/>
  <c r="Q95" i="31" s="1"/>
  <c r="AA97" i="31"/>
  <c r="AD95" i="31" s="1"/>
  <c r="AN97" i="31"/>
  <c r="AQ95" i="31" s="1"/>
  <c r="A97" i="31"/>
  <c r="D95" i="31" s="1"/>
  <c r="AI97" i="31"/>
  <c r="I97" i="31"/>
  <c r="G97" i="31"/>
  <c r="H70" i="31" l="1"/>
  <c r="H75" i="31"/>
  <c r="H56" i="11" s="1"/>
  <c r="B2" i="22"/>
  <c r="K1" i="22"/>
  <c r="F17" i="22"/>
  <c r="F15" i="22"/>
  <c r="F16" i="22"/>
  <c r="D30" i="13" l="1"/>
  <c r="H54" i="11"/>
  <c r="O163" i="28"/>
  <c r="D28" i="13" s="1"/>
  <c r="O112" i="28"/>
  <c r="D27" i="13" s="1"/>
  <c r="I61" i="27" l="1"/>
  <c r="D61" i="27"/>
  <c r="D76" i="27" l="1"/>
  <c r="D72" i="27"/>
  <c r="D68" i="27"/>
  <c r="K2" i="11"/>
  <c r="K1" i="30"/>
  <c r="D75" i="27" l="1"/>
  <c r="D71" i="27"/>
  <c r="D67" i="27"/>
  <c r="NR129" i="31" l="1"/>
  <c r="NO92" i="31"/>
  <c r="NO84" i="31"/>
  <c r="NR87" i="31"/>
  <c r="NO88" i="31"/>
  <c r="NO87" i="31"/>
  <c r="NO86" i="31"/>
  <c r="NO85" i="31"/>
  <c r="NR126" i="31"/>
  <c r="NE87" i="31"/>
  <c r="NB87" i="31"/>
  <c r="NE129" i="31"/>
  <c r="NE126" i="31"/>
  <c r="NB88" i="31"/>
  <c r="NB86" i="31"/>
  <c r="NB85" i="31"/>
  <c r="NB92" i="31"/>
  <c r="NB84" i="31"/>
  <c r="MO88" i="31"/>
  <c r="MO87" i="31"/>
  <c r="MO92" i="31"/>
  <c r="MR126" i="31"/>
  <c r="MR129" i="31"/>
  <c r="MR87" i="31"/>
  <c r="MO86" i="31"/>
  <c r="MO85" i="31"/>
  <c r="MO84" i="31"/>
  <c r="MB87" i="31"/>
  <c r="ME129" i="31"/>
  <c r="MB88" i="31"/>
  <c r="MB86" i="31"/>
  <c r="MB85" i="31"/>
  <c r="MB92" i="31"/>
  <c r="MB84" i="31"/>
  <c r="ME87" i="31"/>
  <c r="ME126" i="31"/>
  <c r="LO88" i="31"/>
  <c r="LR126" i="31"/>
  <c r="LO87" i="31"/>
  <c r="LO86" i="31"/>
  <c r="LR87" i="31"/>
  <c r="LO85" i="31"/>
  <c r="LO92" i="31"/>
  <c r="LR129" i="31"/>
  <c r="LO84" i="31"/>
  <c r="LE126" i="31"/>
  <c r="LB87" i="31"/>
  <c r="LB86" i="31"/>
  <c r="LE87" i="31"/>
  <c r="LB85" i="31"/>
  <c r="LB84" i="31"/>
  <c r="LE129" i="31"/>
  <c r="LB92" i="31"/>
  <c r="LB88" i="31"/>
  <c r="KO87" i="31"/>
  <c r="KO92" i="31"/>
  <c r="KO88" i="31"/>
  <c r="KO86" i="31"/>
  <c r="KR129" i="31"/>
  <c r="KO85" i="31"/>
  <c r="KO84" i="31"/>
  <c r="KR87" i="31"/>
  <c r="KR126" i="31"/>
  <c r="KE129" i="31"/>
  <c r="KE87" i="31"/>
  <c r="KB85" i="31"/>
  <c r="KB92" i="31"/>
  <c r="KE126" i="31"/>
  <c r="KB88" i="31"/>
  <c r="KB87" i="31"/>
  <c r="KB86" i="31"/>
  <c r="KB84" i="31"/>
  <c r="JO86" i="31"/>
  <c r="JR129" i="31"/>
  <c r="JO85" i="31"/>
  <c r="JO92" i="31"/>
  <c r="JO84" i="31"/>
  <c r="JR87" i="31"/>
  <c r="JR126" i="31"/>
  <c r="JO88" i="31"/>
  <c r="JO87" i="31"/>
  <c r="JE129" i="31"/>
  <c r="JB85" i="31"/>
  <c r="JB92" i="31"/>
  <c r="JB84" i="31"/>
  <c r="JE87" i="31"/>
  <c r="JE126" i="31"/>
  <c r="JB88" i="31"/>
  <c r="JB86" i="31"/>
  <c r="JB87" i="31"/>
  <c r="IR129" i="31"/>
  <c r="IR87" i="31"/>
  <c r="IO88" i="31"/>
  <c r="IR126" i="31"/>
  <c r="IO87" i="31"/>
  <c r="IO86" i="31"/>
  <c r="IO92" i="31"/>
  <c r="IO85" i="31"/>
  <c r="IO84" i="31"/>
  <c r="IB88" i="31"/>
  <c r="IE126" i="31"/>
  <c r="IB87" i="31"/>
  <c r="IB86" i="31"/>
  <c r="IB85" i="31"/>
  <c r="IB92" i="31"/>
  <c r="IB84" i="31"/>
  <c r="IE129" i="31"/>
  <c r="IE87" i="31"/>
  <c r="HO86" i="31"/>
  <c r="HO85" i="31"/>
  <c r="HO92" i="31"/>
  <c r="HO84" i="31"/>
  <c r="HR129" i="31"/>
  <c r="HR87" i="31"/>
  <c r="HO88" i="31"/>
  <c r="HR126" i="31"/>
  <c r="HO87" i="31"/>
  <c r="HE87" i="31"/>
  <c r="HE126" i="31"/>
  <c r="HB88" i="31"/>
  <c r="HB85" i="31"/>
  <c r="HE129" i="31"/>
  <c r="HB92" i="31"/>
  <c r="HB87" i="31"/>
  <c r="HB86" i="31"/>
  <c r="HB84" i="31"/>
  <c r="GO92" i="31"/>
  <c r="GO84" i="31"/>
  <c r="GR129" i="31"/>
  <c r="GR87" i="31"/>
  <c r="GO88" i="31"/>
  <c r="GR126" i="31"/>
  <c r="GO87" i="31"/>
  <c r="GO86" i="31"/>
  <c r="GO85" i="31"/>
  <c r="GE126" i="31"/>
  <c r="GB87" i="31"/>
  <c r="GB86" i="31"/>
  <c r="GB85" i="31"/>
  <c r="GB92" i="31"/>
  <c r="GB84" i="31"/>
  <c r="GE129" i="31"/>
  <c r="GE87" i="31"/>
  <c r="GB88" i="31"/>
  <c r="FO85" i="31"/>
  <c r="FR87" i="31"/>
  <c r="FO84" i="31"/>
  <c r="FR129" i="31"/>
  <c r="FO92" i="31"/>
  <c r="FO88" i="31"/>
  <c r="FR126" i="31"/>
  <c r="FO87" i="31"/>
  <c r="FO86" i="31"/>
  <c r="FE129" i="31"/>
  <c r="FB85" i="31"/>
  <c r="FB92" i="31"/>
  <c r="FE87" i="31"/>
  <c r="FB88" i="31"/>
  <c r="FB87" i="31"/>
  <c r="FB84" i="31"/>
  <c r="FE126" i="31"/>
  <c r="FB86" i="31"/>
  <c r="EO85" i="31"/>
  <c r="EO92" i="31"/>
  <c r="EO84" i="31"/>
  <c r="ER129" i="31"/>
  <c r="ER87" i="31"/>
  <c r="EO88" i="31"/>
  <c r="ER126" i="31"/>
  <c r="EO87" i="31"/>
  <c r="EO86" i="31"/>
  <c r="EE126" i="31"/>
  <c r="EB87" i="31"/>
  <c r="EB86" i="31"/>
  <c r="EB85" i="31"/>
  <c r="EB92" i="31"/>
  <c r="EB84" i="31"/>
  <c r="EE129" i="31"/>
  <c r="EE87" i="31"/>
  <c r="EB88" i="31"/>
  <c r="DO92" i="31"/>
  <c r="DO84" i="31"/>
  <c r="DR129" i="31"/>
  <c r="DR87" i="31"/>
  <c r="DO88" i="31"/>
  <c r="DR126" i="31"/>
  <c r="DO87" i="31"/>
  <c r="DO86" i="31"/>
  <c r="DO85" i="31"/>
  <c r="DE129" i="31"/>
  <c r="DB85" i="31"/>
  <c r="DB84" i="31"/>
  <c r="DE87" i="31"/>
  <c r="DE126" i="31"/>
  <c r="DB86" i="31"/>
  <c r="DB92" i="31"/>
  <c r="DB88" i="31"/>
  <c r="DB87" i="31"/>
  <c r="CO92" i="31"/>
  <c r="CO84" i="31"/>
  <c r="CR129" i="31"/>
  <c r="CR87" i="31"/>
  <c r="CO88" i="31"/>
  <c r="CR126" i="31"/>
  <c r="CO87" i="31"/>
  <c r="CO86" i="31"/>
  <c r="CO85" i="31"/>
  <c r="CE129" i="31"/>
  <c r="CB92" i="31"/>
  <c r="CE87" i="31"/>
  <c r="CB88" i="31"/>
  <c r="CE126" i="31"/>
  <c r="CB87" i="31"/>
  <c r="CB86" i="31"/>
  <c r="CB85" i="31"/>
  <c r="CB84" i="31"/>
  <c r="BR129" i="31"/>
  <c r="BO85" i="31"/>
  <c r="BO92" i="31"/>
  <c r="BO84" i="31"/>
  <c r="BR87" i="31"/>
  <c r="BR126" i="31"/>
  <c r="BO88" i="31"/>
  <c r="BO87" i="31"/>
  <c r="BO86" i="31"/>
  <c r="BE129" i="31"/>
  <c r="BB85" i="31"/>
  <c r="BB92" i="31"/>
  <c r="BB84" i="31"/>
  <c r="BE126" i="31"/>
  <c r="BB88" i="31"/>
  <c r="BB86" i="31"/>
  <c r="BE87" i="31"/>
  <c r="BB87" i="31"/>
  <c r="AR129" i="31"/>
  <c r="AO85" i="31"/>
  <c r="AR87" i="31"/>
  <c r="AO88" i="31"/>
  <c r="AO86" i="31"/>
  <c r="AO92" i="31"/>
  <c r="AO84" i="31"/>
  <c r="AR126" i="31"/>
  <c r="AO87" i="31"/>
  <c r="AE129" i="31"/>
  <c r="AB85" i="31"/>
  <c r="AB92" i="31"/>
  <c r="AB84" i="31"/>
  <c r="AE87" i="31"/>
  <c r="AE126" i="31"/>
  <c r="AB88" i="31"/>
  <c r="AB86" i="31"/>
  <c r="AB87" i="31"/>
  <c r="R129" i="31"/>
  <c r="O92" i="31"/>
  <c r="O84" i="31"/>
  <c r="R87" i="31"/>
  <c r="O88" i="31"/>
  <c r="O87" i="31"/>
  <c r="R126" i="31"/>
  <c r="O86" i="31"/>
  <c r="O85" i="31"/>
  <c r="E97" i="31"/>
  <c r="E129" i="31"/>
  <c r="E126" i="31"/>
  <c r="B92" i="31"/>
  <c r="B84" i="31"/>
  <c r="B86" i="31"/>
  <c r="B85" i="31"/>
  <c r="B88" i="31"/>
  <c r="B87" i="31"/>
  <c r="E87" i="31"/>
  <c r="H59" i="25"/>
  <c r="B125" i="31" l="1"/>
  <c r="H68" i="31"/>
  <c r="OF91" i="31"/>
  <c r="OD91" i="31"/>
  <c r="OB91" i="31"/>
  <c r="IO127" i="31"/>
  <c r="NO127" i="31"/>
  <c r="NB127" i="31"/>
  <c r="MB127" i="31"/>
  <c r="MO127" i="31"/>
  <c r="LO127" i="31"/>
  <c r="KB127" i="31"/>
  <c r="LB127" i="31"/>
  <c r="KO127" i="31"/>
  <c r="JO127" i="31"/>
  <c r="JB127" i="31"/>
  <c r="IB127" i="31"/>
  <c r="HB127" i="31"/>
  <c r="HO127" i="31"/>
  <c r="GO127" i="31"/>
  <c r="FO127" i="31"/>
  <c r="GB127" i="31"/>
  <c r="FB127" i="31"/>
  <c r="EO127" i="31"/>
  <c r="EB127" i="31"/>
  <c r="DB127" i="31"/>
  <c r="DO127" i="31"/>
  <c r="CO127" i="31"/>
  <c r="CB127" i="31"/>
  <c r="BO127" i="31"/>
  <c r="BB127" i="31"/>
  <c r="AO127" i="31"/>
  <c r="AB127" i="31"/>
  <c r="O127" i="31"/>
  <c r="D79" i="25"/>
  <c r="D72" i="25"/>
  <c r="C70" i="25" l="1"/>
  <c r="H80" i="25"/>
  <c r="H85" i="25"/>
  <c r="B2" i="30" l="1"/>
  <c r="B2" i="29"/>
  <c r="I1" i="29"/>
  <c r="B3" i="31"/>
  <c r="K2" i="31"/>
  <c r="B2" i="27"/>
  <c r="N1" i="27"/>
  <c r="K29" i="28"/>
  <c r="K27" i="28"/>
  <c r="K25" i="28"/>
  <c r="B2" i="28"/>
  <c r="N1" i="28"/>
  <c r="H87" i="26"/>
  <c r="G45" i="26"/>
  <c r="D44" i="26"/>
  <c r="K42" i="26"/>
  <c r="C2" i="26"/>
  <c r="L1" i="26"/>
  <c r="B88" i="25"/>
  <c r="D102" i="25" s="1"/>
  <c r="D76" i="25"/>
  <c r="D75" i="25"/>
  <c r="D74" i="25"/>
  <c r="D73" i="25"/>
  <c r="H64" i="25"/>
  <c r="C51" i="25"/>
  <c r="K10" i="25"/>
  <c r="Q14" i="25"/>
  <c r="J17" i="25"/>
  <c r="C2" i="25"/>
  <c r="L1" i="25"/>
  <c r="P58" i="22"/>
  <c r="P57" i="22"/>
  <c r="P56" i="22"/>
  <c r="P55" i="22"/>
  <c r="P54" i="22"/>
  <c r="P53" i="22"/>
  <c r="P52" i="22"/>
  <c r="P51" i="22"/>
  <c r="P50" i="22"/>
  <c r="P49" i="22"/>
  <c r="P48" i="22"/>
  <c r="P47" i="22"/>
  <c r="DD15" i="22"/>
  <c r="CU15" i="22"/>
  <c r="CL15" i="22"/>
  <c r="CC15" i="22"/>
  <c r="BT15" i="22"/>
  <c r="BK15" i="22"/>
  <c r="BB15" i="22"/>
  <c r="AS15" i="22"/>
  <c r="AJ15" i="22"/>
  <c r="AA15" i="22"/>
  <c r="R15" i="22"/>
  <c r="B3" i="11"/>
  <c r="E11" i="13"/>
  <c r="E12" i="13"/>
  <c r="B2" i="13"/>
  <c r="G1" i="13"/>
  <c r="B10" i="4"/>
  <c r="G10" i="4" s="1"/>
  <c r="C51" i="1"/>
  <c r="D91" i="25" l="1"/>
  <c r="D106" i="25"/>
  <c r="D122" i="25"/>
  <c r="D98" i="25"/>
  <c r="H104" i="25"/>
  <c r="H108" i="25"/>
  <c r="D125" i="25"/>
  <c r="H107" i="25"/>
  <c r="H103" i="25"/>
  <c r="H99" i="25"/>
  <c r="C91" i="25"/>
  <c r="D113" i="25"/>
  <c r="D112" i="25"/>
  <c r="I91" i="25"/>
  <c r="R88" i="25"/>
  <c r="C119" i="25"/>
  <c r="C112" i="25"/>
  <c r="D119" i="25"/>
  <c r="D89" i="25"/>
  <c r="EG30" i="31"/>
  <c r="HG30" i="31"/>
  <c r="KG30" i="31"/>
  <c r="NT30" i="31"/>
  <c r="ET30" i="31"/>
  <c r="HT30" i="31"/>
  <c r="KT30" i="31"/>
  <c r="FG30" i="31"/>
  <c r="IG30" i="31"/>
  <c r="FT30" i="31"/>
  <c r="IT30" i="31"/>
  <c r="LT30" i="31"/>
  <c r="GG30" i="31"/>
  <c r="JG30" i="31"/>
  <c r="MT30" i="31"/>
  <c r="JT30" i="31"/>
  <c r="MG30" i="31"/>
  <c r="LG30" i="31"/>
  <c r="GT30" i="31"/>
  <c r="NG30" i="31"/>
  <c r="H100" i="25"/>
  <c r="HV27" i="31"/>
  <c r="H73" i="26"/>
  <c r="H77" i="26"/>
  <c r="E88" i="25"/>
  <c r="E67" i="25"/>
  <c r="O88" i="25"/>
  <c r="H113" i="25"/>
  <c r="D115" i="25"/>
  <c r="D70" i="25"/>
  <c r="C124" i="25"/>
  <c r="F113" i="25"/>
  <c r="AQ43" i="31"/>
  <c r="AO41" i="31"/>
  <c r="AP43" i="31"/>
  <c r="AO39" i="31"/>
  <c r="AO43" i="31"/>
  <c r="AT38" i="31"/>
  <c r="AR55" i="31"/>
  <c r="AQ39" i="31"/>
  <c r="AP39" i="31"/>
  <c r="AR52" i="31"/>
  <c r="BE30" i="31"/>
  <c r="BC39" i="31"/>
  <c r="BB31" i="31"/>
  <c r="BD43" i="31"/>
  <c r="BB30" i="31"/>
  <c r="BC43" i="31"/>
  <c r="BB39" i="31"/>
  <c r="BB29" i="31"/>
  <c r="BE55" i="31"/>
  <c r="BB43" i="31"/>
  <c r="BG38" i="31"/>
  <c r="BB28" i="31"/>
  <c r="BB27" i="31"/>
  <c r="BB41" i="31"/>
  <c r="BD39" i="31"/>
  <c r="BE52" i="31"/>
  <c r="BP43" i="31"/>
  <c r="BO39" i="31"/>
  <c r="BO30" i="31"/>
  <c r="BO43" i="31"/>
  <c r="BT38" i="31"/>
  <c r="BO29" i="31"/>
  <c r="BQ39" i="31"/>
  <c r="BR52" i="31"/>
  <c r="BQ43" i="31"/>
  <c r="BO31" i="31"/>
  <c r="BR55" i="31"/>
  <c r="BO28" i="31"/>
  <c r="BO27" i="31"/>
  <c r="BP39" i="31"/>
  <c r="BR30" i="31"/>
  <c r="BO41" i="31"/>
  <c r="CD43" i="31"/>
  <c r="CB41" i="31"/>
  <c r="CB31" i="31"/>
  <c r="CC43" i="31"/>
  <c r="CB39" i="31"/>
  <c r="CB30" i="31"/>
  <c r="CD39" i="31"/>
  <c r="CB27" i="31"/>
  <c r="CC39" i="31"/>
  <c r="CO27" i="31"/>
  <c r="CB43" i="31"/>
  <c r="CG38" i="31"/>
  <c r="CB29" i="31"/>
  <c r="CE55" i="31"/>
  <c r="CE30" i="31"/>
  <c r="CB28" i="31"/>
  <c r="CE52" i="31"/>
  <c r="CR55" i="31"/>
  <c r="DE52" i="31"/>
  <c r="CR52" i="31"/>
  <c r="DE55" i="31"/>
  <c r="DR52" i="31"/>
  <c r="EE52" i="31"/>
  <c r="DR55" i="31"/>
  <c r="EE55" i="31"/>
  <c r="ER52" i="31"/>
  <c r="ER55" i="31"/>
  <c r="FE52" i="31"/>
  <c r="FE55" i="31"/>
  <c r="FR52" i="31"/>
  <c r="FR55" i="31"/>
  <c r="GE52" i="31"/>
  <c r="GR52" i="31"/>
  <c r="GE55" i="31"/>
  <c r="GR55" i="31"/>
  <c r="HE52" i="31"/>
  <c r="HR52" i="31"/>
  <c r="HE55" i="31"/>
  <c r="HO43" i="31"/>
  <c r="HR55" i="31"/>
  <c r="IE55" i="31"/>
  <c r="IE52" i="31"/>
  <c r="IB43" i="31"/>
  <c r="IR55" i="31"/>
  <c r="IR52" i="31"/>
  <c r="IO43" i="31"/>
  <c r="JE55" i="31"/>
  <c r="JE52" i="31"/>
  <c r="JB43" i="31"/>
  <c r="JO43" i="31"/>
  <c r="JR52" i="31"/>
  <c r="JR55" i="31"/>
  <c r="KE55" i="31"/>
  <c r="KE52" i="31"/>
  <c r="KR55" i="31"/>
  <c r="KO43" i="31"/>
  <c r="KR52" i="31"/>
  <c r="LE55" i="31"/>
  <c r="LB43" i="31"/>
  <c r="LE52" i="31"/>
  <c r="LO43" i="31"/>
  <c r="LR52" i="31"/>
  <c r="LR55" i="31"/>
  <c r="MB43" i="31"/>
  <c r="NR52" i="31"/>
  <c r="ME52" i="31"/>
  <c r="MR52" i="31"/>
  <c r="ME55" i="31"/>
  <c r="MR55" i="31"/>
  <c r="NE55" i="31"/>
  <c r="NB43" i="31"/>
  <c r="NE52" i="31"/>
  <c r="NO43" i="31"/>
  <c r="NR55" i="31"/>
  <c r="NQ43" i="31"/>
  <c r="NO41" i="31"/>
  <c r="NC39" i="31"/>
  <c r="NB27" i="31"/>
  <c r="MB29" i="31"/>
  <c r="LB39" i="31"/>
  <c r="NP43" i="31"/>
  <c r="NO39" i="31"/>
  <c r="NO31" i="31"/>
  <c r="ND43" i="31"/>
  <c r="NB41" i="31"/>
  <c r="MP39" i="31"/>
  <c r="MO27" i="31"/>
  <c r="MD39" i="31"/>
  <c r="MB28" i="31"/>
  <c r="LR30" i="31"/>
  <c r="LO29" i="31"/>
  <c r="LG38" i="31"/>
  <c r="LB30" i="31"/>
  <c r="KP43" i="31"/>
  <c r="KO39" i="31"/>
  <c r="KO30" i="31"/>
  <c r="NT38" i="31"/>
  <c r="NO30" i="31"/>
  <c r="NC43" i="31"/>
  <c r="NB39" i="31"/>
  <c r="NB31" i="31"/>
  <c r="MQ43" i="31"/>
  <c r="MO41" i="31"/>
  <c r="MC39" i="31"/>
  <c r="MB27" i="31"/>
  <c r="LQ39" i="31"/>
  <c r="LO28" i="31"/>
  <c r="LE30" i="31"/>
  <c r="LB29" i="31"/>
  <c r="KT38" i="31"/>
  <c r="KO29" i="31"/>
  <c r="NR30" i="31"/>
  <c r="NO29" i="31"/>
  <c r="NG38" i="31"/>
  <c r="NB30" i="31"/>
  <c r="MP43" i="31"/>
  <c r="MO39" i="31"/>
  <c r="MO31" i="31"/>
  <c r="MD43" i="31"/>
  <c r="MB41" i="31"/>
  <c r="LP39" i="31"/>
  <c r="LO27" i="31"/>
  <c r="LD39" i="31"/>
  <c r="LB28" i="31"/>
  <c r="KR30" i="31"/>
  <c r="KO28" i="31"/>
  <c r="LC39" i="31"/>
  <c r="LB27" i="31"/>
  <c r="MQ39" i="31"/>
  <c r="ME30" i="31"/>
  <c r="LT38" i="31"/>
  <c r="LC43" i="31"/>
  <c r="KQ43" i="31"/>
  <c r="KO31" i="31"/>
  <c r="NQ39" i="31"/>
  <c r="NO28" i="31"/>
  <c r="NE30" i="31"/>
  <c r="NB29" i="31"/>
  <c r="MO43" i="31"/>
  <c r="MT38" i="31"/>
  <c r="MO30" i="31"/>
  <c r="MC43" i="31"/>
  <c r="MB39" i="31"/>
  <c r="MB31" i="31"/>
  <c r="LQ43" i="31"/>
  <c r="LO41" i="31"/>
  <c r="KQ39" i="31"/>
  <c r="KO27" i="31"/>
  <c r="MO28" i="31"/>
  <c r="LB31" i="31"/>
  <c r="NP39" i="31"/>
  <c r="NO34" i="31"/>
  <c r="H19" i="31" s="1"/>
  <c r="H40" i="11" s="1"/>
  <c r="NO27" i="31"/>
  <c r="ND39" i="31"/>
  <c r="NB28" i="31"/>
  <c r="MR30" i="31"/>
  <c r="MO29" i="31"/>
  <c r="MG38" i="31"/>
  <c r="MB30" i="31"/>
  <c r="LP43" i="31"/>
  <c r="LO39" i="31"/>
  <c r="LO31" i="31"/>
  <c r="LD43" i="31"/>
  <c r="LB41" i="31"/>
  <c r="KP39" i="31"/>
  <c r="LO30" i="31"/>
  <c r="KO41" i="31"/>
  <c r="KD43" i="31"/>
  <c r="KB41" i="31"/>
  <c r="KB31" i="31"/>
  <c r="JQ39" i="31"/>
  <c r="JO27" i="31"/>
  <c r="JC39" i="31"/>
  <c r="JB27" i="31"/>
  <c r="IQ39" i="31"/>
  <c r="IO28" i="31"/>
  <c r="KB39" i="31"/>
  <c r="KE30" i="31"/>
  <c r="JQ43" i="31"/>
  <c r="JD43" i="31"/>
  <c r="JB41" i="31"/>
  <c r="ID39" i="31"/>
  <c r="JG38" i="31"/>
  <c r="IO39" i="31"/>
  <c r="IB41" i="31"/>
  <c r="IB39" i="31"/>
  <c r="IG38" i="31"/>
  <c r="KC43" i="31"/>
  <c r="JP39" i="31"/>
  <c r="IP39" i="31"/>
  <c r="IO27" i="31"/>
  <c r="JO30" i="31"/>
  <c r="JB30" i="31"/>
  <c r="IP43" i="31"/>
  <c r="ID43" i="31"/>
  <c r="IB31" i="31"/>
  <c r="JD39" i="31"/>
  <c r="IO29" i="31"/>
  <c r="KB43" i="31"/>
  <c r="KG38" i="31"/>
  <c r="KB30" i="31"/>
  <c r="JP43" i="31"/>
  <c r="JO41" i="31"/>
  <c r="JO31" i="31"/>
  <c r="JC43" i="31"/>
  <c r="JB39" i="31"/>
  <c r="JB31" i="31"/>
  <c r="IQ43" i="31"/>
  <c r="IO41" i="31"/>
  <c r="IC39" i="31"/>
  <c r="KB29" i="31"/>
  <c r="JO39" i="31"/>
  <c r="IO31" i="31"/>
  <c r="IR30" i="31"/>
  <c r="KD39" i="31"/>
  <c r="KB28" i="31"/>
  <c r="JT38" i="31"/>
  <c r="JR30" i="31"/>
  <c r="JO29" i="31"/>
  <c r="JE30" i="31"/>
  <c r="JB29" i="31"/>
  <c r="IT38" i="31"/>
  <c r="IO30" i="31"/>
  <c r="IC43" i="31"/>
  <c r="KC39" i="31"/>
  <c r="KB27" i="31"/>
  <c r="JO28" i="31"/>
  <c r="JB28" i="31"/>
  <c r="IE30" i="31"/>
  <c r="HP43" i="31"/>
  <c r="HO39" i="31"/>
  <c r="HO31" i="31"/>
  <c r="HD43" i="31"/>
  <c r="HB41" i="31"/>
  <c r="HE30" i="31"/>
  <c r="GP39" i="31"/>
  <c r="GR30" i="31"/>
  <c r="GC39" i="31"/>
  <c r="GE30" i="31"/>
  <c r="FQ39" i="31"/>
  <c r="FO27" i="31"/>
  <c r="IB30" i="31"/>
  <c r="HT38" i="31"/>
  <c r="HO30" i="31"/>
  <c r="HC43" i="31"/>
  <c r="HB31" i="31"/>
  <c r="GQ43" i="31"/>
  <c r="GO31" i="31"/>
  <c r="GD43" i="31"/>
  <c r="GB31" i="31"/>
  <c r="FP39" i="31"/>
  <c r="HO28" i="31"/>
  <c r="GT38" i="31"/>
  <c r="GG38" i="31"/>
  <c r="FR30" i="31"/>
  <c r="GO27" i="31"/>
  <c r="GB27" i="31"/>
  <c r="HB39" i="31"/>
  <c r="GO41" i="31"/>
  <c r="GB41" i="31"/>
  <c r="FQ43" i="31"/>
  <c r="HB29" i="31"/>
  <c r="GO29" i="31"/>
  <c r="GB29" i="31"/>
  <c r="FO30" i="31"/>
  <c r="IB29" i="31"/>
  <c r="HR30" i="31"/>
  <c r="HO29" i="31"/>
  <c r="HB43" i="31"/>
  <c r="HG38" i="31"/>
  <c r="HB30" i="31"/>
  <c r="GP43" i="31"/>
  <c r="GO39" i="31"/>
  <c r="GO30" i="31"/>
  <c r="GC43" i="31"/>
  <c r="GB39" i="31"/>
  <c r="GB30" i="31"/>
  <c r="FP43" i="31"/>
  <c r="FO39" i="31"/>
  <c r="FO31" i="31"/>
  <c r="IB28" i="31"/>
  <c r="HQ39" i="31"/>
  <c r="GO43" i="31"/>
  <c r="GB43" i="31"/>
  <c r="FO43" i="31"/>
  <c r="FO29" i="31"/>
  <c r="GD39" i="31"/>
  <c r="IB27" i="31"/>
  <c r="HP39" i="31"/>
  <c r="HO27" i="31"/>
  <c r="HD39" i="31"/>
  <c r="HB28" i="31"/>
  <c r="GO28" i="31"/>
  <c r="GB28" i="31"/>
  <c r="FO41" i="31"/>
  <c r="FT38" i="31"/>
  <c r="FO28" i="31"/>
  <c r="HQ43" i="31"/>
  <c r="HO41" i="31"/>
  <c r="HC39" i="31"/>
  <c r="HB27" i="31"/>
  <c r="GQ39" i="31"/>
  <c r="FD43" i="31"/>
  <c r="FC39" i="31"/>
  <c r="FB31" i="31"/>
  <c r="EQ43" i="31"/>
  <c r="EP39" i="31"/>
  <c r="EC39" i="31"/>
  <c r="EB27" i="31"/>
  <c r="DQ39" i="31"/>
  <c r="DE30" i="31"/>
  <c r="DO29" i="31"/>
  <c r="DB43" i="31"/>
  <c r="DG38" i="31"/>
  <c r="DB29" i="31"/>
  <c r="CO43" i="31"/>
  <c r="CT38" i="31"/>
  <c r="CO30" i="31"/>
  <c r="FB39" i="31"/>
  <c r="EP43" i="31"/>
  <c r="EO31" i="31"/>
  <c r="EB41" i="31"/>
  <c r="DP39" i="31"/>
  <c r="DO28" i="31"/>
  <c r="DB28" i="31"/>
  <c r="CR30" i="31"/>
  <c r="ET38" i="31"/>
  <c r="EG38" i="31"/>
  <c r="DO39" i="31"/>
  <c r="DC39" i="31"/>
  <c r="CP39" i="31"/>
  <c r="DO30" i="31"/>
  <c r="DB39" i="31"/>
  <c r="FC43" i="31"/>
  <c r="FE30" i="31"/>
  <c r="EO41" i="31"/>
  <c r="ED43" i="31"/>
  <c r="CO29" i="31"/>
  <c r="EO29" i="31"/>
  <c r="EB30" i="31"/>
  <c r="CP43" i="31"/>
  <c r="FB43" i="31"/>
  <c r="FG38" i="31"/>
  <c r="FB30" i="31"/>
  <c r="EO43" i="31"/>
  <c r="EO39" i="31"/>
  <c r="EO30" i="31"/>
  <c r="EC43" i="31"/>
  <c r="EB39" i="31"/>
  <c r="EB31" i="31"/>
  <c r="DQ43" i="31"/>
  <c r="DO41" i="31"/>
  <c r="DO27" i="31"/>
  <c r="DD39" i="31"/>
  <c r="DB27" i="31"/>
  <c r="CQ39" i="31"/>
  <c r="CO28" i="31"/>
  <c r="FB29" i="31"/>
  <c r="ER30" i="31"/>
  <c r="EB43" i="31"/>
  <c r="DP43" i="31"/>
  <c r="DC43" i="31"/>
  <c r="CO31" i="31"/>
  <c r="FD39" i="31"/>
  <c r="FB28" i="31"/>
  <c r="EO28" i="31"/>
  <c r="EE30" i="31"/>
  <c r="EB29" i="31"/>
  <c r="DO43" i="31"/>
  <c r="DT38" i="31"/>
  <c r="DO31" i="31"/>
  <c r="DD43" i="31"/>
  <c r="DB41" i="31"/>
  <c r="DB31" i="31"/>
  <c r="CQ43" i="31"/>
  <c r="CO41" i="31"/>
  <c r="DB30" i="31"/>
  <c r="FB41" i="31"/>
  <c r="FB27" i="31"/>
  <c r="EQ39" i="31"/>
  <c r="EO27" i="31"/>
  <c r="ED39" i="31"/>
  <c r="EB28" i="31"/>
  <c r="DR30" i="31"/>
  <c r="CO39" i="31"/>
  <c r="AO28" i="31"/>
  <c r="AO27" i="31"/>
  <c r="AO31" i="31"/>
  <c r="AR30" i="31"/>
  <c r="AO30" i="31"/>
  <c r="AO29" i="31"/>
  <c r="AE55" i="31"/>
  <c r="AC39" i="31"/>
  <c r="AB27" i="31"/>
  <c r="AE30" i="31"/>
  <c r="AD43" i="31"/>
  <c r="AB31" i="31"/>
  <c r="AG38" i="31"/>
  <c r="AD39" i="31"/>
  <c r="AB28" i="31"/>
  <c r="AB41" i="31"/>
  <c r="AB39" i="31"/>
  <c r="AC43" i="31"/>
  <c r="AB30" i="31"/>
  <c r="AB29" i="31"/>
  <c r="AE52" i="31"/>
  <c r="AB43" i="31"/>
  <c r="R55" i="31"/>
  <c r="O31" i="31"/>
  <c r="P43" i="31"/>
  <c r="T38" i="31"/>
  <c r="O30" i="31"/>
  <c r="R52" i="31"/>
  <c r="O43" i="31"/>
  <c r="O29" i="31"/>
  <c r="O39" i="31"/>
  <c r="O28" i="31"/>
  <c r="Q39" i="31"/>
  <c r="O27" i="31"/>
  <c r="P39" i="31"/>
  <c r="R30" i="31"/>
  <c r="Q43" i="31"/>
  <c r="O41" i="31"/>
  <c r="E30" i="31"/>
  <c r="B28" i="31"/>
  <c r="B39" i="31"/>
  <c r="E55" i="31"/>
  <c r="G38" i="31"/>
  <c r="E52" i="31"/>
  <c r="D39" i="31"/>
  <c r="B30" i="31"/>
  <c r="B27" i="31"/>
  <c r="C39" i="31"/>
  <c r="D43" i="31"/>
  <c r="B41" i="31"/>
  <c r="C43" i="31"/>
  <c r="B31" i="31"/>
  <c r="B43" i="31"/>
  <c r="B29" i="31"/>
  <c r="MI27" i="31"/>
  <c r="JI27" i="31"/>
  <c r="GI27" i="31"/>
  <c r="II27" i="31"/>
  <c r="KV27" i="31"/>
  <c r="EV27" i="31"/>
  <c r="NI27" i="31"/>
  <c r="HI27" i="31"/>
  <c r="MV27" i="31"/>
  <c r="GV27" i="31"/>
  <c r="LV27" i="31"/>
  <c r="IV27" i="31"/>
  <c r="FV27" i="31"/>
  <c r="LI27" i="31"/>
  <c r="FI27" i="31"/>
  <c r="NV27" i="31"/>
  <c r="KI27" i="31"/>
  <c r="EI27" i="31"/>
  <c r="JV27" i="31"/>
  <c r="DV27" i="31"/>
  <c r="AV27" i="31"/>
  <c r="DI27" i="31"/>
  <c r="AI27" i="31"/>
  <c r="CV27" i="31"/>
  <c r="V27" i="31"/>
  <c r="CI27" i="31"/>
  <c r="I27" i="31"/>
  <c r="E54" i="31" s="1"/>
  <c r="BV27" i="31"/>
  <c r="BI27" i="31"/>
  <c r="GO51" i="31" l="1"/>
  <c r="GR54" i="31"/>
  <c r="GO53" i="31" s="1"/>
  <c r="O51" i="31"/>
  <c r="R54" i="31"/>
  <c r="O53" i="31" s="1"/>
  <c r="KB51" i="31"/>
  <c r="KE54" i="31"/>
  <c r="KB53" i="31" s="1"/>
  <c r="MB51" i="31"/>
  <c r="ME54" i="31"/>
  <c r="MB53" i="31" s="1"/>
  <c r="FB51" i="31"/>
  <c r="FE54" i="31"/>
  <c r="FB53" i="31" s="1"/>
  <c r="EB51" i="31"/>
  <c r="EE54" i="31"/>
  <c r="EB53" i="31" s="1"/>
  <c r="JB51" i="31"/>
  <c r="JE54" i="31"/>
  <c r="JB53" i="31" s="1"/>
  <c r="MO51" i="31"/>
  <c r="MR54" i="31"/>
  <c r="MO53" i="31" s="1"/>
  <c r="CO51" i="31"/>
  <c r="CR54" i="31"/>
  <c r="CO53" i="31" s="1"/>
  <c r="NO51" i="31"/>
  <c r="NR54" i="31"/>
  <c r="NO53" i="31" s="1"/>
  <c r="HB51" i="31"/>
  <c r="HE54" i="31"/>
  <c r="HB53" i="31" s="1"/>
  <c r="NB51" i="31"/>
  <c r="NE54" i="31"/>
  <c r="NB53" i="31" s="1"/>
  <c r="DB51" i="31"/>
  <c r="DE54" i="31"/>
  <c r="DB53" i="31" s="1"/>
  <c r="BB51" i="31"/>
  <c r="BE54" i="31"/>
  <c r="BB53" i="31" s="1"/>
  <c r="AO51" i="31"/>
  <c r="AR54" i="31"/>
  <c r="AO53" i="31" s="1"/>
  <c r="FO51" i="31"/>
  <c r="FR54" i="31"/>
  <c r="FO53" i="31" s="1"/>
  <c r="KO51" i="31"/>
  <c r="KR54" i="31"/>
  <c r="KO53" i="31" s="1"/>
  <c r="EO51" i="31"/>
  <c r="ER54" i="31"/>
  <c r="EO53" i="31" s="1"/>
  <c r="DO51" i="31"/>
  <c r="DR54" i="31"/>
  <c r="DO53" i="31" s="1"/>
  <c r="IB51" i="31"/>
  <c r="IE54" i="31"/>
  <c r="IB53" i="31" s="1"/>
  <c r="AB51" i="31"/>
  <c r="AE54" i="31"/>
  <c r="AB53" i="31" s="1"/>
  <c r="LB51" i="31"/>
  <c r="LE54" i="31"/>
  <c r="LB53" i="31" s="1"/>
  <c r="BO51" i="31"/>
  <c r="BR54" i="31"/>
  <c r="BO53" i="31" s="1"/>
  <c r="IO51" i="31"/>
  <c r="IR54" i="31"/>
  <c r="IO53" i="31" s="1"/>
  <c r="JO51" i="31"/>
  <c r="JR54" i="31"/>
  <c r="JO53" i="31" s="1"/>
  <c r="LO51" i="31"/>
  <c r="LR54" i="31"/>
  <c r="LO53" i="31" s="1"/>
  <c r="GB51" i="31"/>
  <c r="GE54" i="31"/>
  <c r="GB53" i="31" s="1"/>
  <c r="CB51" i="31"/>
  <c r="CE54" i="31"/>
  <c r="CB53" i="31" s="1"/>
  <c r="HO51" i="31"/>
  <c r="HR54" i="31"/>
  <c r="HO53" i="31" s="1"/>
  <c r="B51" i="31"/>
  <c r="J19" i="31"/>
  <c r="B53" i="31"/>
  <c r="L16" i="31"/>
  <c r="OD32" i="31"/>
  <c r="OH23" i="31"/>
  <c r="OF24" i="31"/>
  <c r="OD25" i="31"/>
  <c r="OJ26" i="31"/>
  <c r="OF33" i="31"/>
  <c r="OF28" i="31"/>
  <c r="OD24" i="31"/>
  <c r="OD33" i="31"/>
  <c r="OH32" i="31"/>
  <c r="OH29" i="31"/>
  <c r="OF30" i="31"/>
  <c r="OD31" i="31"/>
  <c r="OD26" i="31"/>
  <c r="OH27" i="31"/>
  <c r="OF34" i="31"/>
  <c r="OJ24" i="31"/>
  <c r="OH24" i="31"/>
  <c r="OF25" i="31"/>
  <c r="OH26" i="31"/>
  <c r="OH33" i="31"/>
  <c r="OH28" i="31"/>
  <c r="OF26" i="31"/>
  <c r="OH30" i="31"/>
  <c r="OF31" i="31"/>
  <c r="OD27" i="31"/>
  <c r="OB34" i="31"/>
  <c r="OJ23" i="31"/>
  <c r="OJ25" i="31"/>
  <c r="OH25" i="31"/>
  <c r="OD28" i="31"/>
  <c r="OD34" i="31"/>
  <c r="OD23" i="31"/>
  <c r="OD29" i="31"/>
  <c r="OF23" i="31"/>
  <c r="OF29" i="31"/>
  <c r="OD30" i="31"/>
  <c r="OF32" i="31"/>
  <c r="OH31" i="31"/>
  <c r="OF27" i="31"/>
  <c r="OB29" i="31"/>
  <c r="OB25" i="31"/>
  <c r="OB32" i="31"/>
  <c r="OB26" i="31"/>
  <c r="OB23" i="31"/>
  <c r="OB33" i="31"/>
  <c r="OB31" i="31"/>
  <c r="OB27" i="31"/>
  <c r="OB30" i="31"/>
  <c r="OB24" i="31"/>
  <c r="OB28" i="31"/>
  <c r="B127" i="31"/>
  <c r="D32" i="13" l="1"/>
  <c r="E32" i="13" s="1"/>
  <c r="H16" i="31"/>
  <c r="J16" i="31" s="1"/>
  <c r="D31" i="13" l="1"/>
  <c r="E3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wwg</author>
  </authors>
  <commentList>
    <comment ref="B31" authorId="0" shapeId="0" xr:uid="{00000000-0006-0000-0000-000001000000}">
      <text>
        <r>
          <rPr>
            <b/>
            <sz val="8"/>
            <color indexed="81"/>
            <rFont val="Tahoma"/>
            <family val="2"/>
          </rPr>
          <t>The red triangle in the upper right corner signifies a comment.  It is revealed when the cursor is placed over the cell.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B6" authorId="0" shapeId="0" xr:uid="{00000000-0006-0000-0900-000001000000}">
      <text>
        <r>
          <rPr>
            <b/>
            <sz val="9"/>
            <color indexed="81"/>
            <rFont val="Tahoma"/>
            <family val="2"/>
          </rPr>
          <t xml:space="preserve">
Standard IV.A.1. Student Evaluation-Frequency and Purpose
Evaluation of students must be conducted on a recurrent basis and with sufficient frequency to provide both the students and program faculty with valid and timely indications of the students’ progress toward and achievement of the curriculum competencies in the required learning domains.
Achievement of the program competencies required for graduation must be assessed by criterion-referenced, summative, comprehensive final evaluations in all learning domains at the completion of the program.
</t>
        </r>
        <r>
          <rPr>
            <i/>
            <sz val="9"/>
            <color indexed="81"/>
            <rFont val="Tahoma"/>
            <family val="2"/>
          </rPr>
          <t>Validity means that the evaluation methods chosen are consistent with the learning and performance objectives being tested.</t>
        </r>
        <r>
          <rPr>
            <b/>
            <sz val="9"/>
            <color indexed="81"/>
            <rFont val="Tahoma"/>
            <family val="2"/>
          </rPr>
          <t xml:space="preserve">
</t>
        </r>
      </text>
    </comment>
    <comment ref="B21" authorId="0" shapeId="0" xr:uid="{00000000-0006-0000-0900-000002000000}">
      <text>
        <r>
          <rPr>
            <b/>
            <sz val="9"/>
            <color indexed="81"/>
            <rFont val="Tahoma"/>
            <family val="2"/>
          </rPr>
          <t xml:space="preserve">
Standard IV.A.2. Student Evaluation-Documentation
a. Student evaluations must be maintained in sufficient detail to document learning progress and achievements.
b. The program must track and document that each student successfully meets each of the program established student minimum competency requirements according to patient ages; conditions, pathologies, or complaints; motor skills; and management in lab, clinical, field experience, and field internship.
</t>
        </r>
      </text>
    </comment>
    <comment ref="D22" authorId="0" shapeId="0" xr:uid="{00000000-0006-0000-0900-000003000000}">
      <text>
        <r>
          <rPr>
            <b/>
            <sz val="9"/>
            <color indexed="81"/>
            <rFont val="Tahoma"/>
            <family val="2"/>
          </rPr>
          <t xml:space="preserve">
Terminal Competencies:
</t>
        </r>
        <r>
          <rPr>
            <sz val="9"/>
            <color indexed="81"/>
            <rFont val="Tahoma"/>
            <family val="2"/>
          </rPr>
          <t>the activities required to successfully complete the program.</t>
        </r>
        <r>
          <rPr>
            <sz val="9"/>
            <color indexed="81"/>
            <rFont val="Tahoma"/>
            <family val="2"/>
          </rPr>
          <t xml:space="preserve">
</t>
        </r>
      </text>
    </comment>
    <comment ref="B33" authorId="0" shapeId="0" xr:uid="{00000000-0006-0000-0900-000004000000}">
      <text>
        <r>
          <rPr>
            <b/>
            <sz val="9"/>
            <color indexed="81"/>
            <rFont val="Tahoma"/>
            <family val="2"/>
          </rPr>
          <t xml:space="preserve">
Standard IV.A.2. Student Evaluation-Documentation
a. Student evaluations must be maintained in sufficient detail to document learning progress and achievements.
b. The program must track and document that each student successfully meets each of the program established student minimum competency requirements according to patient ages; conditions, pathologies, or complaints; motor skills; and management in lab, clinical, field experience, and field internship.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B6" authorId="0" shapeId="0" xr:uid="{00000000-0006-0000-0A00-000001000000}">
      <text>
        <r>
          <rPr>
            <b/>
            <sz val="9"/>
            <color indexed="81"/>
            <rFont val="Tahoma"/>
            <family val="2"/>
          </rPr>
          <t xml:space="preserve">
Standard V.A.1. Fair Practices - Publications and Disclosures (Announcements)
Announcements, catalogs, publications, advertising, and websites must accurately reflect the program offered.</t>
        </r>
        <r>
          <rPr>
            <sz val="9"/>
            <color indexed="81"/>
            <rFont val="Tahoma"/>
            <family val="2"/>
          </rPr>
          <t xml:space="preserve">
</t>
        </r>
      </text>
    </comment>
    <comment ref="B21" authorId="0" shapeId="0" xr:uid="{00000000-0006-0000-0A00-000002000000}">
      <text>
        <r>
          <rPr>
            <b/>
            <sz val="9"/>
            <color indexed="81"/>
            <rFont val="Tahoma"/>
            <family val="2"/>
          </rPr>
          <t xml:space="preserve">
V.A.2. Fair Practices – Publications and Disclosure (Made Known to Applicants &amp; Students)
At least the following must be made known to all applicants and students: 
a. Sponsor’s institutional and programmatic accreditation status;
b. Name and website address of CAAHEP;
c. Admissions policies and practices;
d. Technical standards;
e. Occupational risks;
f. Policies on advanced placement, transfer of credits, and credits for experiential learning;
g. Number of credits required for completion of the program;
h. Availability of articulation agreements for transfer of credits;
i. Tuition/fees and other costs required to complete the program;
j. Policies and processes for withdrawal and for refunds of tuition/fees; and
k. Policies and process for assignment of clinical experiences.
</t>
        </r>
      </text>
    </comment>
    <comment ref="D27" authorId="0" shapeId="0" xr:uid="{00000000-0006-0000-0A00-000003000000}">
      <text>
        <r>
          <rPr>
            <sz val="9"/>
            <color indexed="81"/>
            <rFont val="Tahoma"/>
            <family val="2"/>
          </rPr>
          <t xml:space="preserve">
The </t>
        </r>
        <r>
          <rPr>
            <b/>
            <sz val="9"/>
            <color indexed="81"/>
            <rFont val="Tahoma"/>
            <family val="2"/>
          </rPr>
          <t>Paramedic Functional Job Analysis/Technical Standards</t>
        </r>
        <r>
          <rPr>
            <sz val="9"/>
            <color indexed="81"/>
            <rFont val="Tahoma"/>
            <family val="2"/>
          </rPr>
          <t xml:space="preserve"> are located in the Samples section on the Resource Library page of the CoAEMSP website 
</t>
        </r>
      </text>
    </comment>
    <comment ref="D28" authorId="0" shapeId="0" xr:uid="{00000000-0006-0000-0A00-000004000000}">
      <text>
        <r>
          <rPr>
            <sz val="9"/>
            <color indexed="81"/>
            <rFont val="Tahoma"/>
            <family val="2"/>
          </rPr>
          <t xml:space="preserve">
The sample evidence of </t>
        </r>
        <r>
          <rPr>
            <b/>
            <sz val="9"/>
            <color indexed="81"/>
            <rFont val="Tahoma"/>
            <family val="2"/>
          </rPr>
          <t>Occupational Risks</t>
        </r>
        <r>
          <rPr>
            <sz val="9"/>
            <color indexed="81"/>
            <rFont val="Tahoma"/>
            <family val="2"/>
          </rPr>
          <t xml:space="preserve"> is located in the Samples section on the Resource Library page of the CoAEMSP website </t>
        </r>
      </text>
    </comment>
    <comment ref="D29" authorId="0" shapeId="0" xr:uid="{00000000-0006-0000-0A00-000005000000}">
      <text>
        <r>
          <rPr>
            <sz val="9"/>
            <color indexed="81"/>
            <rFont val="Tahoma"/>
            <family val="2"/>
          </rPr>
          <t xml:space="preserve">
All students who are accepted for advanced placement (AP) must be accounted for in the annual report.  Programs must demonstrate how advanced placement graduates meet all program minimum competency requirements in didactic, lab, clinical, and capstone field internships.  All programs must have and publish their program-specific policy on advanced placement even if they do not utilize advanced placement.  </t>
        </r>
      </text>
    </comment>
    <comment ref="B58" authorId="0" shapeId="0" xr:uid="{00000000-0006-0000-0A00-000006000000}">
      <text>
        <r>
          <rPr>
            <b/>
            <sz val="9"/>
            <color indexed="81"/>
            <rFont val="Tahoma"/>
            <family val="2"/>
          </rPr>
          <t xml:space="preserve">
V.A.3. Fair Practices – Publications and Disclosure (Make Known to Students)
At least the following must be made known to all students: 
a. Academic calendar;
b. Student grievance procedure;
c. Appeals process;
d. Criteria for successful completion of each segment of the curriculum and for graduation; and
e. Policies by which students may perform clinical work while enrolled in the program.
</t>
        </r>
        <r>
          <rPr>
            <sz val="9"/>
            <color indexed="81"/>
            <rFont val="Tahoma"/>
            <family val="2"/>
          </rPr>
          <t xml:space="preserve">
</t>
        </r>
      </text>
    </comment>
    <comment ref="B76" authorId="0" shapeId="0" xr:uid="{00000000-0006-0000-0A00-000007000000}">
      <text>
        <r>
          <rPr>
            <b/>
            <sz val="9"/>
            <color indexed="81"/>
            <rFont val="Tahoma"/>
            <family val="2"/>
          </rPr>
          <t xml:space="preserve">
V.A.4. Fair Practices – Publications and Disclosure (Make Known to Public)
The sponsor must maintain and make available to the public on its website a current and consistent summary of student/graduate achievement that includes the results of one or more of these program outcomes: national or state credentialing examination(s), programmatic retention, and placement in full or part-time employment or volunteering in the profession or a related profession as established by the CoAEMSP.
</t>
        </r>
        <r>
          <rPr>
            <i/>
            <sz val="9"/>
            <color indexed="81"/>
            <rFont val="Tahoma"/>
            <family val="2"/>
          </rPr>
          <t>It is recommended that the sponsor develop a suitable means of communicating to the communities of interest the achievement of students/graduates (e.g., through a website or electronic or printed documents).</t>
        </r>
        <r>
          <rPr>
            <b/>
            <sz val="9"/>
            <color indexed="81"/>
            <rFont val="Tahoma"/>
            <family val="2"/>
          </rPr>
          <t xml:space="preserve">
</t>
        </r>
      </text>
    </comment>
    <comment ref="B89" authorId="0" shapeId="0" xr:uid="{00000000-0006-0000-0A00-000008000000}">
      <text>
        <r>
          <rPr>
            <b/>
            <sz val="9"/>
            <color indexed="81"/>
            <rFont val="Tahoma"/>
            <family val="2"/>
          </rPr>
          <t xml:space="preserve">
V.B. Fair Practices – Lawful and Non-discriminatory Practices
All activities associated with the program, including student and faculty recruitment, student admission, and faculty employment practices, must be non discriminatory and in accord with federal and state statutes, rules, and regulations. There must be a faculty grievance procedure made known to all paid faculty.
A program conducting educational activities in other State(s) must provide documentation to CoAEMSP that the program has successfully informed the state Office of EMS that the program has enrolled students in that state.
</t>
        </r>
      </text>
    </comment>
    <comment ref="B103" authorId="0" shapeId="0" xr:uid="{00000000-0006-0000-0A00-000009000000}">
      <text>
        <r>
          <rPr>
            <b/>
            <sz val="9"/>
            <color indexed="81"/>
            <rFont val="Tahoma"/>
            <family val="2"/>
          </rPr>
          <t xml:space="preserve">
V.C. Fair Practices – Safeguards 
The health and safety of patients, students, faculty, and other participants associated with the educational activities of the students must be adequately safeguarded. Emergency medical services students must be readily identifiable as students.
All activities required in the program must be educational and students must not be substituted for staff.
</t>
        </r>
        <r>
          <rPr>
            <sz val="9"/>
            <color indexed="81"/>
            <rFont val="Tahoma"/>
            <family val="2"/>
          </rPr>
          <t xml:space="preserve">
</t>
        </r>
      </text>
    </comment>
    <comment ref="D106" authorId="0" shapeId="0" xr:uid="{00000000-0006-0000-0A00-00000A000000}">
      <text>
        <r>
          <rPr>
            <sz val="9"/>
            <color indexed="81"/>
            <rFont val="Tahoma"/>
            <family val="2"/>
          </rPr>
          <t xml:space="preserve">
For educational activities, individuals must be clearly identified as students, in a specified clinical/field experience/internship, under the auspices of the program medical director, and under the supervision of the designated preceptor while performing patient care.  At all times, students must operate under the supervision of a preceptor and remain in the student capacity when rendering patient care.
Programs must provide policies on immunizations, health and/or background clearances, and post-injury/exposure processes that reflect the state and local clinical requirements for personnel and students in hospital and field environments.
</t>
        </r>
      </text>
    </comment>
    <comment ref="B116" authorId="0" shapeId="0" xr:uid="{00000000-0006-0000-0A00-00000B000000}">
      <text>
        <r>
          <rPr>
            <b/>
            <sz val="9"/>
            <color indexed="81"/>
            <rFont val="Tahoma"/>
            <family val="2"/>
          </rPr>
          <t xml:space="preserve">
V.D. Fair Practices – Student Records
Grades and credits for courses must be recorded on the student transcript and permanently maintained by the program sponsor in an accessible and secure location.  Students and graduates must be given direction on how to access their records. Records must be maintained for student admission, advisement, and counseling while the student is enrolled in the program.
</t>
        </r>
      </text>
    </comment>
    <comment ref="B130" authorId="0" shapeId="0" xr:uid="{00000000-0006-0000-0A00-00000C000000}">
      <text>
        <r>
          <rPr>
            <b/>
            <sz val="9"/>
            <color indexed="81"/>
            <rFont val="Tahoma"/>
            <family val="2"/>
          </rPr>
          <t xml:space="preserve">
V.E. Fair Practices – Substantive Change 
The sponsor must report substantive change(s) as described in Appendix A to the CAAHEP/CoAEMSP in a timely manner. Additional substantive changes to be reported to CoAEMSP within the time limits prescribed include: 
1. Change in sponsorship
2. Change in location
3. Addition of a satellite location 
4. Addition of an alternate location
5. Addition of a distance learning program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wwg</author>
    <author>Lisa Collard</author>
  </authors>
  <commentList>
    <comment ref="E14" authorId="0" shapeId="0" xr:uid="{00000000-0006-0000-0B00-000001000000}">
      <text>
        <r>
          <rPr>
            <b/>
            <sz val="9"/>
            <color indexed="81"/>
            <rFont val="Tahoma"/>
            <family val="2"/>
          </rPr>
          <t xml:space="preserve">
Alternate Location: 
</t>
        </r>
        <r>
          <rPr>
            <sz val="9"/>
            <color indexed="81"/>
            <rFont val="Tahoma"/>
            <family val="2"/>
          </rPr>
          <t>location that is separate from the main campus of the CAAHEP accredited EMS education program where a portion of the program is conducted which may include skill practice or testing, periodic lecture or other learning activity, or other student assessments. This location does not meet the definition of a satellite and does not offer all the professional didactic and/or laboratory content of the program.
Evidence of adequate resources may be required at the time of the site visit and may include a description of the learning environment including a floor plan with dimensions, a detailed equipment list, and photos and/or video of the location, equipment, and other available resources.
[CoAEMSP Policy XIII - Campus-Based Program, Alternate Locations &amp; Satellites]</t>
        </r>
      </text>
    </comment>
    <comment ref="F25" authorId="1" shapeId="0" xr:uid="{00000000-0006-0000-0B00-000002000000}">
      <text>
        <r>
          <rPr>
            <sz val="9"/>
            <color indexed="81"/>
            <rFont val="Tahoma"/>
            <family val="2"/>
          </rPr>
          <t>List the number of maximum students enrolled per cohort</t>
        </r>
      </text>
    </comment>
    <comment ref="G25" authorId="1" shapeId="0" xr:uid="{00000000-0006-0000-0B00-000003000000}">
      <text>
        <r>
          <rPr>
            <sz val="9"/>
            <color indexed="81"/>
            <rFont val="Tahoma"/>
            <family val="2"/>
          </rPr>
          <t xml:space="preserve">List the number of times cohorts are enrolled at this location per year
</t>
        </r>
      </text>
    </comment>
    <comment ref="G46" authorId="1" shapeId="0" xr:uid="{00000000-0006-0000-0B00-000004000000}">
      <text>
        <r>
          <rPr>
            <sz val="9"/>
            <color indexed="81"/>
            <rFont val="Tahoma"/>
            <family val="2"/>
          </rPr>
          <t xml:space="preserve">List the number of maximum students enrolled per cohort
</t>
        </r>
      </text>
    </comment>
    <comment ref="H46" authorId="1" shapeId="0" xr:uid="{00000000-0006-0000-0B00-000005000000}">
      <text>
        <r>
          <rPr>
            <sz val="9"/>
            <color indexed="81"/>
            <rFont val="Tahoma"/>
            <family val="2"/>
          </rPr>
          <t xml:space="preserve">List the number of times cohorts are enrolled at this location per year
</t>
        </r>
      </text>
    </comment>
    <comment ref="I46" authorId="1" shapeId="0" xr:uid="{00000000-0006-0000-0B00-000006000000}">
      <text>
        <r>
          <rPr>
            <sz val="9"/>
            <color indexed="81"/>
            <rFont val="Tahoma"/>
            <family val="2"/>
          </rPr>
          <t xml:space="preserve">
Due to the distance and separation from the main campus, a Medical Director must be appointed that can legally provide supervision for the out-of-state location(s). If the program's Medical Director cannot provide out-of-state supervision, then the sponsor must appoint an Associate or Assistant Medical Director (Standard III.B.3 &amp; 4) that can legally provide supervision for out-of-state location(s).</t>
        </r>
      </text>
    </comment>
    <comment ref="E73" authorId="0" shapeId="0" xr:uid="{00000000-0006-0000-0B00-000007000000}">
      <text>
        <r>
          <rPr>
            <b/>
            <sz val="9"/>
            <color indexed="81"/>
            <rFont val="Tahoma"/>
            <family val="2"/>
          </rPr>
          <t xml:space="preserve">
Program Satellite:</t>
        </r>
        <r>
          <rPr>
            <sz val="9"/>
            <color indexed="81"/>
            <rFont val="Tahoma"/>
            <family val="2"/>
          </rPr>
          <t xml:space="preserve">
off-campus location(s) that are advertised or otherwise made known to individuals outside the sponsor.  The off-campus location(s) must offer all the professional didactic (which may include any distance education delivery modality) and laboratory content of the program.  
Satellite(s) are included in the CAAHEP accreditation of the sponsor and function under the direction of the Key Personnel of the program.
[CoAEMSP Policy XIII - Campus-Based Program, Alternate Locations &amp; Satellites and CAAHEP Policy 209 B - Alternative Models of Education - Satellites]
</t>
        </r>
      </text>
    </comment>
    <comment ref="F84" authorId="1" shapeId="0" xr:uid="{00000000-0006-0000-0B00-000008000000}">
      <text>
        <r>
          <rPr>
            <sz val="9"/>
            <color indexed="81"/>
            <rFont val="Tahoma"/>
            <family val="2"/>
          </rPr>
          <t xml:space="preserve">List the length of the satellite in months (including didactic, lab, clinical, and capstone field internship)  </t>
        </r>
      </text>
    </comment>
    <comment ref="I84" authorId="1" shapeId="0" xr:uid="{00000000-0006-0000-0B00-000009000000}">
      <text>
        <r>
          <rPr>
            <sz val="9"/>
            <color indexed="81"/>
            <rFont val="Tahoma"/>
            <family val="2"/>
          </rPr>
          <t>List the number of maximum students enrolled per cohort</t>
        </r>
      </text>
    </comment>
    <comment ref="J84" authorId="1" shapeId="0" xr:uid="{00000000-0006-0000-0B00-00000A000000}">
      <text>
        <r>
          <rPr>
            <sz val="9"/>
            <color indexed="81"/>
            <rFont val="Tahoma"/>
            <family val="2"/>
          </rPr>
          <t xml:space="preserve">List the number of times cohorts are enrolled at this location per year
</t>
        </r>
      </text>
    </comment>
    <comment ref="K84" authorId="1" shapeId="0" xr:uid="{00000000-0006-0000-0B00-00000B000000}">
      <text>
        <r>
          <rPr>
            <sz val="9"/>
            <color indexed="81"/>
            <rFont val="Tahoma"/>
            <family val="2"/>
          </rPr>
          <t xml:space="preserve">
Due to the distance and separation from the main campus, a Lead Instructor must be appointed and must be responsible for on-site coordination of the entire course. The Lead Instructor must meet all of the CAAHEP standards.  If there is a change in the Lead Instructor, the new Lead Instructor must meet the current CAAHEP Standards.
</t>
        </r>
      </text>
    </comment>
    <comment ref="G105" authorId="1" shapeId="0" xr:uid="{00000000-0006-0000-0B00-00000C000000}">
      <text>
        <r>
          <rPr>
            <sz val="9"/>
            <color indexed="81"/>
            <rFont val="Tahoma"/>
            <family val="2"/>
          </rPr>
          <t xml:space="preserve">List the length of the satellite in months (including didactic, lab, clinical, and capstone field internship)  </t>
        </r>
      </text>
    </comment>
    <comment ref="J105" authorId="1" shapeId="0" xr:uid="{00000000-0006-0000-0B00-00000D000000}">
      <text>
        <r>
          <rPr>
            <sz val="9"/>
            <color indexed="81"/>
            <rFont val="Tahoma"/>
            <family val="2"/>
          </rPr>
          <t xml:space="preserve">List the number of maximum students enrolled per cohort
</t>
        </r>
      </text>
    </comment>
    <comment ref="K105" authorId="1" shapeId="0" xr:uid="{00000000-0006-0000-0B00-00000E000000}">
      <text>
        <r>
          <rPr>
            <sz val="9"/>
            <color indexed="81"/>
            <rFont val="Tahoma"/>
            <family val="2"/>
          </rPr>
          <t xml:space="preserve">List the number of times cohorts are enrolled at this location per year
</t>
        </r>
      </text>
    </comment>
    <comment ref="L105" authorId="1" shapeId="0" xr:uid="{00000000-0006-0000-0B00-00000F000000}">
      <text>
        <r>
          <rPr>
            <sz val="9"/>
            <color indexed="81"/>
            <rFont val="Tahoma"/>
            <family val="2"/>
          </rPr>
          <t xml:space="preserve">
Due to the distance and separation from the main campus, a Lead Instructor must be appointed and must be responsible for on-site coordination of the entire course. The Lead Instructor must meet all of the CAAHEP standards. If there is a change in the Lead Instructor, the new Lead Instructor must meet the current CAAHEP Standards.</t>
        </r>
        <r>
          <rPr>
            <b/>
            <sz val="9"/>
            <color indexed="81"/>
            <rFont val="Tahoma"/>
            <family val="2"/>
          </rPr>
          <t xml:space="preserve">
</t>
        </r>
      </text>
    </comment>
    <comment ref="M105" authorId="1" shapeId="0" xr:uid="{00000000-0006-0000-0B00-000010000000}">
      <text>
        <r>
          <rPr>
            <sz val="9"/>
            <color indexed="81"/>
            <rFont val="Tahoma"/>
            <family val="2"/>
          </rPr>
          <t xml:space="preserve">
When the satellite is in a different state from the program, the program is required to have a Medical Director that can legally provide supervision for students in that state. If the program’s Medical Director or Associate Medical Director cannot provide out-of-state supervision, then the sponsor must appoint an Assistant Medical Director (Standard III.B.3 &amp; 4). Assistant or Associate Medical Directors must be approved by CoAEMSP.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F8" authorId="0" shapeId="0" xr:uid="{00000000-0006-0000-0100-000001000000}">
      <text>
        <r>
          <rPr>
            <b/>
            <sz val="9"/>
            <color indexed="81"/>
            <rFont val="Tahoma"/>
            <family val="2"/>
          </rPr>
          <t xml:space="preserve">
Program: </t>
        </r>
        <r>
          <rPr>
            <sz val="9"/>
            <color indexed="81"/>
            <rFont val="Tahoma"/>
            <family val="2"/>
          </rPr>
          <t>system of Paramedic curriculum delivery that meets all provisions of the CAAHEP Standards and Guidelines for the Accreditation of Educational Programs in the Emergency Medical Services Professions.
The sponsoring institution’s name submitted on the LOR Application or any of the self-study reports to CoAEMSP may be required to meet CAAHEP’s naming conventions when the program applies/reapplies for CAAHEP accreditation status.</t>
        </r>
      </text>
    </comment>
    <comment ref="C10" authorId="0" shapeId="0" xr:uid="{00000000-0006-0000-0100-000002000000}">
      <text>
        <r>
          <rPr>
            <sz val="9"/>
            <color indexed="81"/>
            <rFont val="Tahoma"/>
            <family val="2"/>
          </rPr>
          <t xml:space="preserve">
The program sponsor is the entity/institution that meets the requirements outlined in the applicable I.A. program sponsor type in the CAAHEP Standards under which the program is applying.  When the program sponsor is a post-secondary academic institution or hospital/clinic/medical center (I.A.1-3), CAAHEP relies on the information provided or published by institutional and healthcare accrediting organizations when determining the official name of the program sponsor.  The sponsor name should match the institutional and healthcare accrediting organizations name of record. This sponsor name may be the same as or differ from the program name.
The program will apply for and be recognized by its sponsor name for accreditation purposes. The following are examples of supporting documentation which must reflect the correct name as requested by the CAAHEP Standards.
• 01 Valid Accreditation: (I.A) establishes the program sponsor name
• 03 Certificate-Diploma or award granted: (I.A.2)  in the name of the program sponsor
• Articulation Agreements: (V.F) in the name of the program sponsor
• Affiliation Agreements: (V.F) both clinical and field affiliates in the name of the program sponsor
</t>
        </r>
      </text>
    </comment>
    <comment ref="C16" authorId="0" shapeId="0" xr:uid="{00000000-0006-0000-0100-000003000000}">
      <text>
        <r>
          <rPr>
            <sz val="9"/>
            <color indexed="81"/>
            <rFont val="Tahoma"/>
            <family val="2"/>
          </rPr>
          <t xml:space="preserve">
Link to program sponsor's website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C5" authorId="0" shapeId="0" xr:uid="{00000000-0006-0000-0200-000001000000}">
      <text>
        <r>
          <rPr>
            <sz val="9"/>
            <color indexed="81"/>
            <rFont val="Tahoma"/>
            <family val="2"/>
          </rPr>
          <t xml:space="preserve">
There must either be a current pathway for graduates to obtain college credit upon completion of the program or a current formal agreement with an accredited college that includes the number of college credits granted to the student in recognition of completion of the program.
This agreement allows students to receive college credit if they enroll at the educational institution; it does not require that students who do not register receive college credit.</t>
        </r>
      </text>
    </comment>
    <comment ref="C6" authorId="0" shapeId="0" xr:uid="{00000000-0006-0000-0200-000002000000}">
      <text>
        <r>
          <rPr>
            <sz val="9"/>
            <color indexed="81"/>
            <rFont val="Tahoma"/>
            <family val="2"/>
          </rPr>
          <t xml:space="preserve">
There must either be a current pathway for graduates to obtain college credit upon completion of the program or a current formal agreement with an accredited college that includes the number of college credits granted to the student in recognition of completion of the program.
This agreement allows students to receive college credit if they enroll at the educational institution; it does not require that students who do not register receive college credit.</t>
        </r>
      </text>
    </comment>
    <comment ref="C9" authorId="0" shapeId="0" xr:uid="{00000000-0006-0000-0200-000003000000}">
      <text>
        <r>
          <rPr>
            <sz val="9"/>
            <color indexed="81"/>
            <rFont val="Tahoma"/>
            <family val="2"/>
          </rPr>
          <t xml:space="preserve">
</t>
        </r>
        <r>
          <rPr>
            <b/>
            <sz val="9"/>
            <color indexed="81"/>
            <rFont val="Tahoma"/>
            <family val="2"/>
          </rPr>
          <t xml:space="preserve">
CAAHEP Policy 2.09</t>
        </r>
        <r>
          <rPr>
            <sz val="9"/>
            <color indexed="81"/>
            <rFont val="Tahoma"/>
            <family val="2"/>
          </rPr>
          <t xml:space="preserve">
</t>
        </r>
        <r>
          <rPr>
            <b/>
            <sz val="9"/>
            <color indexed="81"/>
            <rFont val="Tahoma"/>
            <family val="2"/>
          </rPr>
          <t xml:space="preserve">Full Onsite (In-Person) Delivery: </t>
        </r>
        <r>
          <rPr>
            <sz val="9"/>
            <color indexed="81"/>
            <rFont val="Tahoma"/>
            <family val="2"/>
          </rPr>
          <t>method of delivery in which all didactic and laboratory instruction is provided at an approved location (on or off campus), where instructors and students interact simultaneously in the same physical location.</t>
        </r>
        <r>
          <rPr>
            <b/>
            <sz val="9"/>
            <color indexed="81"/>
            <rFont val="Tahoma"/>
            <family val="2"/>
          </rPr>
          <t xml:space="preserve">
Full Distance Education Delivery:</t>
        </r>
        <r>
          <rPr>
            <sz val="9"/>
            <color indexed="81"/>
            <rFont val="Tahoma"/>
            <family val="2"/>
          </rPr>
          <t xml:space="preserve"> method of delivery in which all didactic and laboratory instruction is provided through distance education, meaning that the instructor and student are physically separated and using technology to interact. Instruction may be synchronous or asynchronous.</t>
        </r>
        <r>
          <rPr>
            <b/>
            <sz val="9"/>
            <color indexed="81"/>
            <rFont val="Tahoma"/>
            <family val="2"/>
          </rPr>
          <t xml:space="preserve">
Blended (or Hybrid) Distance Education Delivery: </t>
        </r>
        <r>
          <rPr>
            <sz val="9"/>
            <color indexed="81"/>
            <rFont val="Tahoma"/>
            <family val="2"/>
          </rPr>
          <t>method of delivery in which all didactic and laboratory instruction is provided using a combination of onsite (in-person) and distance education instruction, which may be synchronous or asynchronous.</t>
        </r>
        <r>
          <rPr>
            <sz val="9"/>
            <color indexed="81"/>
            <rFont val="Tahoma"/>
            <family val="2"/>
          </rPr>
          <t xml:space="preserve">
</t>
        </r>
      </text>
    </comment>
    <comment ref="C13" authorId="0" shapeId="0" xr:uid="{00000000-0006-0000-0200-000004000000}">
      <text>
        <r>
          <rPr>
            <b/>
            <sz val="9"/>
            <color indexed="81"/>
            <rFont val="Tahoma"/>
            <family val="2"/>
          </rPr>
          <t xml:space="preserve">
Enrolled: 
</t>
        </r>
        <r>
          <rPr>
            <sz val="9"/>
            <color indexed="81"/>
            <rFont val="Tahoma"/>
            <family val="2"/>
          </rPr>
          <t xml:space="preserve">student who is registered for and participating in academic course(s).
</t>
        </r>
      </text>
    </comment>
    <comment ref="C19" authorId="0" shapeId="0" xr:uid="{00000000-0006-0000-0200-000005000000}">
      <text>
        <r>
          <rPr>
            <b/>
            <sz val="9"/>
            <color indexed="81"/>
            <rFont val="Tahoma"/>
            <family val="2"/>
          </rPr>
          <t xml:space="preserve">
On-time Graduation: 
</t>
        </r>
        <r>
          <rPr>
            <sz val="9"/>
            <color indexed="81"/>
            <rFont val="Tahoma"/>
            <family val="2"/>
          </rPr>
          <t xml:space="preserve">date on which students complete all the required courses of the program (i.e., all didactic, laboratory, clinical, and field experience, and capstone field internship) in the normal allotted time in the sequence published by the program.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B14" authorId="0" shapeId="0" xr:uid="{00000000-0006-0000-0300-000001000000}">
      <text>
        <r>
          <rPr>
            <b/>
            <sz val="9"/>
            <color indexed="81"/>
            <rFont val="Tahoma"/>
            <family val="2"/>
          </rPr>
          <t xml:space="preserve">
Standard I.A. Sponsoring Institution  
A program sponsor must be at least one of the following
1. A post-secondary academic institution accredited by an institutional accrediting agency that is recognized by the U.S. Department of Education and must be authorized under applicable law or other acceptable authority to provide a post-secondary program, which awards a minimum of a certificate at the completion of the program.
2. A post-secondary academic institution outside of the United States and its territories that is authorized under applicable law or other acceptable authority to provide a postsecondary program, which awards a minimum of a certificate or equivalent at the completion of the academic program.
3. A hospital, clinic or medical center accredited by a healthcare accrediting agency or equivalent that is recognized by the U.S. Department of Health and Human Services and authorized under applicable law to provide healthcare and authorized under applicable law to provide the post-secondary program, which awards a minimum of a certificate at the completion of the program.
4. A branch of the United States Armed Forces or a federal, state, or local governmental or municipal agency which awards a minimum of a certificate at the completion of the program.
5. A consortium, which is a group made up of two or more members that operate an educational program through a written agreement that outlines the expectations and responsibilities of each of the partners. At least one of the consortium partners must meet the requirements of a program sponsor set forth in I.A.1.- I.A.4.
a. The consortium governing board must meet at least annually.
Consortium does not refer to clinical affiliation agreements with the program sponsor.
</t>
        </r>
        <r>
          <rPr>
            <i/>
            <sz val="9"/>
            <color indexed="81"/>
            <rFont val="Tahoma"/>
            <family val="2"/>
          </rPr>
          <t>For a distance education program, the location of program is the mailing address of the sponsor.</t>
        </r>
        <r>
          <rPr>
            <sz val="9"/>
            <color indexed="81"/>
            <rFont val="Tahoma"/>
            <family val="2"/>
          </rPr>
          <t xml:space="preserve">
</t>
        </r>
      </text>
    </comment>
    <comment ref="I17" authorId="0" shapeId="0" xr:uid="{00000000-0006-0000-0300-000002000000}">
      <text>
        <r>
          <rPr>
            <b/>
            <sz val="9"/>
            <color indexed="81"/>
            <rFont val="Tahoma"/>
            <family val="2"/>
          </rPr>
          <t xml:space="preserve">Institutional Accreditor Examples: </t>
        </r>
        <r>
          <rPr>
            <sz val="9"/>
            <color indexed="81"/>
            <rFont val="Tahoma"/>
            <family val="2"/>
          </rPr>
          <t xml:space="preserve">
</t>
        </r>
        <r>
          <rPr>
            <b/>
            <sz val="9"/>
            <color indexed="81"/>
            <rFont val="Tahoma"/>
            <family val="2"/>
          </rPr>
          <t>Standard I.A.1 Sponsorship</t>
        </r>
        <r>
          <rPr>
            <sz val="9"/>
            <color indexed="81"/>
            <rFont val="Tahoma"/>
            <family val="2"/>
          </rPr>
          <t xml:space="preserve"> (i.e., ACAOM, ABHES, ACCJC, ACCSC, ACICS, ACGME, CAAS, COE, HLC, MSCHE, NEASC, NWCCU, SACS, WASC)
</t>
        </r>
        <r>
          <rPr>
            <b/>
            <sz val="9"/>
            <color indexed="81"/>
            <rFont val="Tahoma"/>
            <family val="2"/>
          </rPr>
          <t xml:space="preserve">
Standard I.A.3 Sponsorship</t>
        </r>
        <r>
          <rPr>
            <sz val="9"/>
            <color indexed="81"/>
            <rFont val="Tahoma"/>
            <family val="2"/>
          </rPr>
          <t xml:space="preserve"> (i.e., The Joint Commission, DNV Healthcare Inc., HFAP)
</t>
        </r>
      </text>
    </comment>
    <comment ref="B18" authorId="0" shapeId="0" xr:uid="{00000000-0006-0000-0300-000003000000}">
      <text>
        <r>
          <rPr>
            <b/>
            <sz val="9"/>
            <color indexed="81"/>
            <rFont val="Tahoma"/>
            <family val="2"/>
          </rPr>
          <t xml:space="preserve">
Standard I.B. Responsibilities of Program Sponsor  
The program sponsor must
1. Ensure that the program meets the Standards; 
2. Award academic credit for the program or have an articulation agreement with an accredited post-secondary institution; and, 
3. Have a preparedness plan in place that assures continuity of education services in the event of an unanticipated interruption.
</t>
        </r>
        <r>
          <rPr>
            <i/>
            <sz val="9"/>
            <color indexed="81"/>
            <rFont val="Tahoma"/>
            <family val="2"/>
          </rPr>
          <t>Examples of unanticipated interruptions may include unexpected departure of key personnel, natural disaster, public health crisis, fire, flood, power failure, failure of information technology services, or other events that may lead to inaccessibility of educational services.</t>
        </r>
        <r>
          <rPr>
            <b/>
            <sz val="9"/>
            <color indexed="81"/>
            <rFont val="Tahoma"/>
            <family val="2"/>
          </rPr>
          <t xml:space="preserve"> 
</t>
        </r>
        <r>
          <rPr>
            <sz val="9"/>
            <color indexed="81"/>
            <rFont val="Tahoma"/>
            <family val="2"/>
          </rPr>
          <t xml:space="preserve">
</t>
        </r>
      </text>
    </comment>
    <comment ref="D67" authorId="0" shapeId="0" xr:uid="{00000000-0006-0000-0300-000004000000}">
      <text>
        <r>
          <rPr>
            <b/>
            <sz val="9"/>
            <color indexed="81"/>
            <rFont val="Tahoma"/>
            <family val="2"/>
          </rPr>
          <t xml:space="preserve">Articulation Agreement:
</t>
        </r>
        <r>
          <rPr>
            <sz val="9"/>
            <color indexed="81"/>
            <rFont val="Tahoma"/>
            <family val="2"/>
          </rPr>
          <t>An articulation agreement is an agreement between an educational institution and a training facility to provide college credit to individuals completing the training program. This agreement allows students to receive college credit if they enroll at the educational institution; it does not require that students who do not register receive college credit. 
The articulation agreement may be composed as a memorandum of understanding, transfer agreement, or other suitable instrument, as long as the requirements of articulation are met.</t>
        </r>
      </text>
    </comment>
    <comment ref="D88" authorId="0" shapeId="0" xr:uid="{00000000-0006-0000-0300-000005000000}">
      <text>
        <r>
          <rPr>
            <b/>
            <sz val="9"/>
            <color indexed="81"/>
            <rFont val="Tahoma"/>
            <family val="2"/>
          </rPr>
          <t xml:space="preserve">
Consortium Agreement:
</t>
        </r>
        <r>
          <rPr>
            <sz val="9"/>
            <color indexed="81"/>
            <rFont val="Tahoma"/>
            <family val="2"/>
          </rPr>
          <t xml:space="preserve">An agreement, contract, or memorandum of understanding between two (2) or more entities to provide governance of a program. The members of the consortium set up a separate governing body to establish and run an educational program. The governance, lines of authority, roles of each partner must be established in the agreement, and have an organizational chart.
</t>
        </r>
      </text>
    </comment>
    <comment ref="M112" authorId="0" shapeId="0" xr:uid="{00000000-0006-0000-0300-000006000000}">
      <text>
        <r>
          <rPr>
            <b/>
            <sz val="9"/>
            <color indexed="81"/>
            <rFont val="Tahoma"/>
            <family val="2"/>
          </rPr>
          <t xml:space="preserve">
Governance Body for Consortium
</t>
        </r>
        <r>
          <rPr>
            <sz val="9"/>
            <color indexed="81"/>
            <rFont val="Tahoma"/>
            <family val="2"/>
          </rPr>
          <t>A consortium sponsor is an entity consisting of two or more members that exists for the purpose of operating a paramedic educational program. The members of the consortium must establish a governing body to oversee the educational program. Each member of the consortium must have an equal representation on the governing body. The governance, lines of authority, roles of each member of the body must be established in the agreement and be reflected in an organizational chart. The governing body is distinctly separate and independent of the program’s Advisory Committee.
If the Consortium sponsor has two members, Agency X and Agency Y, it will have a governing body with equal representation from Agency X and Agency Y. For example, if a governing body is comprised of six individuals, three will represent Agency X and three will represent Agency Y. Each governing body must have a Chair elected by its members.</t>
        </r>
        <r>
          <rPr>
            <b/>
            <sz val="9"/>
            <color indexed="81"/>
            <rFont val="Tahoma"/>
            <family val="2"/>
          </rPr>
          <t xml:space="preserve">
</t>
        </r>
        <r>
          <rPr>
            <sz val="9"/>
            <color indexed="81"/>
            <rFont val="Tahoma"/>
            <family val="2"/>
          </rPr>
          <t xml:space="preserve">
</t>
        </r>
      </text>
    </comment>
    <comment ref="L119" authorId="0" shapeId="0" xr:uid="{00000000-0006-0000-0300-000007000000}">
      <text>
        <r>
          <rPr>
            <b/>
            <sz val="9"/>
            <color indexed="81"/>
            <rFont val="Tahoma"/>
            <family val="2"/>
          </rPr>
          <t xml:space="preserve">Governance Board for Consortium
</t>
        </r>
        <r>
          <rPr>
            <sz val="9"/>
            <color indexed="81"/>
            <rFont val="Tahoma"/>
            <family val="2"/>
          </rPr>
          <t>A consortium sponsor is an entity consisting of two or more members that exists for the purpose of operating a paramedic educational program. The members of the consortium must establish a governing body to oversee the educational program. Each member of the consortium must have an equal representation on the governing body. The governance, lines of authority, roles of each member of the body must be established in the agreement and be reflected in an organizational chart. The governing body is distinctly separate and independent of the program’s Advisory Committee.
If the Consortium sponsor has two members, Agency X and Agency Y, it will have a governing body with equal representation from Agency X and Agency Y. For example, if a governing body is comprised of six individuals, three will represent Agency X and three will represent Agency Y. Each governing body must have a Chair elected by its members.</t>
        </r>
        <r>
          <rPr>
            <b/>
            <sz val="9"/>
            <color indexed="81"/>
            <rFont val="Tahoma"/>
            <family val="2"/>
          </rPr>
          <t xml:space="preserve">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Lisa Collard</author>
    <author>chez0</author>
  </authors>
  <commentList>
    <comment ref="B6" authorId="0" shapeId="0" xr:uid="{00000000-0006-0000-0400-000001000000}">
      <text>
        <r>
          <rPr>
            <b/>
            <sz val="9"/>
            <color indexed="81"/>
            <rFont val="Tahoma"/>
            <family val="2"/>
          </rPr>
          <t xml:space="preserve">
Standard II.A. Program Goals and Minimum Expectations
The program must have at least one of the following minimum expectations statements for the following program(s) it offers
• Paramedic: “To prepare Paramedics who are competent in the cognitive (knowledge), psychomotor (skills), and affective (behavior) learning domains to enter the profession.” 
• Advanced Emergency Medical Technician: “To prepare Advanced Emergency Medical Technicians who are competent in the cognitive (knowledge), psychomotor (skills), and affective (behavior) learning domains to enter the profession.”
Programs that adopt educational goals beyond the minimum expectations statement must provide evidence that all students have achieved those goals prior to entry into the field.
Program goals must be compatible with the mission of the sponsoring institution(s), the expectations of the communities of interest, and accepted standards of roles and functions of an emergency medical services professional. Goals are based upon the substantiated needs of health care providers and employers, and the educational needs of the students served by the educational program. Program goals must be written referencing one or more of the learning domains.
The program must assess its goals at least annually and respond to changes in the needs and expectations of its communities of interest.
</t>
        </r>
        <r>
          <rPr>
            <sz val="9"/>
            <color indexed="81"/>
            <rFont val="Tahoma"/>
            <family val="2"/>
          </rPr>
          <t>In this Standard, “field” refers to the profession.</t>
        </r>
      </text>
    </comment>
    <comment ref="D18" authorId="1" shapeId="0" xr:uid="{00000000-0006-0000-0400-000002000000}">
      <text>
        <r>
          <rPr>
            <b/>
            <sz val="9"/>
            <color indexed="81"/>
            <rFont val="Tahoma"/>
            <family val="2"/>
          </rPr>
          <t xml:space="preserve">Advisory Committee
</t>
        </r>
        <r>
          <rPr>
            <sz val="9"/>
            <color indexed="81"/>
            <rFont val="Tahoma"/>
            <family val="2"/>
          </rPr>
          <t xml:space="preserve">The Advisory Committee meets at least annually and has the charge of advising the program and its sponsor develop and review goals and learning domains and oversee needs and expectations. 
The Advisory Committee is comprised of the Paramedic program’s communities of interest, as well as the Program Director and the Medical Director. Those communities of interest include the following: 
 Students – A currently enrolled student who is progressing through the Paramedic program. 
 Graduate – A graduate of the program.
 Faculty –   One (1) representative from the Paramedic faculty 
 Sponsor administration – One (1) member of the sponsor’s administration
 Hospital/Clinic representatives –
 Employers – Individuals who hire and supervise graduates of the Paramedic program. 
 Physicians – Individuals who interact with the EMS system (may be filled by the Medical Director).
 Public – represents the interests of the patient and quality of care delivered. 
Since it is frequently difficult to get a busy group of people together, a program may use synchronous technology such as conference calls, live web meetings, or other electronic means to ensure it has full participation from its representatives. Meeting minutes must document the method of the meeting; the substance of the meeting, including the review of all minimum competency requirements, achievement of program goals, analysis of the goals, action plan, and results of action where appropriate and review of the annual report and other objective data that supports program evaluation; as well as the list of the representatives of the communities of interest indicating present or absent at each meeting.
</t>
        </r>
      </text>
    </comment>
    <comment ref="B19" authorId="0" shapeId="0" xr:uid="{00000000-0006-0000-0400-000003000000}">
      <text>
        <r>
          <rPr>
            <b/>
            <sz val="9"/>
            <color indexed="81"/>
            <rFont val="Tahoma"/>
            <family val="2"/>
          </rPr>
          <t xml:space="preserve">
Standard II.B. Program Advisory Committeee
The program advisory committee must include at least one representative of each community of interest and must meet annually. Communities of interest served by the program include, but are not limited to, students, graduates, faculty members, sponsor administrators, employers, physicians, clinical and capstone field internship representatives, and the public. 
The program advisory committee advises the program regarding revisions to curriculum and program goals based on the changing needs and expectations of the program’s communities of interest, and an assessment of program effectiveness, including the outcomes specified in these Standards.
</t>
        </r>
        <r>
          <rPr>
            <i/>
            <sz val="9"/>
            <color indexed="81"/>
            <rFont val="Tahoma"/>
            <family val="2"/>
          </rPr>
          <t>It is recommended that the chair of the advisory committee be from one of the following groups: graduates, employers, physicians, clinical and field internship representatives, or public. 
Program advisory committee meetings may be conducted using synchronous electronic means.</t>
        </r>
        <r>
          <rPr>
            <b/>
            <sz val="9"/>
            <color indexed="81"/>
            <rFont val="Tahoma"/>
            <family val="2"/>
          </rPr>
          <t xml:space="preserve">
The program advisory committee minutes must document support of the program required minimum numbers of patient contacts.</t>
        </r>
      </text>
    </comment>
    <comment ref="G19" authorId="1" shapeId="0" xr:uid="{00000000-0006-0000-0400-000004000000}">
      <text>
        <r>
          <rPr>
            <sz val="9"/>
            <color indexed="81"/>
            <rFont val="Tahoma"/>
            <family val="2"/>
          </rPr>
          <t xml:space="preserve">
To list more than one member on the same line, place your cursor at the end of the first entry and select Alt + Enter.
</t>
        </r>
      </text>
    </comment>
    <comment ref="D28" authorId="0" shapeId="0" xr:uid="{00000000-0006-0000-0400-000005000000}">
      <text>
        <r>
          <rPr>
            <b/>
            <sz val="9"/>
            <color indexed="81"/>
            <rFont val="Tahoma"/>
            <family val="2"/>
          </rPr>
          <t xml:space="preserve">Public Member or potential consumer
</t>
        </r>
        <r>
          <rPr>
            <sz val="9"/>
            <color indexed="81"/>
            <rFont val="Tahoma"/>
            <family val="2"/>
          </rPr>
          <t>A public member represents consumers of the EMS System. The individual has a vested interest in the proper education of AEMTs/Paramedics for quality patient care. The public member should not be: 
 A current or former employee of the program’s sponsor 
 A current or former employee of any clinical affiliate or field internship site associated with the
   AEMT/Paramedic program 
 A current or former student of the AEMT/Paramedic program 
 An employee, member of the governing board, owner, shareholder, or consultant of an EMS
   education program 
 A member or representative of the EMS profession, any trade association or membership
   organization related to, affiliated with, or associated with the field of pre-hospital care
 An immediate family member of an individual affiliated with the AEMT/Paramedic program
Recommended public members include individuals who have a passion for the quality of EMS patient care such as former patients or family members of patients.</t>
        </r>
        <r>
          <rPr>
            <b/>
            <sz val="9"/>
            <color indexed="81"/>
            <rFont val="Tahoma"/>
            <family val="2"/>
          </rPr>
          <t xml:space="preserve">
</t>
        </r>
        <r>
          <rPr>
            <sz val="9"/>
            <color indexed="81"/>
            <rFont val="Tahoma"/>
            <family val="2"/>
          </rPr>
          <t xml:space="preserve">
</t>
        </r>
      </text>
    </comment>
    <comment ref="H67" authorId="0" shapeId="0" xr:uid="{00000000-0006-0000-0400-000006000000}">
      <text>
        <r>
          <rPr>
            <sz val="9"/>
            <color indexed="81"/>
            <rFont val="Tahoma"/>
            <family val="2"/>
          </rPr>
          <t xml:space="preserve">
Best Practice is for the program Advisory Committee Chair to be selected from one of the non-program affiliated communities of interest.  Additional faculty and administration are ex-officio members.</t>
        </r>
      </text>
    </comment>
    <comment ref="E88" authorId="0" shapeId="0" xr:uid="{00000000-0006-0000-0400-000007000000}">
      <text>
        <r>
          <rPr>
            <b/>
            <sz val="9"/>
            <color indexed="81"/>
            <rFont val="Tahoma"/>
            <family val="2"/>
          </rPr>
          <t xml:space="preserve">
Programmatic Organizational Chart: </t>
        </r>
        <r>
          <rPr>
            <sz val="9"/>
            <color indexed="81"/>
            <rFont val="Tahoma"/>
            <family val="2"/>
          </rPr>
          <t>a visual representation of the program’s personnel structure.</t>
        </r>
        <r>
          <rPr>
            <b/>
            <sz val="9"/>
            <color indexed="81"/>
            <rFont val="Tahoma"/>
            <family val="2"/>
          </rPr>
          <t xml:space="preserve">
Corporate Organizational Charts:</t>
        </r>
        <r>
          <rPr>
            <sz val="9"/>
            <color indexed="81"/>
            <rFont val="Tahoma"/>
            <family val="2"/>
          </rPr>
          <t xml:space="preserve">  
Is a visual representation/chart that shows the overall corporate structure of an organization.  For consortium sponsored programs this includes a separate chart for each member to the agreement. 
For example, when a consortium member is part of a hospital system, ambulance service, or training academy.  It helps to show the corporate structure of where a hospital sits within the overall corporate organization or who is the parent company of an abmulance service or training academy.  
A corporate organizational chart is different from a simple personnel chart.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Lisa Collard</author>
    <author>wwg</author>
  </authors>
  <commentList>
    <comment ref="B5" authorId="0" shapeId="0" xr:uid="{00000000-0006-0000-0500-000001000000}">
      <text>
        <r>
          <rPr>
            <b/>
            <sz val="9"/>
            <color indexed="81"/>
            <rFont val="Tahoma"/>
            <family val="2"/>
          </rPr>
          <t xml:space="preserve">
III.A.1. Resources – Type and Amount
Program resources must be sufficient to ensure the achievement of the program’s goals and outcomes.  Resources must include, but are not limited to: 
a. Faculty;
b. Administrative and support staff;
c. Curriculum;
d. Finances;
e. Faculty and staff workspace;
f. Space for confidential interactions;
g. Classroom and laboratory (physical or virtual);
h. Ancillary student facilities;
i. Clinical affiliates;
j. Field experience and capstone field internship affiliates;
k. Equipment;
l. Supplies;
m. Information technology;
n. Instructional materials; and
o. Support for faculty professional development.
</t>
        </r>
        <r>
          <rPr>
            <sz val="9"/>
            <color indexed="81"/>
            <rFont val="Tahoma"/>
            <family val="2"/>
          </rPr>
          <t xml:space="preserve">
</t>
        </r>
      </text>
    </comment>
    <comment ref="B7" authorId="0" shapeId="0" xr:uid="{00000000-0006-0000-0500-000002000000}">
      <text>
        <r>
          <rPr>
            <b/>
            <sz val="9"/>
            <color indexed="81"/>
            <rFont val="Tahoma"/>
            <family val="2"/>
          </rPr>
          <t xml:space="preserve">
Standard III.A.2 - Clinical, Field Experience, &amp; Capstone Field Internship Affiliations</t>
        </r>
        <r>
          <rPr>
            <sz val="9"/>
            <color indexed="81"/>
            <rFont val="Tahoma"/>
            <family val="2"/>
          </rPr>
          <t xml:space="preserve">
For all affiliations, students must have access to adequate numbers of patients, proportionally distributed by age-range, chief complaint, and interventions in the delivery of emergency care appropriate to the level of the Emergency Medical Services Profession(s) for which training is being offered.
The clinical/field experience and capstone field internship resources must ensure exposure to, and assessment and management of the following patients and conditions: adult trauma and medical emergencies; pediatric trauma and medical emergencies including assessment and management; and geriatric trauma and medical emergencies.
</t>
        </r>
      </text>
    </comment>
    <comment ref="B10" authorId="0" shapeId="0" xr:uid="{00000000-0006-0000-0500-000003000000}">
      <text>
        <r>
          <rPr>
            <b/>
            <sz val="9"/>
            <color indexed="81"/>
            <rFont val="Tahoma"/>
            <family val="2"/>
          </rPr>
          <t xml:space="preserve">
Standard III.D. Resource Assessment
The program must, at least annually, assess the appropriateness and effectiveness of the resources described in these Standards. The results of the resource assessment must be the basis for ongoing planning and change. An action plan must be developed when needed improvements are identified in the program resources. Implementation of the action plan must be documented, and results measured by ongoing resource assessment.
</t>
        </r>
        <r>
          <rPr>
            <sz val="9"/>
            <color indexed="81"/>
            <rFont val="Tahoma"/>
            <family val="2"/>
          </rPr>
          <t xml:space="preserve">
</t>
        </r>
      </text>
    </comment>
    <comment ref="B43" authorId="0" shapeId="0" xr:uid="{00000000-0006-0000-0500-000004000000}">
      <text>
        <r>
          <rPr>
            <b/>
            <sz val="9"/>
            <color indexed="81"/>
            <rFont val="Tahoma"/>
            <family val="2"/>
          </rPr>
          <t xml:space="preserve">
Standard III.C. Curriculum
The curriculum content must ensure that the program goals are achieved.
1. Instruction must be based on clearly written course syllabi that include course description, course objectives, methods of evaluation, topic outline, and competencies required for graduation/program completion.
2. Instruction must be delivered in an appropriate sequence of classroom, laboratory, clinical and field activities. 
3. The program must demonstrate that the curriculum offered meets or exceeds the content and competency of the latest edition of the National EMS Education Standards listed in Appendix B of these Standards.
4. The program must set and require minimum student competencies for each of the required patients and conditions listed in these Standards, and at least annually evaluate and document that the established program minimums are adequate to achieve entry-level competency.
5. The capstone field internship must provide the student with an opportunity to serve as team leader in a variety of prehospital advanced life support emergency medical situations.
</t>
        </r>
        <r>
          <rPr>
            <sz val="9"/>
            <color indexed="81"/>
            <rFont val="Tahoma"/>
            <family val="2"/>
          </rPr>
          <t xml:space="preserve">
</t>
        </r>
        <r>
          <rPr>
            <i/>
            <sz val="9"/>
            <color indexed="81"/>
            <rFont val="Tahoma"/>
            <family val="2"/>
          </rPr>
          <t>It is recommended that programs establish an on-time graduation date for each cohort and a maximum amount of time to complete all components of the education program.
CAAHEP supports and encourages innovation in the development and delivery of the curriculum.</t>
        </r>
        <r>
          <rPr>
            <sz val="9"/>
            <color indexed="81"/>
            <rFont val="Tahoma"/>
            <family val="2"/>
          </rPr>
          <t xml:space="preserve">
</t>
        </r>
      </text>
    </comment>
    <comment ref="J50" authorId="1" shapeId="0" xr:uid="{00000000-0006-0000-0500-000005000000}">
      <text>
        <r>
          <rPr>
            <b/>
            <sz val="9"/>
            <color indexed="81"/>
            <rFont val="Tahoma"/>
            <family val="2"/>
          </rPr>
          <t xml:space="preserve">
Team Lead:</t>
        </r>
        <r>
          <rPr>
            <sz val="9"/>
            <color indexed="81"/>
            <rFont val="Tahoma"/>
            <family val="2"/>
          </rPr>
          <t xml:space="preserve">
occurs during the capstone field internship experience in which students apply the concepts acquired and demonstrate that they have achieved the terminal goals for learning established by their educational program, and are able to demonstrate entry-level competency in the profession including the cognitive, psychomotor, and affective learning domains.  The capstone experience occurs after the didactic, lab and clinical, and optional field experience components have been completed and of sufficient volume to show competence in a wide range of clinical situations.  A successful team lead should be clearly defined for preceptors and students to assist in inter-rater reliability.</t>
        </r>
      </text>
    </comment>
    <comment ref="K80" authorId="1" shapeId="0" xr:uid="{00000000-0006-0000-0500-000006000000}">
      <text>
        <r>
          <rPr>
            <b/>
            <sz val="9"/>
            <color indexed="81"/>
            <rFont val="Tahoma"/>
            <family val="2"/>
          </rPr>
          <t xml:space="preserve">
Clinical experience</t>
        </r>
        <r>
          <rPr>
            <sz val="9"/>
            <color indexed="81"/>
            <rFont val="Tahoma"/>
            <family val="2"/>
          </rPr>
          <t>: planned, scheduled, educational student experience with patient contact activities in settings, such as hospitals, clinics, free-standing emergency centers, and may include field experience.</t>
        </r>
      </text>
    </comment>
    <comment ref="L80" authorId="1" shapeId="0" xr:uid="{00000000-0006-0000-0500-000007000000}">
      <text>
        <r>
          <rPr>
            <b/>
            <sz val="9"/>
            <color indexed="81"/>
            <rFont val="Tahoma"/>
            <family val="2"/>
          </rPr>
          <t xml:space="preserve">
Field Experience</t>
        </r>
        <r>
          <rPr>
            <sz val="9"/>
            <color indexed="81"/>
            <rFont val="Tahoma"/>
            <family val="2"/>
          </rPr>
          <t>: planned, scheduled, educational student time spent on an EMS unit, which may include observation and skill development, but which does not include capstone field internship team leading and does not contribute to the CoAEMSP definition of field internship.</t>
        </r>
      </text>
    </comment>
    <comment ref="M80" authorId="1" shapeId="0" xr:uid="{00000000-0006-0000-0500-000008000000}">
      <text>
        <r>
          <rPr>
            <b/>
            <sz val="9"/>
            <color indexed="81"/>
            <rFont val="Tahoma"/>
            <family val="2"/>
          </rPr>
          <t xml:space="preserve">
Capstone Experience:  </t>
        </r>
        <r>
          <rPr>
            <sz val="9"/>
            <color indexed="81"/>
            <rFont val="Tahoma"/>
            <family val="2"/>
          </rPr>
          <t>a set of activities occurring toward the end of the educational process to allow students to develop and practice high-level decision making by intergrating and applying their learning in all educational domains.</t>
        </r>
        <r>
          <rPr>
            <b/>
            <sz val="9"/>
            <color indexed="81"/>
            <rFont val="Tahoma"/>
            <family val="2"/>
          </rPr>
          <t xml:space="preserve">
Field Internship</t>
        </r>
        <r>
          <rPr>
            <sz val="9"/>
            <color indexed="81"/>
            <rFont val="Tahoma"/>
            <family val="2"/>
          </rPr>
          <t>: planned, scheduled, educational student time on an advanced life support (ALS) unit responsible for responding to critical and emergent patients who access the emergency medical system to develop and evaluate team leading skills. The primary purpose of field internship is a capstone experience managing the AEMT/Paramedic level decision-making associated with pre-hospital patients.</t>
        </r>
      </text>
    </comment>
    <comment ref="B83" authorId="1" shapeId="0" xr:uid="{00000000-0006-0000-0500-000009000000}">
      <text>
        <r>
          <rPr>
            <sz val="9"/>
            <color indexed="81"/>
            <rFont val="Tahoma"/>
            <family val="2"/>
          </rPr>
          <t xml:space="preserve">
List all the courses that are required for completion of the AEMT/Paramedic educational program only in the sequence in which the students would typically enroll in them.</t>
        </r>
      </text>
    </comment>
    <comment ref="D83" authorId="0" shapeId="0" xr:uid="{00000000-0006-0000-0500-00000A000000}">
      <text>
        <r>
          <rPr>
            <sz val="9"/>
            <color indexed="81"/>
            <rFont val="Tahoma"/>
            <family val="2"/>
          </rPr>
          <t xml:space="preserve">
The list of courses presented here constitutes the official CoAEMSP Letter of Review/accredited educational program. 
All courses listed must be successfully completed in order for the student to graduate and receive the award (e.g., certificate, degree)
</t>
        </r>
      </text>
    </comment>
    <comment ref="E83" authorId="0" shapeId="0" xr:uid="{00000000-0006-0000-0500-00000B000000}">
      <text>
        <r>
          <rPr>
            <b/>
            <sz val="9"/>
            <color indexed="81"/>
            <rFont val="Tahoma"/>
            <family val="2"/>
          </rPr>
          <t xml:space="preserve">
Core Courses:
</t>
        </r>
        <r>
          <rPr>
            <sz val="9"/>
            <color indexed="81"/>
            <rFont val="Tahoma"/>
            <family val="2"/>
          </rPr>
          <t xml:space="preserve">are the primary didactic, laboratory, clinical, and field experience courses that impart the competencies.
Core courses do not need to include the "card" courses (e.g., ACLS, PALS, ITLS)
ALL core courses MUST be completed prior to the capstone field internship courses, where the student functions as team leader.
</t>
        </r>
      </text>
    </comment>
    <comment ref="B118" authorId="1" shapeId="0" xr:uid="{00000000-0006-0000-0500-00000C000000}">
      <text>
        <r>
          <rPr>
            <b/>
            <sz val="9"/>
            <color indexed="81"/>
            <rFont val="Tahoma"/>
            <family val="2"/>
          </rPr>
          <t xml:space="preserve">
Sequence:</t>
        </r>
        <r>
          <rPr>
            <sz val="9"/>
            <color indexed="81"/>
            <rFont val="Tahoma"/>
            <family val="2"/>
          </rPr>
          <t xml:space="preserve">
For example: may be Fall, Spring, Summer
May be 1, 2, 3, 4...</t>
        </r>
      </text>
    </comment>
    <comment ref="C135" authorId="0" shapeId="0" xr:uid="{00000000-0006-0000-0500-00000D000000}">
      <text>
        <r>
          <rPr>
            <b/>
            <sz val="9"/>
            <color indexed="81"/>
            <rFont val="Tahoma"/>
            <family val="2"/>
          </rPr>
          <t xml:space="preserve">
Course Syllabus:
</t>
        </r>
        <r>
          <rPr>
            <sz val="9"/>
            <color indexed="81"/>
            <rFont val="Tahoma"/>
            <family val="2"/>
          </rPr>
          <t xml:space="preserve">a document that describes a body of instruction (e.g., course). It must include learning goals, course objectives, and competencies required for graduation (Standard III.C), but often includes the course description, days/times of class meetings, required textbooks and other reference materials, attendance policy, evaluations (e.g., test, quizzes, projects, research papers), grading policy, ADA statement, content outline, and weekly topic outline.
</t>
        </r>
      </text>
    </comment>
    <comment ref="M136" authorId="0" shapeId="0" xr:uid="{00000000-0006-0000-0500-00000E000000}">
      <text>
        <r>
          <rPr>
            <sz val="9"/>
            <color indexed="81"/>
            <rFont val="Tahoma"/>
            <family val="2"/>
          </rPr>
          <t xml:space="preserve">
</t>
        </r>
        <r>
          <rPr>
            <b/>
            <sz val="9"/>
            <color indexed="81"/>
            <rFont val="Tahoma"/>
            <family val="2"/>
          </rPr>
          <t>Course Syllabus:</t>
        </r>
        <r>
          <rPr>
            <sz val="9"/>
            <color indexed="81"/>
            <rFont val="Tahoma"/>
            <family val="2"/>
          </rPr>
          <t xml:space="preserve">
</t>
        </r>
        <r>
          <rPr>
            <b/>
            <sz val="9"/>
            <color indexed="81"/>
            <rFont val="Tahoma"/>
            <family val="2"/>
          </rPr>
          <t>a document that describes a body of instruction (e.g., course). It must include learning goals, course objectives, and competencies required for graduation (Standard III.C), but often includes the course description, days/times of class meetings, required textbooks and other reference materials, attendance policy, evaluations (e.g., test, quizzes, projects, research papers), grading policy, ADA statement, content outline, and weekly topic outline.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B7" authorId="0" shapeId="0" xr:uid="{00000000-0006-0000-0600-000001000000}">
      <text>
        <r>
          <rPr>
            <b/>
            <sz val="9"/>
            <color indexed="81"/>
            <rFont val="Tahoma"/>
            <family val="2"/>
          </rPr>
          <t xml:space="preserve">
Standard III.B. Personnel
The sponsor must appoint sufficient faculty and staff with the necessary qualifications to perform the functions identified in documented job descriptions and to achieve the program’s stated goals and outcomes.
At minimum, the following positions are required: Program Director, Medical Director, Faculty/Instructional Staff.
</t>
        </r>
      </text>
    </comment>
    <comment ref="B17" authorId="0" shapeId="0" xr:uid="{00000000-0006-0000-0600-000002000000}">
      <text>
        <r>
          <rPr>
            <sz val="9"/>
            <color indexed="81"/>
            <rFont val="Tahoma"/>
            <family val="2"/>
          </rPr>
          <t xml:space="preserve">
</t>
        </r>
        <r>
          <rPr>
            <b/>
            <sz val="9"/>
            <color indexed="81"/>
            <rFont val="Tahoma"/>
            <family val="2"/>
          </rPr>
          <t xml:space="preserve">
Standard III.B.3.a Personnel - Associate Medical Director Responsibilities </t>
        </r>
        <r>
          <rPr>
            <sz val="9"/>
            <color indexed="81"/>
            <rFont val="Tahoma"/>
            <family val="2"/>
          </rPr>
          <t xml:space="preserve">
</t>
        </r>
        <r>
          <rPr>
            <b/>
            <sz val="9"/>
            <color indexed="81"/>
            <rFont val="Tahoma"/>
            <family val="2"/>
          </rPr>
          <t xml:space="preserve">When the program designates an associate medical director, the MD must specify the delegated responsibilities.  The Associate Medical Director must
1) Fulfill responsibilities as delegated by the program Medical Director.
</t>
        </r>
        <r>
          <rPr>
            <sz val="9"/>
            <color indexed="81"/>
            <rFont val="Tahoma"/>
            <family val="2"/>
          </rPr>
          <t>In certain circumstances, such as an out of state satellite location, the program Medical Director may delegate designated program responsibilities to the Associate or Assistant Medical Director under the supervision of the program Medical Director.</t>
        </r>
      </text>
    </comment>
    <comment ref="B21" authorId="0" shapeId="0" xr:uid="{00000000-0006-0000-0600-000003000000}">
      <text>
        <r>
          <rPr>
            <b/>
            <sz val="9"/>
            <color indexed="81"/>
            <rFont val="Tahoma"/>
            <family val="2"/>
          </rPr>
          <t xml:space="preserve">
Standard III.B.4.a Personnel - Assistant Medical Director Responsibilities 
When the program Medical Director or Associate Medical Director cannot legally provide supervision for out-of-state location(s) of the educational activities of the program, the sponsor must appoint an Assistant Medical Director.  The Assistant Medical Director must
1) Provide medical supervision and oversight of students participating in clinical rotations, field experience and capstone field internship.
</t>
        </r>
        <r>
          <rPr>
            <i/>
            <sz val="9"/>
            <color indexed="81"/>
            <rFont val="Tahoma"/>
            <family val="2"/>
          </rPr>
          <t>In certain circumstances, such as an out of state satellite location, the program Medical Director may delegate designated program responsibilities to the Associate or Assistant Medical Director under the supervision of the program Medical Director.</t>
        </r>
      </text>
    </comment>
    <comment ref="B24" authorId="0" shapeId="0" xr:uid="{00000000-0006-0000-0600-000004000000}">
      <text>
        <r>
          <rPr>
            <b/>
            <sz val="9"/>
            <color indexed="81"/>
            <rFont val="Tahoma"/>
            <family val="2"/>
          </rPr>
          <t xml:space="preserve">
Standard III.B.6.a Personnel - Lead Instructor Responsibilities 
When the Program Director delegates specified responsibilities to a lead instructor, the Lead Instructor must:
1) Perform duties assigned under the direction and delegation of the Program Director.
</t>
        </r>
        <r>
          <rPr>
            <i/>
            <sz val="9"/>
            <color indexed="81"/>
            <rFont val="Tahoma"/>
            <family val="2"/>
          </rPr>
          <t xml:space="preserve">
The Lead Instructor duties may include teaching paramedic or AEMT course(s) and/or assisting in coordination of the didactic, lab, clinical and/or field internship instruction. </t>
        </r>
        <r>
          <rPr>
            <b/>
            <sz val="9"/>
            <color indexed="81"/>
            <rFont val="Tahoma"/>
            <family val="2"/>
          </rPr>
          <t xml:space="preserve">
</t>
        </r>
      </text>
    </comment>
    <comment ref="B47" authorId="0" shapeId="0" xr:uid="{00000000-0006-0000-0600-000005000000}">
      <text>
        <r>
          <rPr>
            <b/>
            <sz val="9"/>
            <color indexed="81"/>
            <rFont val="Tahoma"/>
            <family val="2"/>
          </rPr>
          <t xml:space="preserve">
Standard III.B.1.a Personnel - Program Director Responsibilities 
The program director must be responsible for all aspects of the program, including, but not limited to
1) Administration, organization, and supervision of the program,
2) Continuous quality review and improvement of the educational program;
3) Academic oversight, including curriculum planning and development; and
4) Orientation/training and supervision of clinical and capstone field internship preceptors.</t>
        </r>
        <r>
          <rPr>
            <sz val="9"/>
            <color indexed="81"/>
            <rFont val="Tahoma"/>
            <family val="2"/>
          </rPr>
          <t xml:space="preserve">
</t>
        </r>
        <r>
          <rPr>
            <i/>
            <sz val="9"/>
            <color indexed="81"/>
            <rFont val="Tahoma"/>
            <family val="2"/>
          </rPr>
          <t xml:space="preserve">
It is recommended that the program director have a minimum of a Master’s degree.
It is recommended that the program director’s degree be in a health-related profession, EMS, or education.
It is recommended that the program director is a full-time position.</t>
        </r>
        <r>
          <rPr>
            <sz val="9"/>
            <color indexed="81"/>
            <rFont val="Tahoma"/>
            <family val="2"/>
          </rPr>
          <t xml:space="preserve">
</t>
        </r>
      </text>
    </comment>
    <comment ref="B85" authorId="0" shapeId="0" xr:uid="{00000000-0006-0000-0600-000006000000}">
      <text>
        <r>
          <rPr>
            <b/>
            <sz val="9"/>
            <color indexed="81"/>
            <rFont val="Tahoma"/>
            <family val="2"/>
          </rPr>
          <t xml:space="preserve">
Standard III.B.2.a Personnel - Medical Director Responsibilities 
The medical director must be responsible for medical oversight of the program, including but not limited to 
1) Review and approve the educational content of the program to include didactic, laboratory, clinical experience, field experience, and capstone field to ensure it meets current standards of medical practice; 
2) Review and approve the required minimum numbers for each of the required patient contacts and procedures listed in these Standards;
3) Review and approve the instruments and processes used to evaluate students in didactic, laboratory, clinical, field experience, and capstone field internship;
4) Review the progress of each student throughout the program, and assist in the determination of appropriate corrective measures;
It is recommended that corrective measures occur in the cases of failing academic or clinical or field internship performance.
5) Ensure the competence of each graduate of the program in the cognitive, psychomotor, and affective domains;
6) Engage in cooperative involvement with the program director; and
7) Ensure the effectiveness and quality of any Medical Director responsibilities delegated to an Associate or Assistant Medical Director.
</t>
        </r>
        <r>
          <rPr>
            <i/>
            <sz val="9"/>
            <color indexed="81"/>
            <rFont val="Tahoma"/>
            <family val="2"/>
          </rPr>
          <t xml:space="preserve">
It is recommended that the Medical Director interaction be in a variety of settings, such as lecture, laboratory, clinical, capstone field internship. Interaction may be by synchronous electronic methods.</t>
        </r>
      </text>
    </comment>
    <comment ref="B109" authorId="0" shapeId="0" xr:uid="{00000000-0006-0000-0600-000007000000}">
      <text>
        <r>
          <rPr>
            <sz val="9"/>
            <color indexed="81"/>
            <rFont val="Tahoma"/>
            <family val="2"/>
          </rPr>
          <t xml:space="preserve">
</t>
        </r>
        <r>
          <rPr>
            <b/>
            <sz val="9"/>
            <color indexed="81"/>
            <rFont val="Tahoma"/>
            <family val="2"/>
          </rPr>
          <t xml:space="preserve">Standard III.B.5.a Personnel - Faculty/Instructional Staff Responsibilities 
For all didactic, laboratory, and clinical instruction to which a student is assigned, there must be qualified individual(s) clearly designated by the program to provide instruction, supervision, and timely assessments of the student’s progress in meeting program requirements.
</t>
        </r>
        <r>
          <rPr>
            <i/>
            <sz val="9"/>
            <color indexed="81"/>
            <rFont val="Tahoma"/>
            <family val="2"/>
          </rPr>
          <t xml:space="preserve">
 It is recommended a faculty member assists in teaching and/or clinical coordination in addition to the program director. </t>
        </r>
        <r>
          <rPr>
            <b/>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Lisa Collard</author>
    <author>wwg</author>
  </authors>
  <commentList>
    <comment ref="B6" authorId="0" shapeId="0" xr:uid="{00000000-0006-0000-0700-000001000000}">
      <text>
        <r>
          <rPr>
            <b/>
            <sz val="9"/>
            <color indexed="81"/>
            <rFont val="Tahoma"/>
            <family val="2"/>
          </rPr>
          <t xml:space="preserve">
III.A.1. Resources – Type and Amount 
Program resources must be sufficient to ensure the achievement of the program’s goals and outcomes.  Resources must include, but are not limited to: 
a. Faculty;
b. Administrative and support staff;
c. Curriculum;
d. Finances;
e. Faculty and staff workspace;
f. Space for confidential interactions;
g. Classroom and laboratory (physical or virtual);
h. Ancillary student facilities;
i. Clinical affiliates;
j. Field experience and capstone field internship affiliates;
k. Equipment;
l. Supplies;
m. Information technology;
n. Instructional materials; and
o. Support for faculty professional development.
</t>
        </r>
      </text>
    </comment>
    <comment ref="B8" authorId="0" shapeId="0" xr:uid="{00000000-0006-0000-0700-000002000000}">
      <text>
        <r>
          <rPr>
            <b/>
            <sz val="9"/>
            <color indexed="81"/>
            <rFont val="Tahoma"/>
            <family val="2"/>
          </rPr>
          <t xml:space="preserve">
Standard V.F.  Fair Practices-Agreements
There must be a formal affiliation agreement or memorandum of understanding between the program sponsor and all other entities that participate in the education of the students describing the relationship, roles, and responsibilities of the program sponsor and that entity.
</t>
        </r>
      </text>
    </comment>
    <comment ref="B19" authorId="0" shapeId="0" xr:uid="{38242785-19C3-4D47-AC2F-A1EBAEA059B9}">
      <text>
        <r>
          <rPr>
            <sz val="9"/>
            <color indexed="81"/>
            <rFont val="Tahoma"/>
            <family val="2"/>
          </rPr>
          <t xml:space="preserve">
As part of the administration, organization, and supervision of the program, the Program Director must ensure that clinical and field experience liaison orientation and capstone field internship preceptor training is completed prior to scheduling students. Students may not provide orientation or training. 
Clinical rotations may include hospital departments, clinic or outpatient locations, physician offices, or other sites of patient contact. A liaison must be identified at each facility or site and the program provides that individual with an orientation to the purpose, the processes involved, and evaluation of the student. The liaison is responsible for orienting other personnel that interact with students.</t>
        </r>
        <r>
          <rPr>
            <b/>
            <sz val="9"/>
            <color indexed="81"/>
            <rFont val="Tahoma"/>
            <family val="2"/>
          </rPr>
          <t xml:space="preserve">
</t>
        </r>
      </text>
    </comment>
    <comment ref="D34" authorId="0" shapeId="0" xr:uid="{00000000-0006-0000-0700-000003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Q34" authorId="0" shapeId="0" xr:uid="{00000000-0006-0000-0700-000004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AD34" authorId="0" shapeId="0" xr:uid="{00000000-0006-0000-0700-000005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AQ34" authorId="0" shapeId="0" xr:uid="{00000000-0006-0000-0700-000006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BD34" authorId="0" shapeId="0" xr:uid="{00000000-0006-0000-0700-000007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BQ34" authorId="0" shapeId="0" xr:uid="{00000000-0006-0000-0700-000008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CD34" authorId="0" shapeId="0" xr:uid="{00000000-0006-0000-0700-000009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CQ34" authorId="0" shapeId="0" xr:uid="{00000000-0006-0000-0700-00000A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DD34" authorId="0" shapeId="0" xr:uid="{00000000-0006-0000-0700-00000B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DQ34" authorId="0" shapeId="0" xr:uid="{00000000-0006-0000-0700-00000C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ED34" authorId="0" shapeId="0" xr:uid="{00000000-0006-0000-0700-00000D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EQ34" authorId="0" shapeId="0" xr:uid="{00000000-0006-0000-0700-00000E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FD34" authorId="0" shapeId="0" xr:uid="{00000000-0006-0000-0700-00000F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FQ34" authorId="0" shapeId="0" xr:uid="{00000000-0006-0000-0700-000010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GD34" authorId="0" shapeId="0" xr:uid="{00000000-0006-0000-0700-000011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GQ34" authorId="0" shapeId="0" xr:uid="{00000000-0006-0000-0700-000012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HD34" authorId="0" shapeId="0" xr:uid="{00000000-0006-0000-0700-000013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HQ34" authorId="0" shapeId="0" xr:uid="{00000000-0006-0000-0700-000014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ID34" authorId="0" shapeId="0" xr:uid="{00000000-0006-0000-0700-000015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IQ34" authorId="0" shapeId="0" xr:uid="{00000000-0006-0000-0700-000016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JD34" authorId="0" shapeId="0" xr:uid="{00000000-0006-0000-0700-000017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JQ34" authorId="0" shapeId="0" xr:uid="{00000000-0006-0000-0700-000018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KD34" authorId="0" shapeId="0" xr:uid="{00000000-0006-0000-0700-000019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KQ34" authorId="0" shapeId="0" xr:uid="{00000000-0006-0000-0700-00001A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LD34" authorId="0" shapeId="0" xr:uid="{00000000-0006-0000-0700-00001B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LQ34" authorId="0" shapeId="0" xr:uid="{00000000-0006-0000-0700-00001C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MD34" authorId="0" shapeId="0" xr:uid="{00000000-0006-0000-0700-00001D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MQ34" authorId="0" shapeId="0" xr:uid="{00000000-0006-0000-0700-00001E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ND34" authorId="0" shapeId="0" xr:uid="{00000000-0006-0000-0700-00001F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NQ34" authorId="0" shapeId="0" xr:uid="{00000000-0006-0000-0700-000020000000}">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D35" authorId="0" shapeId="0" xr:uid="{00000000-0006-0000-0700-000021000000}">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Q35" authorId="0" shapeId="0" xr:uid="{418062ED-6F5A-4FE0-AEAC-733981874530}">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AD35" authorId="0" shapeId="0" xr:uid="{7A10E74D-C3B2-4A44-876B-F0F009B76DC0}">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AQ35" authorId="0" shapeId="0" xr:uid="{CCAD370B-15AD-4F4E-AB26-F575B24DE4B2}">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BD35" authorId="0" shapeId="0" xr:uid="{01F45578-D7A2-4ABC-83E9-F615975C607B}">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BQ35" authorId="0" shapeId="0" xr:uid="{052900A2-1EA7-4579-BD12-D62932E258E9}">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CD35" authorId="0" shapeId="0" xr:uid="{B4E64689-B50D-43D4-AF49-1A4D3AB538B0}">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CQ35" authorId="0" shapeId="0" xr:uid="{1D58D08B-A36B-4F08-BCCF-3E19D8B0FEDC}">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DD35" authorId="0" shapeId="0" xr:uid="{C56EE97A-E249-4998-8CDD-6CB6CE201513}">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DQ35" authorId="0" shapeId="0" xr:uid="{D1432703-671E-4BB4-BD39-C7991E0B5466}">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ED35" authorId="0" shapeId="0" xr:uid="{316CBAB1-CCC7-41F2-98FC-0AC258262389}">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EQ35" authorId="0" shapeId="0" xr:uid="{787E0729-D445-4A86-AEA2-8848DAAC2E83}">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FD35" authorId="0" shapeId="0" xr:uid="{3A096184-6731-4F97-98E7-3E523D1B3A3A}">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FQ35" authorId="0" shapeId="0" xr:uid="{6F0A4226-C533-4DE2-BA80-A56F9C638CC0}">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GD35" authorId="0" shapeId="0" xr:uid="{8A4DCA0B-3A82-4A57-8756-DBA4ED2F5C17}">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GQ35" authorId="0" shapeId="0" xr:uid="{99D02148-A4AB-4138-BBA2-736984F4A86F}">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HD35" authorId="0" shapeId="0" xr:uid="{3075F4F0-5983-4AFF-9531-5A6AECE2BABE}">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HQ35" authorId="0" shapeId="0" xr:uid="{12A050B3-A5B3-4423-8D26-C86B747992AC}">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ID35" authorId="0" shapeId="0" xr:uid="{4A270435-09E7-4523-B8F1-A896636FAAE3}">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IQ35" authorId="0" shapeId="0" xr:uid="{3F320DAF-BEFE-4120-AA11-9F7B981DCAF8}">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JD35" authorId="0" shapeId="0" xr:uid="{AA65D974-711C-47ED-819D-1FFDA8395DD7}">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JQ35" authorId="0" shapeId="0" xr:uid="{F5D0224F-5016-4088-A5CD-48C05F85A4BC}">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KD35" authorId="0" shapeId="0" xr:uid="{EB31F368-A581-4323-9A06-8AA2199E9E11}">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KQ35" authorId="0" shapeId="0" xr:uid="{885D0FE9-9C26-4D10-8BBC-4559AC9BF55A}">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LD35" authorId="0" shapeId="0" xr:uid="{F11060DF-A2BC-42C4-9A90-0EBA6124E8D7}">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LQ35" authorId="0" shapeId="0" xr:uid="{E50799B1-0E25-4857-A116-47291328EB36}">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MD35" authorId="0" shapeId="0" xr:uid="{04BDF399-B203-402D-9C6A-B4067799A71F}">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MQ35" authorId="0" shapeId="0" xr:uid="{803BB8DF-442F-423A-B665-A3F9982FCAE6}">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ND35" authorId="0" shapeId="0" xr:uid="{0F2C9FEB-E255-43E1-AD3B-711A595481D8}">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NQ35" authorId="0" shapeId="0" xr:uid="{CACA8FDD-1F92-4B20-A28B-804A29497936}">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C38" authorId="1" shapeId="0" xr:uid="{00000000-0006-0000-0700-00003F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E38" authorId="1" shapeId="0" xr:uid="{00000000-0006-0000-0700-000040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F38" authorId="1" shapeId="0" xr:uid="{00000000-0006-0000-0700-000041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P38" authorId="1" shapeId="0" xr:uid="{00000000-0006-0000-0700-000042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R38" authorId="1" shapeId="0" xr:uid="{00000000-0006-0000-0700-000043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S38" authorId="1" shapeId="0" xr:uid="{00000000-0006-0000-0700-000044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AC38" authorId="1" shapeId="0" xr:uid="{00000000-0006-0000-0700-000045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AE38" authorId="1" shapeId="0" xr:uid="{00000000-0006-0000-0700-000046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AF38" authorId="1" shapeId="0" xr:uid="{00000000-0006-0000-0700-000047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AP38" authorId="1" shapeId="0" xr:uid="{00000000-0006-0000-0700-000048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AR38" authorId="1" shapeId="0" xr:uid="{00000000-0006-0000-0700-000049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AS38" authorId="1" shapeId="0" xr:uid="{00000000-0006-0000-0700-00004A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BC38" authorId="1" shapeId="0" xr:uid="{00000000-0006-0000-0700-00004B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BE38" authorId="1" shapeId="0" xr:uid="{00000000-0006-0000-0700-00004C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BF38" authorId="1" shapeId="0" xr:uid="{00000000-0006-0000-0700-00004D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BP38" authorId="1" shapeId="0" xr:uid="{00000000-0006-0000-0700-00004E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BR38" authorId="1" shapeId="0" xr:uid="{00000000-0006-0000-0700-00004F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BS38" authorId="1" shapeId="0" xr:uid="{00000000-0006-0000-0700-000050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CC38" authorId="1" shapeId="0" xr:uid="{00000000-0006-0000-0700-000051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CE38" authorId="1" shapeId="0" xr:uid="{00000000-0006-0000-0700-000052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CF38" authorId="1" shapeId="0" xr:uid="{00000000-0006-0000-0700-000053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CP38" authorId="1" shapeId="0" xr:uid="{00000000-0006-0000-0700-000054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CR38" authorId="1" shapeId="0" xr:uid="{00000000-0006-0000-0700-000055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CS38" authorId="1" shapeId="0" xr:uid="{00000000-0006-0000-0700-000056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DC38" authorId="1" shapeId="0" xr:uid="{00000000-0006-0000-0700-000057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DE38" authorId="1" shapeId="0" xr:uid="{00000000-0006-0000-0700-000058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DF38" authorId="1" shapeId="0" xr:uid="{00000000-0006-0000-0700-000059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DP38" authorId="1" shapeId="0" xr:uid="{00000000-0006-0000-0700-00005A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DR38" authorId="1" shapeId="0" xr:uid="{00000000-0006-0000-0700-00005B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DS38" authorId="1" shapeId="0" xr:uid="{00000000-0006-0000-0700-00005C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EC38" authorId="1" shapeId="0" xr:uid="{00000000-0006-0000-0700-00005D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EE38" authorId="1" shapeId="0" xr:uid="{00000000-0006-0000-0700-00005E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EF38" authorId="1" shapeId="0" xr:uid="{00000000-0006-0000-0700-00005F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EP38" authorId="1" shapeId="0" xr:uid="{00000000-0006-0000-0700-000060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ER38" authorId="1" shapeId="0" xr:uid="{00000000-0006-0000-0700-000061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ES38" authorId="1" shapeId="0" xr:uid="{00000000-0006-0000-0700-000062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FC38" authorId="1" shapeId="0" xr:uid="{00000000-0006-0000-0700-000063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FE38" authorId="1" shapeId="0" xr:uid="{00000000-0006-0000-0700-000064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FF38" authorId="1" shapeId="0" xr:uid="{00000000-0006-0000-0700-000065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FP38" authorId="1" shapeId="0" xr:uid="{00000000-0006-0000-0700-000066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FR38" authorId="1" shapeId="0" xr:uid="{00000000-0006-0000-0700-000067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FS38" authorId="1" shapeId="0" xr:uid="{00000000-0006-0000-0700-000068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GC38" authorId="1" shapeId="0" xr:uid="{00000000-0006-0000-0700-000069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GE38" authorId="1" shapeId="0" xr:uid="{00000000-0006-0000-0700-00006A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GF38" authorId="1" shapeId="0" xr:uid="{00000000-0006-0000-0700-00006B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GP38" authorId="1" shapeId="0" xr:uid="{00000000-0006-0000-0700-00006C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GR38" authorId="1" shapeId="0" xr:uid="{00000000-0006-0000-0700-00006D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GS38" authorId="1" shapeId="0" xr:uid="{00000000-0006-0000-0700-00006E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HC38" authorId="1" shapeId="0" xr:uid="{00000000-0006-0000-0700-00006F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HE38" authorId="1" shapeId="0" xr:uid="{00000000-0006-0000-0700-000070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HF38" authorId="1" shapeId="0" xr:uid="{00000000-0006-0000-0700-000071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HP38" authorId="1" shapeId="0" xr:uid="{00000000-0006-0000-0700-000072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HR38" authorId="1" shapeId="0" xr:uid="{00000000-0006-0000-0700-000073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HS38" authorId="1" shapeId="0" xr:uid="{00000000-0006-0000-0700-000074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IC38" authorId="1" shapeId="0" xr:uid="{00000000-0006-0000-0700-000075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IE38" authorId="1" shapeId="0" xr:uid="{00000000-0006-0000-0700-000076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IF38" authorId="1" shapeId="0" xr:uid="{00000000-0006-0000-0700-000077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IP38" authorId="1" shapeId="0" xr:uid="{00000000-0006-0000-0700-000078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IR38" authorId="1" shapeId="0" xr:uid="{00000000-0006-0000-0700-000079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IS38" authorId="1" shapeId="0" xr:uid="{00000000-0006-0000-0700-00007A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JC38" authorId="1" shapeId="0" xr:uid="{00000000-0006-0000-0700-00007B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JE38" authorId="1" shapeId="0" xr:uid="{00000000-0006-0000-0700-00007C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JF38" authorId="1" shapeId="0" xr:uid="{00000000-0006-0000-0700-00007D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JP38" authorId="1" shapeId="0" xr:uid="{00000000-0006-0000-0700-00007E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JR38" authorId="1" shapeId="0" xr:uid="{00000000-0006-0000-0700-00007F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JS38" authorId="1" shapeId="0" xr:uid="{00000000-0006-0000-0700-000080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KC38" authorId="1" shapeId="0" xr:uid="{00000000-0006-0000-0700-000081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KE38" authorId="1" shapeId="0" xr:uid="{00000000-0006-0000-0700-000082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KF38" authorId="1" shapeId="0" xr:uid="{00000000-0006-0000-0700-000083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KP38" authorId="1" shapeId="0" xr:uid="{00000000-0006-0000-0700-000084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KR38" authorId="1" shapeId="0" xr:uid="{00000000-0006-0000-0700-000085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KS38" authorId="1" shapeId="0" xr:uid="{00000000-0006-0000-0700-000086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LC38" authorId="1" shapeId="0" xr:uid="{00000000-0006-0000-0700-000087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LE38" authorId="1" shapeId="0" xr:uid="{00000000-0006-0000-0700-000088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LF38" authorId="1" shapeId="0" xr:uid="{00000000-0006-0000-0700-000089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LP38" authorId="1" shapeId="0" xr:uid="{00000000-0006-0000-0700-00008A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LR38" authorId="1" shapeId="0" xr:uid="{00000000-0006-0000-0700-00008B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LS38" authorId="1" shapeId="0" xr:uid="{00000000-0006-0000-0700-00008C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MC38" authorId="1" shapeId="0" xr:uid="{00000000-0006-0000-0700-00008D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ME38" authorId="1" shapeId="0" xr:uid="{00000000-0006-0000-0700-00008E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MF38" authorId="1" shapeId="0" xr:uid="{00000000-0006-0000-0700-00008F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MP38" authorId="1" shapeId="0" xr:uid="{00000000-0006-0000-0700-000090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MR38" authorId="1" shapeId="0" xr:uid="{00000000-0006-0000-0700-000091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MS38" authorId="1" shapeId="0" xr:uid="{00000000-0006-0000-0700-000092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NC38" authorId="1" shapeId="0" xr:uid="{00000000-0006-0000-0700-000093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NE38" authorId="1" shapeId="0" xr:uid="{00000000-0006-0000-0700-000094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NF38" authorId="1" shapeId="0" xr:uid="{00000000-0006-0000-0700-000095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NP38" authorId="1" shapeId="0" xr:uid="{00000000-0006-0000-0700-000096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NR38" authorId="1" shapeId="0" xr:uid="{00000000-0006-0000-0700-000097000000}">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NS38" authorId="1" shapeId="0" xr:uid="{00000000-0006-0000-0700-000098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B75" authorId="0" shapeId="0" xr:uid="{BC364CD1-8B14-4CEF-9C69-D4E50985B719}">
      <text>
        <r>
          <rPr>
            <sz val="9"/>
            <color indexed="81"/>
            <rFont val="Tahoma"/>
            <charset val="1"/>
          </rPr>
          <t xml:space="preserve">
As part of the administration, organization, and supervision of the program, the Program Director
must ensure that clinical and field experience liaison orientation and capstone field internship preceptor training is completed prior to scheduling students. Students may not provide orientation or training. 
The capstone field internship provides the student the opportunity to complete team leads and allows the preceptor to evaluate student competency. The capstone field internship occurs after all clinical content of the Paramedic curriculum has been completed and the individual is prepared to assess and manage all patient ages, types, and conditions. All capstone field internship preceptors complete training.</t>
        </r>
      </text>
    </comment>
    <comment ref="F95" authorId="0" shapeId="0" xr:uid="{00000000-0006-0000-0700-000099000000}">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S95" authorId="0" shapeId="0" xr:uid="{80908C42-B2AE-49D3-B594-1F8F1236BD35}">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AF95" authorId="0" shapeId="0" xr:uid="{B5B14E1A-D7A1-4B3C-A160-78FD18D68D96}">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AS95" authorId="0" shapeId="0" xr:uid="{C1EE1068-0997-46AC-888F-C93EAC38781E}">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BF95" authorId="0" shapeId="0" xr:uid="{64A07072-DE45-4F6A-80EA-B3CC7350E03B}">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BS95" authorId="0" shapeId="0" xr:uid="{59C1142B-BAE4-40B0-BEC6-F6FF25C43E76}">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CF95" authorId="0" shapeId="0" xr:uid="{CCBD729B-151E-46F3-88D0-0F7232066908}">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CS95" authorId="0" shapeId="0" xr:uid="{F963AA77-228B-4C8D-A94A-41473FB6DC45}">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DF95" authorId="0" shapeId="0" xr:uid="{EFB0D5D8-EA37-4D43-B9DC-19F012600EAD}">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DS95" authorId="0" shapeId="0" xr:uid="{4F1E107D-A736-4340-8053-F9E171E89FF0}">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EF95" authorId="0" shapeId="0" xr:uid="{20063A84-E9A8-484A-A93E-F861FA287BFE}">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ES95" authorId="0" shapeId="0" xr:uid="{3ED4A699-5DB1-4F19-8A68-3400964B3E88}">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FF95" authorId="0" shapeId="0" xr:uid="{76F65FA3-ECFF-46A4-B808-EBAD54994560}">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FS95" authorId="0" shapeId="0" xr:uid="{FB42C6B1-21F1-43DF-A236-F6F6BF1E5DCE}">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GF95" authorId="0" shapeId="0" xr:uid="{00000000-0006-0000-0700-0000A7000000}">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GS95" authorId="0" shapeId="0" xr:uid="{A10F385B-3369-4600-AA5C-B1C56591BBC5}">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HF95" authorId="0" shapeId="0" xr:uid="{BAEFC8B8-18C5-4603-8FCB-95207D2A614A}">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HS95" authorId="0" shapeId="0" xr:uid="{A0CAC2E2-0ABA-48D4-91FF-92C09FFC344B}">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IF95" authorId="0" shapeId="0" xr:uid="{00000000-0006-0000-0700-0000AB000000}">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IS95" authorId="0" shapeId="0" xr:uid="{00000000-0006-0000-0700-0000AC000000}">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JF95" authorId="0" shapeId="0" xr:uid="{8D339316-48ED-4D7D-8C29-B0FDAD6B4FBA}">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JS95" authorId="0" shapeId="0" xr:uid="{E8D7A5A9-8530-4B41-B235-38E57084FC43}">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KF95" authorId="0" shapeId="0" xr:uid="{B1854464-46EE-4B83-B777-8CE6C012C885}">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KS95" authorId="0" shapeId="0" xr:uid="{7AC9B212-D5B7-4070-AD6C-600D1E6F565F}">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LF95" authorId="0" shapeId="0" xr:uid="{00000000-0006-0000-0700-0000B1000000}">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LS95" authorId="0" shapeId="0" xr:uid="{00000000-0006-0000-0700-0000B2000000}">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MF95" authorId="0" shapeId="0" xr:uid="{00000000-0006-0000-0700-0000B3000000}">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MS95" authorId="0" shapeId="0" xr:uid="{E2EA83B4-D56F-42AC-AA11-5691E4CE855D}">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NF95" authorId="0" shapeId="0" xr:uid="{EBE7338F-6C9B-4A8B-BF16-4F9D73369599}">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NS95" authorId="0" shapeId="0" xr:uid="{FE731AC8-C3AA-4822-B945-1C38D4C32715}">
      <text>
        <r>
          <rPr>
            <sz val="9"/>
            <color indexed="81"/>
            <rFont val="Tahoma"/>
            <family val="2"/>
          </rPr>
          <t xml:space="preserve">
Programs demonstrate each capstone field internship preceptor has completed training
• dated rosters
• on-line logs (optional)
• signed acknowledgement of training
• capstone field internship preceptors must be evaluated by the student(s)</t>
        </r>
      </text>
    </comment>
    <comment ref="B143" authorId="0" shapeId="0" xr:uid="{C25C5D21-C6AF-4220-918A-414713E01006}">
      <text>
        <r>
          <rPr>
            <sz val="9"/>
            <color indexed="81"/>
            <rFont val="Tahoma"/>
            <family val="2"/>
          </rPr>
          <t xml:space="preserve">
As part of the administration, organization, and supervision of the program, the Program Director must ensure that clinical and field experience liaison orientation and capstone field internship preceptor training is completed prior to scheduling students. Students may not provide orientation or training. 
Field experience refers to assigned rotations on an advanced life support (ALS) vehicle that provides the student initial exposure to the roles and responsibilities of the Paramedic and a period of familiarization with the ALS equipment, protocols, and approach to patient care. A liaison is identified at each EMS agency and the program provides that individual with an orientation to the purpose, the process involved, and the
evaluation of the student. That liaison is responsible for orienting other personnel that interact with students</t>
        </r>
      </text>
    </comment>
    <comment ref="D155" authorId="0" shapeId="0" xr:uid="{36E05698-F7F6-4053-B469-79228193DA23}">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Q155" authorId="0" shapeId="0" xr:uid="{D1D39855-064A-49FD-AF46-C1782E8624A2}">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AD155" authorId="0" shapeId="0" xr:uid="{C15769F1-2A7B-454E-8ED1-D3E67B8C66A9}">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AQ155" authorId="0" shapeId="0" xr:uid="{5EE18979-39F9-4715-9EA6-16D098C53497}">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BD155" authorId="0" shapeId="0" xr:uid="{00000000-0006-0000-0700-0000BB000000}">
      <text>
        <r>
          <rPr>
            <sz val="9"/>
            <color indexed="81"/>
            <rFont val="Tahoma"/>
            <family val="2"/>
          </rPr>
          <t xml:space="preserve">
Clinical and capstone field internship resources must be adequate for the number of students enrolled.  The on-site liaison must be trained prior to submission of the self-study to ensure adequate resources for students in those experiences. </t>
        </r>
      </text>
    </comment>
    <comment ref="BQ155" authorId="0" shapeId="0" xr:uid="{00000000-0006-0000-0700-0000BC000000}">
      <text>
        <r>
          <rPr>
            <sz val="9"/>
            <color indexed="81"/>
            <rFont val="Tahoma"/>
            <family val="2"/>
          </rPr>
          <t xml:space="preserve">
Clinical and capstone field internship resources must be adequate for the number of students enrolled.  The on-site liaison must be trained prior to submission of the self-study to ensure adequate resources for students in those experiences. </t>
        </r>
      </text>
    </comment>
    <comment ref="CD155" authorId="0" shapeId="0" xr:uid="{00000000-0006-0000-0700-0000BD000000}">
      <text>
        <r>
          <rPr>
            <sz val="9"/>
            <color indexed="81"/>
            <rFont val="Tahoma"/>
            <family val="2"/>
          </rPr>
          <t xml:space="preserve">
Clinical and capstone field internship resources must be adequate for the number of students enrolled.  The on-site liaison must be trained prior to submission of the self-study to ensure adequate resources for students in those experiences. </t>
        </r>
      </text>
    </comment>
    <comment ref="CQ155" authorId="0" shapeId="0" xr:uid="{EC012197-C4D0-4266-B789-BE55BF379358}">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DD155" authorId="0" shapeId="0" xr:uid="{5CADE65F-6ADA-4013-8F62-AF9D2102E2B7}">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 ref="DQ155" authorId="0" shapeId="0" xr:uid="{823E0E36-6F8E-486B-A90A-A2A445028DEF}">
      <text>
        <r>
          <rPr>
            <sz val="9"/>
            <color indexed="81"/>
            <rFont val="Tahoma"/>
            <family val="2"/>
          </rPr>
          <t xml:space="preserve">
Clinical and capstone field internship resources must be adequate for the number of students enrolled.  The clinical on-site liaison must be oriented prior to submission of the self-study to ensure adequate resources for students in those experiences.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B12" authorId="0" shapeId="0" xr:uid="{00000000-0006-0000-0800-000001000000}">
      <text>
        <r>
          <rPr>
            <b/>
            <sz val="9"/>
            <color indexed="81"/>
            <rFont val="Tahoma"/>
            <family val="2"/>
          </rPr>
          <t xml:space="preserve">
Standard III.B.1.a Personnel - Program Director Responsibilities 
The program director must be responsible for all aspects of the program, including, but not limited to
1) Administration, organization, and supervision of the program,
2) Continuous quality review and improvement of the educational program;
3) Academic oversight, including curriculum planning and development; and
4) Orientation/training and supervision of clinical and capstone field internship preceptors.
</t>
        </r>
        <r>
          <rPr>
            <i/>
            <sz val="9"/>
            <color indexed="81"/>
            <rFont val="Tahoma"/>
            <family val="2"/>
          </rPr>
          <t>It is recommended that the program director have a minimum of a Master’s degree.
It is recommended that the program director’s degree be in a health-related profession, EMS, or education.
It is recommended that the program director is a full-time position.</t>
        </r>
        <r>
          <rPr>
            <b/>
            <sz val="9"/>
            <color indexed="81"/>
            <rFont val="Tahoma"/>
            <family val="2"/>
          </rPr>
          <t xml:space="preserve">
</t>
        </r>
        <r>
          <rPr>
            <sz val="9"/>
            <color indexed="81"/>
            <rFont val="Tahoma"/>
            <family val="2"/>
          </rPr>
          <t xml:space="preserve">
</t>
        </r>
      </text>
    </comment>
    <comment ref="D12" authorId="0" shapeId="0" xr:uid="{CF2FD37F-0390-4749-ACBE-C27B387A087B}">
      <text>
        <r>
          <rPr>
            <sz val="9"/>
            <color indexed="81"/>
            <rFont val="Tahoma"/>
            <charset val="1"/>
          </rPr>
          <t xml:space="preserve">
As part of the administration, organization, and supervision of the program, the Program Director must ensure that clinical and field experience liaison orientation and capstone field internship preceptor training is completed prior to scheduling students. Students may not provide orientation or training.
Clinical rotations may include hospital departments, clinic or outpatient locations, physician offices, or other sites of patient contact. A liaison must be identified at each facility or site and the program provides that individual with an orientation to the purpose, the processes involved, and evaluation of the student. The liaison is responsible for orienting other personnel that interact with students.
Field experience refers to assigned rotations on an advanced life support (ALS) vehicle that provides the student initial exposure to the roles and responsibilities of the Paramedic and a period of familiarization with the ALS equipment, protocols, and approach to patient care. A liaison is identified at each EMS agency and the program provides that individual with an orientation to the purpose, the process involved, and the evaluation of the student. That liaison is responsible for orienting other personnel that interact with students.</t>
        </r>
      </text>
    </comment>
    <comment ref="D23" authorId="0" shapeId="0" xr:uid="{09D67273-1AEE-4AED-961A-5DA0A40A3AFA}">
      <text>
        <r>
          <rPr>
            <sz val="9"/>
            <color indexed="81"/>
            <rFont val="Tahoma"/>
            <charset val="1"/>
          </rPr>
          <t xml:space="preserve">
As part of the administration, organization, and supervision of the program, the Program Director must ensure that clinical and field experience liaison orientation and capstone field internship preceptor training is completed prior to scheduling students. Students may not provide orientation or training.
The capstone field internship provides the student the opportunity to complete team leads and allows the preceptor to evaluate student competency. The capstone field internship occurs after all clinical content of the Paramedic curriculum has been completed and the individual is prepared to assess and manage all patient ages, types, and conditions. All capstone field internship preceptors complete training.</t>
        </r>
      </text>
    </comment>
  </commentList>
</comments>
</file>

<file path=xl/sharedStrings.xml><?xml version="1.0" encoding="utf-8"?>
<sst xmlns="http://schemas.openxmlformats.org/spreadsheetml/2006/main" count="845" uniqueCount="560">
  <si>
    <t>Committee on Accreditation of Educational Programs</t>
  </si>
  <si>
    <t>8301 Lakeview Pkwy, Suite 111-312</t>
  </si>
  <si>
    <t>Rowlett, TX  75088</t>
  </si>
  <si>
    <t>INSTRUCTIONS</t>
  </si>
  <si>
    <t>See:</t>
  </si>
  <si>
    <t>Staff:</t>
  </si>
  <si>
    <t>Fee Chart</t>
  </si>
  <si>
    <t>TITLE PAGE</t>
  </si>
  <si>
    <t>1.</t>
  </si>
  <si>
    <t>2.</t>
  </si>
  <si>
    <t>3.</t>
  </si>
  <si>
    <t>4.</t>
  </si>
  <si>
    <t>5.</t>
  </si>
  <si>
    <t>6.</t>
  </si>
  <si>
    <t>7.</t>
  </si>
  <si>
    <t>8.</t>
  </si>
  <si>
    <t>Program Level:</t>
  </si>
  <si>
    <t>Name:</t>
  </si>
  <si>
    <t>Address:</t>
  </si>
  <si>
    <t>Title:</t>
  </si>
  <si>
    <t>Name and contact information for person(s) responsible for the preparation of the report:</t>
  </si>
  <si>
    <t>Program Director</t>
  </si>
  <si>
    <t>Medical Director</t>
  </si>
  <si>
    <t>&lt;=== Hover cursor here to see definition</t>
  </si>
  <si>
    <t>9.</t>
  </si>
  <si>
    <t>BRIEF HISTORY</t>
  </si>
  <si>
    <t>STANDARD I: Sponsorship</t>
  </si>
  <si>
    <t>Is the sponsor a consortium?</t>
  </si>
  <si>
    <t>U.S. Post-secondary institution (Standard I.A.1)</t>
  </si>
  <si>
    <t>Foreign Post-Secondary Institution (Standard I.A.2)</t>
  </si>
  <si>
    <t>Hospital, clinic, or medical center (Standard I.A.3)</t>
  </si>
  <si>
    <t>Governmental education or medical service (Standard I.A.4)</t>
  </si>
  <si>
    <t>PROGRAM INFORMATION</t>
  </si>
  <si>
    <t>10.</t>
  </si>
  <si>
    <t>11.</t>
  </si>
  <si>
    <t>12.</t>
  </si>
  <si>
    <t>13.</t>
  </si>
  <si>
    <t>14.</t>
  </si>
  <si>
    <t>16.</t>
  </si>
  <si>
    <t>17.</t>
  </si>
  <si>
    <t>18.</t>
  </si>
  <si>
    <t>19.</t>
  </si>
  <si>
    <t>20.</t>
  </si>
  <si>
    <t>21.</t>
  </si>
  <si>
    <t>22.</t>
  </si>
  <si>
    <t>23.</t>
  </si>
  <si>
    <t>Sequence of Courses</t>
  </si>
  <si>
    <t>Course Number</t>
  </si>
  <si>
    <t>Course Title</t>
  </si>
  <si>
    <t xml:space="preserve"># of courses = </t>
  </si>
  <si>
    <t>Write a brief description of the history and development of the program from its inception.  
Include significant events affecting the program.</t>
  </si>
  <si>
    <t>STANDARD II: Program Goals</t>
  </si>
  <si>
    <t>Community of Interest (CoI)</t>
  </si>
  <si>
    <t>NOTE: The Advisory Committee should have significant representation and input from non-program personnel.</t>
  </si>
  <si>
    <t>STANDARD III: Resources</t>
  </si>
  <si>
    <t>STANDARD IV: Student and Graduate Evaluation/Assessment</t>
  </si>
  <si>
    <t>STANDARD V: Fair Practices</t>
  </si>
  <si>
    <t>Disclosures</t>
  </si>
  <si>
    <t>Page #</t>
  </si>
  <si>
    <t>Position</t>
  </si>
  <si>
    <t>Didactic</t>
  </si>
  <si>
    <t>or Lab?</t>
  </si>
  <si>
    <t>Week</t>
  </si>
  <si>
    <t>% of time</t>
  </si>
  <si>
    <t>Lab</t>
  </si>
  <si>
    <t>Avg # Hrs/</t>
  </si>
  <si>
    <t>Click inside the text box to enter/edit or copy/paste text (there is no spell-check).</t>
  </si>
  <si>
    <t>Certificate/Diploma</t>
  </si>
  <si>
    <t>Associate Degree</t>
  </si>
  <si>
    <t>Baccalaureate Degree</t>
  </si>
  <si>
    <t>Master's Degree</t>
  </si>
  <si>
    <t>Does the progam have any additional communties of interest?</t>
  </si>
  <si>
    <t>Self-Study Report</t>
  </si>
  <si>
    <t>Clinical</t>
  </si>
  <si>
    <t>Field</t>
  </si>
  <si>
    <t>&lt;=== Hover cursor here for definition</t>
  </si>
  <si>
    <t>Terminal Competency Form</t>
  </si>
  <si>
    <t>&lt;=== Hovering your cursor over a cell with a red triangle in upper right corner reveals text.  Try it.</t>
  </si>
  <si>
    <t>NOTE: Additional fees may be assessed if documents are rejected and/or require re-submission.</t>
  </si>
  <si>
    <r>
      <t>FEES</t>
    </r>
    <r>
      <rPr>
        <sz val="11"/>
        <color rgb="FF002060"/>
        <rFont val="Arial"/>
        <family val="2"/>
      </rPr>
      <t xml:space="preserve">: </t>
    </r>
  </si>
  <si>
    <t xml:space="preserve">        </t>
  </si>
  <si>
    <t xml:space="preserve">       </t>
  </si>
  <si>
    <t xml:space="preserve"> </t>
  </si>
  <si>
    <t xml:space="preserve">Totals: </t>
  </si>
  <si>
    <t># lecture clock hours</t>
  </si>
  <si>
    <t>15.</t>
  </si>
  <si>
    <t># lab clock hours</t>
  </si>
  <si>
    <t># clinical clock hours</t>
  </si>
  <si>
    <t># field experience clock hours</t>
  </si>
  <si>
    <t># capstone field internship clock hours</t>
  </si>
  <si>
    <t xml:space="preserve">&lt;=== Hover cursor above columns to see definitions </t>
  </si>
  <si>
    <t>State:</t>
  </si>
  <si>
    <t>Zip:</t>
  </si>
  <si>
    <t>City:</t>
  </si>
  <si>
    <t>CoAEMSP 
Program #:</t>
  </si>
  <si>
    <t>Please Select</t>
  </si>
  <si>
    <t>Employer(s) of Graduates Representative</t>
  </si>
  <si>
    <t>Public Member(s)</t>
  </si>
  <si>
    <t>Other</t>
  </si>
  <si>
    <t>Second:</t>
  </si>
  <si>
    <t>Third:</t>
  </si>
  <si>
    <t>Automatic Link(s) ====&gt;</t>
  </si>
  <si>
    <t>List of the current individuals and the communities of interest that they represent on the program Advisory Committee (must include at least one representative from each required group).  The program may have additional members from any of the communities of interest.</t>
  </si>
  <si>
    <t>Link to Available Form      (optional) ===&gt;</t>
  </si>
  <si>
    <t>*</t>
  </si>
  <si>
    <t>Annual Report and Outcomes</t>
  </si>
  <si>
    <t>Clinical/Field Experience &amp; Capstone Field Internship Affiliates</t>
  </si>
  <si>
    <t>Program Changes (i.e., Curriculum, sequencing, content, clinical and field, preceptor)</t>
  </si>
  <si>
    <t>Substantive Changes (i.e., program status, sponsorship, personnel [admin &amp; program], distance education, satellite locations)</t>
  </si>
  <si>
    <t>List at least one (1) program document where the Minimum Expectations goal is published (e.g., program webpage, institutional catalog, student handbook, program policies and procedures):</t>
  </si>
  <si>
    <t xml:space="preserve">                       Type of File(s):    Adobe Portable Document (.pdf)</t>
  </si>
  <si>
    <t>Automatic Link ====&gt;</t>
  </si>
  <si>
    <t>Page Number
(N/A for website)</t>
  </si>
  <si>
    <t>Link to Available Form      (Required) ===&gt;</t>
  </si>
  <si>
    <t>If N/A is in any of the boxes, briefly explain:</t>
  </si>
  <si>
    <t xml:space="preserve">        Exact Document Name (for each):</t>
  </si>
  <si>
    <t xml:space="preserve">                   Type of File(s):    Adobe Portable Document (.pdf)</t>
  </si>
  <si>
    <t xml:space="preserve">            Exact Document Name:</t>
  </si>
  <si>
    <t>Standard I.A
Sponsoring Institution</t>
  </si>
  <si>
    <t>Standard III.D.
Resource Assessment</t>
  </si>
  <si>
    <t>Standard III.B.
Personnel</t>
  </si>
  <si>
    <t>Standard III.B.1.a.
PD Respon-sibilities</t>
  </si>
  <si>
    <t>STANDARD III: Resources (Personnel)</t>
  </si>
  <si>
    <t>Course 
Number</t>
  </si>
  <si>
    <t xml:space="preserve">                   Exact Document Name (for each):</t>
  </si>
  <si>
    <t>Automatic Links ====&gt;</t>
  </si>
  <si>
    <t>Course Syllabi</t>
  </si>
  <si>
    <t>Link to Available Form      
(RAM Required) ===&gt;</t>
  </si>
  <si>
    <t>Standard IV.A.1
Evaluation
Frequency /
Purpose</t>
  </si>
  <si>
    <t>Does the capstone field internship provide the student with an opportunity to serve as team leader in a variety of pre-hospital advanced life support emergency medical situations?</t>
  </si>
  <si>
    <t xml:space="preserve">                   Type of File:    Adobe Portable Document [.pdf]</t>
  </si>
  <si>
    <t>Resource Assessment Matrix (RAM)</t>
  </si>
  <si>
    <t>Standard V.F. 
Fair Practices - Agreements</t>
  </si>
  <si>
    <t>State the program is located in (See Title Page Number 3):</t>
  </si>
  <si>
    <t>Sponsoring Institution Category:</t>
  </si>
  <si>
    <t>Standard V.A.1
Publications &amp; Disclosures</t>
  </si>
  <si>
    <t xml:space="preserve">(select "Yes" for ALL that apply and select "N/A" for those that do not apply) </t>
  </si>
  <si>
    <t>Website</t>
  </si>
  <si>
    <t>Catalog</t>
  </si>
  <si>
    <t>Student Handbook</t>
  </si>
  <si>
    <t>Policy Manual</t>
  </si>
  <si>
    <t>Standard V.A.2
Publications &amp; Disclosures</t>
  </si>
  <si>
    <t>a.  Sponsor's institutional accreditation status</t>
  </si>
  <si>
    <t>c.  Admission policies and practices</t>
  </si>
  <si>
    <t>Source Document
(List at least one)</t>
  </si>
  <si>
    <t xml:space="preserve">The information specified in Standard V.A.2. must be disclosed to applicants and students in at least one of the program's publications (i.e., website, catalog, student handbook, policy manual, recruiting materials, etc.).  Complete the following table listing the location(s) of the disclosures: </t>
  </si>
  <si>
    <t>Recruiting Materials</t>
  </si>
  <si>
    <t>Standard V.A.3
Publications &amp; Disclosures</t>
  </si>
  <si>
    <t xml:space="preserve">The information specified in Standard V.A.3. must be disclosed to all students in at least one of the program's publications (i.e., website, catalog, student handbook, policy manual, recruiting materials, etc.).  Complete the following table listing the location(s) of the disclosures: </t>
  </si>
  <si>
    <t>b.  Student grievance policy/procedure</t>
  </si>
  <si>
    <t>Standard V.C.
Safeguards</t>
  </si>
  <si>
    <t>Standard V.A.4. Publications &amp; Disclosures</t>
  </si>
  <si>
    <t xml:space="preserve">The information specified in Standard V.B. must be disclosed to all paid faculty in at least one of the program's publications (i.e., website, catalog, faculty handbook/manual, policy manual, etc.).  Complete the following table listing the location(s) of the disclosures: </t>
  </si>
  <si>
    <t>b.  Faculty recruitment</t>
  </si>
  <si>
    <t>a.  Faculty grievance policy/procedure</t>
  </si>
  <si>
    <t xml:space="preserve">The information specified in Standard V.C. must be disclosed in to all students in at least one of the program's publications (i.e., website, catalog, student handbook, policy manual, recruiting materials, etc.).  Complete the following table listing the location(s) of the disclosures: </t>
  </si>
  <si>
    <t>a.  Policies and procedures to safeguard the health and 
     safety of patients, students, faculty, and other 
     participants</t>
  </si>
  <si>
    <t>Standard V.D. Student Records</t>
  </si>
  <si>
    <t xml:space="preserve">All student records must be consistent with the Standards and should include the following: 
        * student admission 
        * academic advisement/counseling (signed/dated by both parties where appropriate)
        * appropriate evaluations
        * permanent/official student transcript </t>
  </si>
  <si>
    <t>Submit the following:</t>
  </si>
  <si>
    <t>Ambulance Services</t>
  </si>
  <si>
    <t>Community College</t>
  </si>
  <si>
    <t>Consortium</t>
  </si>
  <si>
    <t>County/Municipality</t>
  </si>
  <si>
    <t>Fire Services</t>
  </si>
  <si>
    <t>Hospital Based</t>
  </si>
  <si>
    <t>Junior College</t>
  </si>
  <si>
    <t>Military</t>
  </si>
  <si>
    <t>Federal Government</t>
  </si>
  <si>
    <t>State, County, or Local Government</t>
  </si>
  <si>
    <t>What is the overall length of program (as published in catalogue)?</t>
  </si>
  <si>
    <t xml:space="preserve">   (in months)</t>
  </si>
  <si>
    <t xml:space="preserve">                   Type of File:    Adobe Portable Document (.pdf)</t>
  </si>
  <si>
    <t xml:space="preserve">*
</t>
  </si>
  <si>
    <t xml:space="preserve">        Exact Document Name:</t>
  </si>
  <si>
    <t>Yrs in</t>
  </si>
  <si>
    <t>Degrees &amp;</t>
  </si>
  <si>
    <t>Credentials</t>
  </si>
  <si>
    <t>a.</t>
  </si>
  <si>
    <t>b.</t>
  </si>
  <si>
    <t>c.</t>
  </si>
  <si>
    <t>d.</t>
  </si>
  <si>
    <t>e.</t>
  </si>
  <si>
    <t>f.</t>
  </si>
  <si>
    <t>g.</t>
  </si>
  <si>
    <t>h.</t>
  </si>
  <si>
    <t>i.</t>
  </si>
  <si>
    <t>j.</t>
  </si>
  <si>
    <t>k.</t>
  </si>
  <si>
    <t>l.</t>
  </si>
  <si>
    <t>m.</t>
  </si>
  <si>
    <t>n.</t>
  </si>
  <si>
    <t>o.</t>
  </si>
  <si>
    <t>p.</t>
  </si>
  <si>
    <t>q.</t>
  </si>
  <si>
    <t>r.</t>
  </si>
  <si>
    <t>s.</t>
  </si>
  <si>
    <t>t.</t>
  </si>
  <si>
    <t>24.</t>
  </si>
  <si>
    <t>Link to Available Form      (Required if not current) ===&gt;</t>
  </si>
  <si>
    <t>Standard V.E. Substantive Changes</t>
  </si>
  <si>
    <t>Standard III-Preceptors</t>
  </si>
  <si>
    <t>Number of out of state Capstone Field Internship Affiliates identfied:
(based on the data forms below)</t>
  </si>
  <si>
    <t>Total number of active Capstone Field Internship Affiliates 
(complete the data forms below):</t>
  </si>
  <si>
    <t>CoAEMSP provides a form.  See available link to the right ====&gt;</t>
  </si>
  <si>
    <t>State the program is located in (See Title tab Number 3):</t>
  </si>
  <si>
    <t># of credits</t>
  </si>
  <si>
    <t>Save and Complete next tab (Standard II-Goals)</t>
  </si>
  <si>
    <t>Save and Complete next tab (Standard III-Personnel)</t>
  </si>
  <si>
    <t>Save and Complete next tab (Standard IV-Evaluation)</t>
  </si>
  <si>
    <t>Save and Complete next tab (Standard III-Affiliates)</t>
  </si>
  <si>
    <t>AR 3</t>
  </si>
  <si>
    <t>AL 2</t>
  </si>
  <si>
    <t>AK 1</t>
  </si>
  <si>
    <t>AZ 4</t>
  </si>
  <si>
    <t>CA 5</t>
  </si>
  <si>
    <t>CO 6</t>
  </si>
  <si>
    <t>CT 7</t>
  </si>
  <si>
    <t>DC 8</t>
  </si>
  <si>
    <t>DE 9</t>
  </si>
  <si>
    <t>FL 10</t>
  </si>
  <si>
    <t>GA 11</t>
  </si>
  <si>
    <t>HI 12</t>
  </si>
  <si>
    <t>IA 13</t>
  </si>
  <si>
    <t>ID 14</t>
  </si>
  <si>
    <t>IL 15</t>
  </si>
  <si>
    <t>IN 16</t>
  </si>
  <si>
    <t>KS 17</t>
  </si>
  <si>
    <t>KY 18</t>
  </si>
  <si>
    <t>LA 19</t>
  </si>
  <si>
    <t>MA 20</t>
  </si>
  <si>
    <t>MD 21</t>
  </si>
  <si>
    <t>ME 22</t>
  </si>
  <si>
    <t>MI 23</t>
  </si>
  <si>
    <t>MN 24</t>
  </si>
  <si>
    <t>MO 25</t>
  </si>
  <si>
    <t>MS 26</t>
  </si>
  <si>
    <t>MT 27</t>
  </si>
  <si>
    <t>NC 28</t>
  </si>
  <si>
    <t>ND 29</t>
  </si>
  <si>
    <t>NE 30</t>
  </si>
  <si>
    <t>NH 31</t>
  </si>
  <si>
    <t>NJ 32</t>
  </si>
  <si>
    <t>NM 33</t>
  </si>
  <si>
    <t>NV 34</t>
  </si>
  <si>
    <t>NY 35</t>
  </si>
  <si>
    <t>OH 36</t>
  </si>
  <si>
    <t>OK 37</t>
  </si>
  <si>
    <t>OR 38</t>
  </si>
  <si>
    <t>PA 39</t>
  </si>
  <si>
    <t>RI 40</t>
  </si>
  <si>
    <t>SC 41</t>
  </si>
  <si>
    <t>SD 42</t>
  </si>
  <si>
    <t>TN 43</t>
  </si>
  <si>
    <t>TX 44</t>
  </si>
  <si>
    <t>UT 45</t>
  </si>
  <si>
    <t>VA 46</t>
  </si>
  <si>
    <t>VT 47</t>
  </si>
  <si>
    <t>WA 48</t>
  </si>
  <si>
    <t>WI 49</t>
  </si>
  <si>
    <t>WV 50</t>
  </si>
  <si>
    <t>WY 51</t>
  </si>
  <si>
    <t xml:space="preserve">Does the program utilize the Associate Medical Director (Assoc MD) position?     </t>
  </si>
  <si>
    <t xml:space="preserve">Does the program utilize the Assistant Medical Director (Assist MD) position?     </t>
  </si>
  <si>
    <t xml:space="preserve">Does the program utilize full-time Faculty for the program?     </t>
  </si>
  <si>
    <t>Total number of active Capstone Field Internship Preceptors:
(based on the data forms below)</t>
  </si>
  <si>
    <t>Program Director Workload</t>
  </si>
  <si>
    <t>Full- or</t>
  </si>
  <si>
    <t>Avg Total Hours</t>
  </si>
  <si>
    <t>Year</t>
  </si>
  <si>
    <t>Part-time</t>
  </si>
  <si>
    <t>Worked/wk</t>
  </si>
  <si>
    <t>hours/wk</t>
  </si>
  <si>
    <t>Save and Complete next tab (Program Info)</t>
  </si>
  <si>
    <t>Save and Complete next tab (Standard I-Sponsorship)</t>
  </si>
  <si>
    <t>Save and Complete next tab (Standard III-Preceptors)</t>
  </si>
  <si>
    <t>Standard III - Active Affiliate Institutional Data Forms</t>
  </si>
  <si>
    <t>Save and Complete next tab (Standard V-Fair Practices)</t>
  </si>
  <si>
    <t>Save and Complete next tab (Satellites)</t>
  </si>
  <si>
    <t>Save and Complete next tab (Standard III-Resources)</t>
  </si>
  <si>
    <r>
      <t>ON-SITE REVIEW (Site Visit Scheduling)</t>
    </r>
    <r>
      <rPr>
        <u/>
        <sz val="11"/>
        <color rgb="FF002060"/>
        <rFont val="Arial"/>
        <family val="2"/>
      </rPr>
      <t>:</t>
    </r>
  </si>
  <si>
    <t xml:space="preserve">                   Type of Files:    Adobe Portable Document (.pdf)</t>
  </si>
  <si>
    <t>• Purposes of the student rotation (minimum competencies, skills, and behaviors) 
• Evaluation tools used by the program 
• Evaluation of criteria for grading students 
• Contact information for the program</t>
  </si>
  <si>
    <t>25.</t>
  </si>
  <si>
    <t>List any other Commission on Accreditation of Allied Health Education Programs (CAAHEP) accredited programs sponsored by this institution/consortium.  If there are no other CAAHEP accredited programs, then place "N/A" in the box provided below.</t>
  </si>
  <si>
    <t>Sponsor Type:</t>
  </si>
  <si>
    <r>
      <t xml:space="preserve">Name and Credentials of the Individual(s) 
Representing the Communities of Interest
</t>
    </r>
    <r>
      <rPr>
        <sz val="11"/>
        <color theme="1"/>
        <rFont val="Arial"/>
        <family val="2"/>
      </rPr>
      <t>(Multiple members may be listed in a single category)</t>
    </r>
  </si>
  <si>
    <t>Other Assessment Results (i.e., Resource Assessment Matrix [RAM], long range planning, outcomes review)</t>
  </si>
  <si>
    <t>Name of the chair of the program Advisory Committee:</t>
  </si>
  <si>
    <t>Instructional Faculty</t>
  </si>
  <si>
    <t>REPORT FORMAT:</t>
  </si>
  <si>
    <t>a.  Academic calendar/course dates</t>
  </si>
  <si>
    <t>Total number of active Clinical Affiliates:
(complete the data forms below)</t>
  </si>
  <si>
    <t>Number of out of state Clinical Affiliates identfied:
(based on the data forms below)</t>
  </si>
  <si>
    <t xml:space="preserve">Submit a screenshot(s) (i.e., website, catalog, student handbook, recruiting materials, policies and procedures, etc.) specifying the location where student transcripts are permanently maintained. </t>
  </si>
  <si>
    <t xml:space="preserve">                   Exact Document Name:</t>
  </si>
  <si>
    <t>Standard V.B.
Lawful &amp; Non-discriminatory Practices</t>
  </si>
  <si>
    <t>Additional Program Course Requirements Table Comments (if any):</t>
  </si>
  <si>
    <t>In the last calendar or academic year, indicate the Program Director workload assignments.</t>
  </si>
  <si>
    <t># of didactic</t>
  </si>
  <si>
    <t># lab related</t>
  </si>
  <si>
    <t># program director admin</t>
  </si>
  <si>
    <t># of clinical
field related</t>
  </si>
  <si>
    <t>Calendar/
Academic</t>
  </si>
  <si>
    <t>Link to Available Form and/or Template      
(Required if applicable) ===&gt;</t>
  </si>
  <si>
    <t>Please Note:  The CoAEMSP Advisory Committee Meeting Minutes form includes all the required topics above.</t>
  </si>
  <si>
    <r>
      <t xml:space="preserve">The program must maintain in sufficient detail students learning progression. </t>
    </r>
    <r>
      <rPr>
        <sz val="12"/>
        <color rgb="FFC00000"/>
        <rFont val="Calibri"/>
        <family val="2"/>
        <scheme val="minor"/>
      </rPr>
      <t/>
    </r>
  </si>
  <si>
    <t>What is the maximum cohort size (i.e., capacity)?</t>
  </si>
  <si>
    <r>
      <rPr>
        <b/>
        <u/>
        <sz val="11"/>
        <color theme="8" tint="-0.249977111117893"/>
        <rFont val="Arial"/>
        <family val="2"/>
      </rPr>
      <t>Key Points to Remember:</t>
    </r>
    <r>
      <rPr>
        <b/>
        <sz val="11"/>
        <color theme="8" tint="-0.249977111117893"/>
        <rFont val="Arial"/>
        <family val="2"/>
      </rPr>
      <t xml:space="preserve">
~ Do not use a collaborative cloud-based platform (i.e., Sharepoint, Google Docs, etc.) to complete the self-study report template
~ Save your work often as you complete the template
~ All supporting documentation must be positioned so that it does not need to be rotated to view
~ No paper copies or USB/CDs are accepted
~ Be sure the template is entirely complete and all supporting documentation has been place in the Documents sub-folder and then, zip the ENTIRE contents and upload it to the fileshare.  DO NOT UPLOAD INDIVIDUALLY. </t>
    </r>
  </si>
  <si>
    <t>for the EMS Professions</t>
  </si>
  <si>
    <t>Contact the CoAEMSP for any substantive changes</t>
  </si>
  <si>
    <t>Advisory Committee Meeting Minutes Form</t>
  </si>
  <si>
    <t>Link to Available Form ===&gt;</t>
  </si>
  <si>
    <t>Place a screenshot/copy of the page for each item listed above from at least one of the program's publications in the Documentation folder.  Each document must be titled with the 'EXACT document name' and must be included as the type of file format listed below (not Word, 97-2003 [.doc], Word 2013 [.docx], or Excel (.xlsx).</t>
  </si>
  <si>
    <t>Congratulations!!  Please double check and send to the CoAEMSP.</t>
  </si>
  <si>
    <t>Inst</t>
  </si>
  <si>
    <t>Title</t>
  </si>
  <si>
    <t>Prog Info</t>
  </si>
  <si>
    <t>Stand 1</t>
  </si>
  <si>
    <t>Stand 2</t>
  </si>
  <si>
    <t>Stand 3R</t>
  </si>
  <si>
    <t>Stand 3A</t>
  </si>
  <si>
    <t>Stand 3P</t>
  </si>
  <si>
    <t>d.  Technical Standards / Functional Job Description</t>
  </si>
  <si>
    <t xml:space="preserve">The program Advisory Committee must meet at least annually to review at a minimum the following required items and the AC meeting minutes should identfy each item's discussion and result.  </t>
  </si>
  <si>
    <t>First: 
(most recent mm/yyyy)</t>
  </si>
  <si>
    <t>Most Recent RAM: (mm/yyyy)</t>
  </si>
  <si>
    <t>During the capstone field internship phase is each student assigned to trained preceptors?</t>
  </si>
  <si>
    <t>Stand 3 Pre</t>
  </si>
  <si>
    <t>Stand 4</t>
  </si>
  <si>
    <t>Stand 5</t>
  </si>
  <si>
    <t>Sat</t>
  </si>
  <si>
    <t>University</t>
  </si>
  <si>
    <t>Vocational School</t>
  </si>
  <si>
    <t>u.</t>
  </si>
  <si>
    <t>v.</t>
  </si>
  <si>
    <t>w.</t>
  </si>
  <si>
    <t>x.</t>
  </si>
  <si>
    <t>y.</t>
  </si>
  <si>
    <t>z.</t>
  </si>
  <si>
    <t>Click Here For Step By Step Instructions</t>
  </si>
  <si>
    <t>Total (clock hours):</t>
  </si>
  <si>
    <t>© 2022 by the Committee on Accreditation of Educational Program for the Emergency Medical Services Professions, Inc., Rowlett, TX. 
CAAHEP accredited and CoAEMSP approved LOR programs may use for program educational purposes. 
All other uses prohibited without express written permission.</t>
  </si>
  <si>
    <t>Institution/Sponsor
     Website:</t>
  </si>
  <si>
    <t>Is the program sponsor authorized to award academic/college credit for the coursework?</t>
  </si>
  <si>
    <t>(Select below)</t>
  </si>
  <si>
    <t>Alternate &amp; Satellite Locations</t>
  </si>
  <si>
    <t>This tab should only be completed by programs that currently have a CoAEMSP approved Alternate or Satellite Location(s).</t>
  </si>
  <si>
    <t>To discontinue an alternate location, the program must submit a completed Voluntary Closure of an Alternate Location template letter.  If an alternate location has been discontinued and the sponsor program wishes to utilize the location again, then sponsor must reapply and submit a new CoAEMSP Request for Approval of an Alternate Location form [CoAEMSP Policy XIII.B].  Both are available on the CoAEMSP website.</t>
  </si>
  <si>
    <t>To discontinue a satellite location, the program must submit a completed Voluntary Closure of a Satellite Location template letter.  If a satellite location has been discontinued and the sponsor program wishes to utilize the location again, the sponsor must reapply and submit a new CoAEMSP Request for Approval of a Satellite Location form [CoAEMSP Policy XIII.C].  Both are available on the CoAEMSP website.</t>
  </si>
  <si>
    <t>Request for Approval of a Satellite Location
Voluntary Closure of a Satellite Location</t>
  </si>
  <si>
    <t>Request for Approval of an Alternate Location
Voluntary Closure of an Alternate Location</t>
  </si>
  <si>
    <t>1.  Does the program operate any CoAEMSP approved satellite 
     locations?</t>
  </si>
  <si>
    <t>Sponsor Classification:</t>
  </si>
  <si>
    <t>Accounting</t>
  </si>
  <si>
    <t>Program Course Requirements Table</t>
  </si>
  <si>
    <t>Total # of semester credit hours required to graduate when all requirements have been completed to take the National/State Exam which includes didactic, laboratory, clinical, and field internship ?</t>
  </si>
  <si>
    <t>Total # of clock hours (contact hours) required to graduate when 
all requirements have been completed to take the National/State Exam 
which includes didactic, laboratory, clinical, and field internship ?</t>
  </si>
  <si>
    <t>Employer</t>
  </si>
  <si>
    <t>Advisory Committee (AC)</t>
  </si>
  <si>
    <t xml:space="preserve">Student Minimum Competency Recommendations
</t>
  </si>
  <si>
    <t xml:space="preserve">             Type of File:    Excel (.xlsx)</t>
  </si>
  <si>
    <t>Link to Available Form      (Samples) ===&gt;</t>
  </si>
  <si>
    <t>Sample Syllabi</t>
  </si>
  <si>
    <t xml:space="preserve">  Title:</t>
  </si>
  <si>
    <t xml:space="preserve">   Submission Date:</t>
  </si>
  <si>
    <t>Phone Number:</t>
  </si>
  <si>
    <t>It is recommended to compose your text in a Word document, then copy and paste into the text box below.</t>
  </si>
  <si>
    <t>For the most recently completed Student Minimum Competency (SMC) Recommendations, are any of the program required minimum numbers below the CoAEMSP recommended numbers?</t>
  </si>
  <si>
    <t>Other Active Field Experience Affiliates</t>
  </si>
  <si>
    <t>Instruction must be based on clearly written course syllabi that include course description, learning goals, course objectives appropriate for the curriculum, methods of evaluation, topic outline, and competencies required for graduation.  The program must demonstrate by comparison that the curriculum offered meets or exceeds the content and competency of the latest edition of the National EMS Education Standards.
Programs must have a separate syllabus for each course listed in the Program Course Requirements table.  Each syllabus must clearly define expectations and responsibilities of the student required to progress through the program.  At a minimum, this includes a course description, objectives, methods of evaluation, topic outline (as applicable), and competencies required for progression.  Syllabi must cover each phase of the program.  
For example: didactic, laboratory, clinical, field experience, and capstone field internship.  A schedule is not a syllabus.</t>
  </si>
  <si>
    <t>Number of On-Site Liaisons 'Pending' Orientation:
(based on the data forms below)</t>
  </si>
  <si>
    <t xml:space="preserve">Does the program use any field experience affiliates not already
identified with the Capstone Field Internship affiliates above? 
</t>
  </si>
  <si>
    <t>Total number of active Capston Field Internship Affiliates
 also utilized as active Field Experience Affiliates:
(based on the data forms below)</t>
  </si>
  <si>
    <t>CoAEMSP Policy XII.C. For each state in which the program has enrolled students, the program must provide evidence that it has successfully notified the State EMS office that the program has students in that state (e.g., clinical/field affiliates, distance ed students)</t>
  </si>
  <si>
    <t>CoAEMSP Policy XII.B.  The program must have a formal relationship with a physician currently authorized to practice in each state where the program’s students are participating in patient care to accept responsibility for the practice of those students.</t>
  </si>
  <si>
    <t xml:space="preserve">
&lt;==  Number 17 and 18 will automatically populate 
        once the Program Course Requirements Table on the 
        Standard III Affiliates tab is completed in this workbook
</t>
  </si>
  <si>
    <t xml:space="preserve">&lt;==  Number 19 and 20 will automatically populate 
        once the Standard III Affiliates tab is completed in this workbook
</t>
  </si>
  <si>
    <t xml:space="preserve">&lt;==  Number 21 and 22 will automatically populate 
        once the Standard III Personnel tab is completed in this workbook
</t>
  </si>
  <si>
    <t>26.</t>
  </si>
  <si>
    <t>27.</t>
  </si>
  <si>
    <t xml:space="preserve">&lt;==  Number 23 and 24 will automatically populate 
        once the Standard III Affiliates tab is completed in this workbook
</t>
  </si>
  <si>
    <t xml:space="preserve">&lt;==  Autopopulated from Number 3-8 on the Program 
         Info tab </t>
  </si>
  <si>
    <t>How is the program offered (i.e., traditional, on-line, both)?</t>
  </si>
  <si>
    <t>28.</t>
  </si>
  <si>
    <t>Does the program sponsor have an articulation agreement(s)?</t>
  </si>
  <si>
    <t>List the most recent three (3) consecutive years of program Advisory Committee meetings which identify each of the required items above.  If the program Advisory Committee meets more than once annually, then combine the minutes for each year.  Place an N/A in the box(es) if no program Advisory Committee meeting minutes are available for a given year and briefly explain the reason below:</t>
  </si>
  <si>
    <t>Standard I.B
Responsibilities of Program Sponsor</t>
  </si>
  <si>
    <t xml:space="preserve">1.
</t>
  </si>
  <si>
    <t>Standard II.A
Program Goals &amp; Minimum Expectations</t>
  </si>
  <si>
    <t>Standard II.B
Program Advisory Committee</t>
  </si>
  <si>
    <t>Program Goals and Learning Objectives (i.e., CAAHEP Standard II.A. Minimum Expectations)</t>
  </si>
  <si>
    <t>Program Require Minimum Numbers approved by the program Medical Director and supported by the program AC 
(i.e., Student Minimum Competency Recommendations)</t>
  </si>
  <si>
    <t>Clinical &amp; Capstone Field Internship  Representative(s)</t>
  </si>
  <si>
    <t>Standard III.A.2
Clinical, Field Experience, &amp; Capstone Field Internship Affiliations</t>
  </si>
  <si>
    <t>Standard III.C.
Curriculum</t>
  </si>
  <si>
    <t>Standard III.B.1.a.
PD Responsibilities</t>
  </si>
  <si>
    <t>Standard III.B.2.a.
MD Responsibilities</t>
  </si>
  <si>
    <t>Standard III.B.3.a.
Associate MD Responsibilities</t>
  </si>
  <si>
    <t>Standard III.B.4.a.
Assistant MD Responsibilities</t>
  </si>
  <si>
    <t>Standard III.B.5.a.
Faculty/Instructional Staff Responsibilities</t>
  </si>
  <si>
    <t>Standard III.B.6.a.
Lead Instructor Responsibilities</t>
  </si>
  <si>
    <t>Standard III.A.1
Resources 
Type &amp; Amount</t>
  </si>
  <si>
    <t>Standard III.A.1
Resources
Type &amp; Amount</t>
  </si>
  <si>
    <t>Total number of active Clinical On-Site Liaisons:
(based on the data forms from Standard III - Affiliates tab)</t>
  </si>
  <si>
    <t>Number of Clinical On-Site Liaisons
'Pending' Orientation:
(See data forms in the Standards III Affiliates tab)</t>
  </si>
  <si>
    <t>Number of Field Experience On-Site Liaisons
'Pending' Orientation:
(See data forms in the Standards III Affiliates tab)</t>
  </si>
  <si>
    <t xml:space="preserve">The program must evaluate and assess the student progression toward and achievement of the program competencies and learning domains stated in the curriculum.  Achievement of the program competencies must be assessed by criterion-referenced, summative, comprehensive final evaluations in all learning domians (cognitive, psychomotor, affective).  </t>
  </si>
  <si>
    <t>Standard
IV.A.2.a &amp; b
Evaluation  Documenta-tion</t>
  </si>
  <si>
    <t>Standard
IV.A.2 a &amp; b
Evaluation  Documenta-tion</t>
  </si>
  <si>
    <t>Link to Available Form  ===&gt;</t>
  </si>
  <si>
    <t xml:space="preserve">                   Type of File:   Excel (.xlsx)</t>
  </si>
  <si>
    <t>CoAEMSP Policy XI.C.:  
The program must have a formal relationship with a physician currently authorized to practice in each state where the program’s students are participating in patient care to accept responsibility for the practice of those students.</t>
  </si>
  <si>
    <t>CAAHEP Standard V.B. and CoAEMSP Policy XI.D.: 
For each state in which the program has enrolled students, the program must document that it has successfully notified the State Office of EMS that the program has students in that state (e.g., clinical/field affiliates, distance ed students)</t>
  </si>
  <si>
    <r>
      <t xml:space="preserve">          </t>
    </r>
    <r>
      <rPr>
        <b/>
        <sz val="14"/>
        <rFont val="Arial"/>
        <family val="2"/>
      </rPr>
      <t>Satellite Locations</t>
    </r>
  </si>
  <si>
    <r>
      <t xml:space="preserve">          </t>
    </r>
    <r>
      <rPr>
        <b/>
        <sz val="14"/>
        <rFont val="Arial"/>
        <family val="2"/>
      </rPr>
      <t>Alternate Locations</t>
    </r>
  </si>
  <si>
    <t xml:space="preserve">CoAEMSP Personnel Form </t>
  </si>
  <si>
    <t xml:space="preserve">                                     24 Liaison Orientation</t>
  </si>
  <si>
    <t xml:space="preserve">                                     25 Preceptor Training</t>
  </si>
  <si>
    <t xml:space="preserve">                                            27 Final Evaluations</t>
  </si>
  <si>
    <t xml:space="preserve">                                            28 Terminal Competency</t>
  </si>
  <si>
    <t xml:space="preserve">                                        29 SMC Summary Tracking</t>
  </si>
  <si>
    <t>Total number of Field Experience affiliates not identified 
with the Capstone Field Internship affiliates:
(based on the data forms from Standard III - Affiliates tab)</t>
  </si>
  <si>
    <t>Total number of active Capstone Field Internship Preceptors:
(See data forms in the Standards III Affiliates tab)</t>
  </si>
  <si>
    <t>Total number of Capstone Field Internship Preceptors 
"Pending" training:
(See data forms in the Standards III Affiliates tab)</t>
  </si>
  <si>
    <t>Advisory Committee Public Member Bio</t>
  </si>
  <si>
    <t>• Purposes of the student rotation (minimum competencies, skills, and behaviors) 
• Evaluation tools used by the program 
• Evaluation of criteria for grading students 
• Contact information for the program (routine and emergency)
• coaching and mentoring techniques 
• Minimum number of required team leads 
• program's definition of team lead (An example of a team lead definition is available in 
   the Glossary section of the CoAEMSP Policies and Procedures.)</t>
  </si>
  <si>
    <t>e.  Occupational Risks Statement</t>
  </si>
  <si>
    <t>&lt;=== Autopopulated from question 2 
         on the Program Info tab</t>
  </si>
  <si>
    <t xml:space="preserve">
6.</t>
  </si>
  <si>
    <t xml:space="preserve">                          Type of File:      Adobe Portable Document (.pdf)</t>
  </si>
  <si>
    <t>Action Plan for Unanticipated 
Program Interruption</t>
  </si>
  <si>
    <t>Technical College</t>
  </si>
  <si>
    <t>Private/For Profit</t>
  </si>
  <si>
    <t>Private/Not for Profit</t>
  </si>
  <si>
    <t>Public/For Profit</t>
  </si>
  <si>
    <t>Public/Not for Profit</t>
  </si>
  <si>
    <t xml:space="preserve">       Exact Document Name:       10 Minimum Goal</t>
  </si>
  <si>
    <t xml:space="preserve">        Exact Document Name:       11 Public Member Bio</t>
  </si>
  <si>
    <t xml:space="preserve">                                            13 Org Chart</t>
  </si>
  <si>
    <t xml:space="preserve">                                            15 SMC Numbers</t>
  </si>
  <si>
    <t xml:space="preserve">                                            17 Personnel</t>
  </si>
  <si>
    <t xml:space="preserve">                                            19a MD Review</t>
  </si>
  <si>
    <t xml:space="preserve">                                            19b MD Responsibilities</t>
  </si>
  <si>
    <t>c.  Appeals process policy/procedure</t>
  </si>
  <si>
    <r>
      <t xml:space="preserve">for the 2023 CAAHEP </t>
    </r>
    <r>
      <rPr>
        <b/>
        <i/>
        <sz val="24"/>
        <color theme="9" tint="-0.249977111117893"/>
        <rFont val="Arial"/>
        <family val="2"/>
      </rPr>
      <t>Standards &amp; Guidelines</t>
    </r>
  </si>
  <si>
    <r>
      <t xml:space="preserve">The self-study report must be submitted ectronically via upload according to the Step By Step Instructions.  </t>
    </r>
    <r>
      <rPr>
        <b/>
        <sz val="11"/>
        <color rgb="FF002060"/>
        <rFont val="Arial"/>
        <family val="2"/>
      </rPr>
      <t>No paper copies or USB/CDs are accepted</t>
    </r>
    <r>
      <rPr>
        <sz val="11"/>
        <color rgb="FF002060"/>
        <rFont val="Arial"/>
        <family val="2"/>
      </rPr>
      <t>.  If the program would like to submit the self-study report early or needs further assistance, please contact the CoAEMSP.</t>
    </r>
  </si>
  <si>
    <t>214-703-8445</t>
  </si>
  <si>
    <t>Office:</t>
  </si>
  <si>
    <t>g.   Policy on transfer of credits</t>
  </si>
  <si>
    <t>k.   Policies and procedures for student withdrawal</t>
  </si>
  <si>
    <t>All programs (accredited and LoR) must publish their latest annual outcomes results for the National Registry or State Written Exam, Retention, and Placement on the program's homepage of their website.  At all times, the published results must be consistent with and verifiable by the latest Annual Report of the program.</t>
  </si>
  <si>
    <t xml:space="preserve">      Exact Document Name:      02 State Approval</t>
  </si>
  <si>
    <t xml:space="preserve">      Exact Document Name:      03 Preparedness Plan</t>
  </si>
  <si>
    <t xml:space="preserve">                                            31a Sponsor Accred Status</t>
  </si>
  <si>
    <t xml:space="preserve">                                            31b Program Status Statement</t>
  </si>
  <si>
    <t xml:space="preserve">                                            31c Admission Policies</t>
  </si>
  <si>
    <t xml:space="preserve">                                            31d Technical Standards</t>
  </si>
  <si>
    <t xml:space="preserve">                                            31e Occupational Risks</t>
  </si>
  <si>
    <t xml:space="preserve">                                            31f Advanced Placement</t>
  </si>
  <si>
    <t xml:space="preserve">                                            31g Transfer of Credits</t>
  </si>
  <si>
    <t xml:space="preserve">                                            31h Experiential Learning</t>
  </si>
  <si>
    <t xml:space="preserve">                                            31j Program Costs</t>
  </si>
  <si>
    <t xml:space="preserve">                                            31k Withdrawal Policy</t>
  </si>
  <si>
    <t xml:space="preserve">                                            31l Refund Policy</t>
  </si>
  <si>
    <t xml:space="preserve">                                            31m Clinical Assignment Policy</t>
  </si>
  <si>
    <t>Sponsor Name:</t>
  </si>
  <si>
    <t>Student Minimum Competency (SMC) Recommendations 
(Summary Tracking tab of document)</t>
  </si>
  <si>
    <t xml:space="preserve">
3.</t>
  </si>
  <si>
    <t xml:space="preserve">
1.</t>
  </si>
  <si>
    <t xml:space="preserve">
2.</t>
  </si>
  <si>
    <t>1) Administration, organization, and supervision of the program</t>
  </si>
  <si>
    <t>2) Continuous quality review and improvement of the educational program</t>
  </si>
  <si>
    <t>3) Academic oversight, including curriculum planning and development</t>
  </si>
  <si>
    <t>4) (See Preceptors tab) Orientation/training and supervision of clinical and capstone field internship preceptors</t>
  </si>
  <si>
    <t>Link to Available Forms      (Required if requested) ===&gt;</t>
  </si>
  <si>
    <t>CoAEMSP provides forms.  See available link to the right ====&gt;</t>
  </si>
  <si>
    <t>2) Review and approve the required minimum numbers for each of the required patient contacts and procedures listed in these Standards</t>
  </si>
  <si>
    <t>5) Ensure the competence of each graduate of the program in the cognitive, psychomotor, and affective domains</t>
  </si>
  <si>
    <t>6) Engage in cooperative involvement with the program director</t>
  </si>
  <si>
    <t>CoAEMSP Medical Director Review
Medical Director Responsibilities</t>
  </si>
  <si>
    <t>Place a copy of the Public Member(s)'s bio (i.e., resume, CV) in the Documentation folder.  If there is more than one public member, then complete a form for each, combine the bios, and include them as a single file.  This document must be titled with the 'EXACT document name' and must be included as the type of file format listed below (not Word 97-2003 [.doc], Word 2013 [.docx], or Excel [.xls]).</t>
  </si>
  <si>
    <t>Place a copy of the program Advisory Committee meeting minutes and attendance from each of the dates listed above in the Documentation folder.  Each document must be titled with the 'EXACT document name' and must be included as the type of file format listed below (not Word 97-2003 [.doc], Word 2013 [.docx], or Excel [.xlsx]).</t>
  </si>
  <si>
    <t>Program Name:</t>
  </si>
  <si>
    <t>Sponsor name, program name, and address of the program sponsor:</t>
  </si>
  <si>
    <t xml:space="preserve">NOTE: All program material must accurately reflect the sponsor name and program name where listed. </t>
  </si>
  <si>
    <t xml:space="preserve">
6.</t>
  </si>
  <si>
    <t xml:space="preserve">                                            16 Curriculum Overview</t>
  </si>
  <si>
    <t>Place a screenshot/copy of the page for each item listed above from at least one of the program's publications in the Documentation folder.  Each document must be titled with the 'EXACT document name' and must be included as the type of file format listed below (not Word 97-2003 [.doc], Word 2013 [.docx], or Excel (.xlsx).</t>
  </si>
  <si>
    <t>Place a screenshot/copy of the page for the item listed above from at least one of the program's publications in the Documentation folder.  The document must be titled with the 'EXACT document name' and must be included as the type of file format listed below (not Word 97-2003 [.doc], Word 2013 [.docx], or Excel (.xlsx).</t>
  </si>
  <si>
    <t>Place a screenshot specifying the location where student transcripts are permanently maintained in the Documentation folder.  This document must be titled with the 'EXACT document name' and must be included as the type of file format listed below (not Word 97-2003 [.doc], Word 2013 [.docx], or Excel (.xlsx).</t>
  </si>
  <si>
    <t xml:space="preserve">Programs must demonstrate by comparison and verify that the curriculum offered meets or exceeds the content and competency of the latest edition of the National EMS Education Standards. </t>
  </si>
  <si>
    <t xml:space="preserve">                                            32a Academic Calendar</t>
  </si>
  <si>
    <t xml:space="preserve">                                            32b Student Grievance</t>
  </si>
  <si>
    <t xml:space="preserve">                                            32c Appeals Process</t>
  </si>
  <si>
    <t xml:space="preserve">                                            32d Student Work Policy</t>
  </si>
  <si>
    <t xml:space="preserve">                                            33 Published Outcomes</t>
  </si>
  <si>
    <t xml:space="preserve">                                            34a Faculty Grievance</t>
  </si>
  <si>
    <t xml:space="preserve">                                            34b Faculty Recruitment</t>
  </si>
  <si>
    <t xml:space="preserve">                                            35 Safeguard Policies</t>
  </si>
  <si>
    <t xml:space="preserve">                                            36 Transcript Location</t>
  </si>
  <si>
    <r>
      <t>TIMING OF SELF STUDY REPORT SUBMISSION</t>
    </r>
    <r>
      <rPr>
        <u/>
        <sz val="11"/>
        <color rgb="FF002060"/>
        <rFont val="Arial"/>
        <family val="2"/>
      </rPr>
      <t>:</t>
    </r>
  </si>
  <si>
    <t xml:space="preserve">Respond to each question directly into the spaces provided on this template workbook.  The protected format does not spell-check, so responses may be composed in a wordprocessing document, then pasted into this SSR when complete.  The self study template contains built in logic that formulates questions based on the way previous ones have been answered.  If a question appears like it is blank or incomplete, then a question has not yet been answered and will appear blank or incomplete until all required questions have been answered.  Therefore, you should complete each of the following TABS in order throughout the workbook.  </t>
  </si>
  <si>
    <t>When the SSR is complete and satisfactory, a site visit will occur as scheduled by CoAEMSP.</t>
  </si>
  <si>
    <t>The sponsor must have an official job description or other mechanism which includes the required qualifications and position functions for the positions applicable below.</t>
  </si>
  <si>
    <t>Place a completed CoAEMSP Curriculum Overview form in the Documentation folder.  This document must be titled with the 'EXACT document name' and must be included as the type of file format listed below (not Word 97-2003 [.doc], Word 2013 [.docx], or Excel (.xlsx).</t>
  </si>
  <si>
    <t xml:space="preserve">Curriculum Overview for AEMT &amp; Paramedic
</t>
  </si>
  <si>
    <t xml:space="preserve">                                            17a Job Description PD</t>
  </si>
  <si>
    <t xml:space="preserve">                                            17b Job Description MD</t>
  </si>
  <si>
    <r>
      <t xml:space="preserve">
</t>
    </r>
    <r>
      <rPr>
        <b/>
        <sz val="18"/>
        <color rgb="FFC00000"/>
        <rFont val="Arial"/>
        <family val="2"/>
      </rPr>
      <t xml:space="preserve">The Step By Step Instructions below must be followed carefully to correctly complete the self-study.  
Click on the link below to access the Step By Step Instructions for compiling the self-study report. </t>
    </r>
  </si>
  <si>
    <r>
      <t xml:space="preserve">Programs must have a preparedness plan in place that assures continuity of education services in the event of an unanticipated interruption.
</t>
    </r>
    <r>
      <rPr>
        <i/>
        <sz val="12"/>
        <color theme="1"/>
        <rFont val="Arial"/>
        <family val="2"/>
      </rPr>
      <t xml:space="preserve">Examples of unanticipated interruptions may include unexpected departure of key personnel, natural disaster, public health crisis, fire, flood, power failure, failure of information technology services, or other events that may lead to inaccessibility of educational services. </t>
    </r>
  </si>
  <si>
    <t>Governmental education federal, state, local/municipal (Standard I.A.4)</t>
  </si>
  <si>
    <t>Branch of the United States Armed Forces (Standard I.A.4)</t>
  </si>
  <si>
    <t>Outside U.S. Post-Secondary Institution (Standard I.A.2)</t>
  </si>
  <si>
    <r>
      <t xml:space="preserve">Program Director
  </t>
    </r>
    <r>
      <rPr>
        <i/>
        <sz val="10"/>
        <color theme="1"/>
        <rFont val="Arial"/>
        <family val="2"/>
      </rPr>
      <t>ex officio, non-voting member</t>
    </r>
  </si>
  <si>
    <r>
      <t xml:space="preserve">Medical Director
  </t>
    </r>
    <r>
      <rPr>
        <i/>
        <sz val="10"/>
        <color theme="1"/>
        <rFont val="Arial"/>
        <family val="2"/>
      </rPr>
      <t>ex officio, non-voting member</t>
    </r>
  </si>
  <si>
    <r>
      <t xml:space="preserve">Physician(s)
  </t>
    </r>
    <r>
      <rPr>
        <i/>
        <sz val="10"/>
        <color theme="1"/>
        <rFont val="Arial"/>
        <family val="2"/>
      </rPr>
      <t>may be fulfilled by Medical Director</t>
    </r>
  </si>
  <si>
    <r>
      <t xml:space="preserve">Sponsor Administrators
  </t>
    </r>
    <r>
      <rPr>
        <i/>
        <sz val="10"/>
        <color theme="1"/>
        <rFont val="Arial"/>
        <family val="2"/>
      </rPr>
      <t>ex officio, non-voting member</t>
    </r>
  </si>
  <si>
    <r>
      <t xml:space="preserve">Faculty Members
  </t>
    </r>
    <r>
      <rPr>
        <i/>
        <sz val="10"/>
        <color theme="1"/>
        <rFont val="Arial"/>
        <family val="2"/>
      </rPr>
      <t>ex officio, non-voting member</t>
    </r>
  </si>
  <si>
    <r>
      <rPr>
        <b/>
        <sz val="11"/>
        <color theme="1"/>
        <rFont val="Arial"/>
        <family val="2"/>
      </rPr>
      <t>Sequence of Courses</t>
    </r>
    <r>
      <rPr>
        <sz val="10"/>
        <color theme="1"/>
        <rFont val="Arial"/>
        <family val="2"/>
      </rPr>
      <t xml:space="preserve">
</t>
    </r>
  </si>
  <si>
    <r>
      <rPr>
        <b/>
        <sz val="16"/>
        <color theme="1"/>
        <rFont val="Arial"/>
        <family val="2"/>
      </rPr>
      <t>TABLE 2</t>
    </r>
    <r>
      <rPr>
        <sz val="11"/>
        <color theme="1"/>
        <rFont val="Arial"/>
        <family val="2"/>
      </rPr>
      <t xml:space="preserve">
</t>
    </r>
    <r>
      <rPr>
        <b/>
        <sz val="12"/>
        <color theme="1"/>
        <rFont val="Arial"/>
        <family val="2"/>
      </rPr>
      <t>Provide any REQUIRED General Education Courses or EMT Courses</t>
    </r>
    <r>
      <rPr>
        <sz val="11"/>
        <color theme="1"/>
        <rFont val="Arial"/>
        <family val="2"/>
      </rPr>
      <t xml:space="preserve">
</t>
    </r>
  </si>
  <si>
    <r>
      <t xml:space="preserve">4) Review the progress of each student throughout the program, and assist in the determination of appropriate corrective measures
     </t>
    </r>
    <r>
      <rPr>
        <i/>
        <sz val="11"/>
        <color theme="1"/>
        <rFont val="Arial"/>
        <family val="2"/>
      </rPr>
      <t>It is recommended that corrective measures occur in the cases of failing academic or clinical or field internship performance.</t>
    </r>
  </si>
  <si>
    <t>Place a copy of the official job description or other mechanism for the Program Director, program Medical Director, Faculty, and other personnel (as applicable) in the Documentation folder.  Each document must be titled with the 'EXACT document name' and must be included as the type of file format listed below (not Word, 97-2003 [.doc], Word 2013 [.docx], or Excel [.xls]).</t>
  </si>
  <si>
    <r>
      <t xml:space="preserve">Clinical / Field Experience On-Site Liaisons
</t>
    </r>
    <r>
      <rPr>
        <b/>
        <sz val="12"/>
        <color theme="0"/>
        <rFont val="Arial"/>
        <family val="2"/>
      </rPr>
      <t>(according to the data listed in the Standard III Affiliates tab)</t>
    </r>
  </si>
  <si>
    <r>
      <t xml:space="preserve">Capstone Field Internship Preceptors
</t>
    </r>
    <r>
      <rPr>
        <b/>
        <sz val="12"/>
        <color theme="0"/>
        <rFont val="Arial"/>
        <family val="2"/>
      </rPr>
      <t>(according to the data listed in the Standard III Affiliates tab)</t>
    </r>
  </si>
  <si>
    <r>
      <t xml:space="preserve">CoAEMSP SMC summary tracking documentation must be submitted to demonstrate the following:
     • The most recent graduating cohort(s);
     • The name of each graduate; and,
     • The program required minimum numbers have been met by each graduate.   
Summary tracking refers to data by cohort and not be individual student.  Only submit the CoAEMSP Student Minimum Competency (SMC) Recommendation document.  
</t>
    </r>
    <r>
      <rPr>
        <sz val="12"/>
        <color rgb="FFC00000"/>
        <rFont val="Arial"/>
        <family val="2"/>
      </rPr>
      <t>NOTE:  The summary tracking documentation should include ONLY graduates.</t>
    </r>
    <r>
      <rPr>
        <b/>
        <sz val="12"/>
        <color rgb="FFC00000"/>
        <rFont val="Arial"/>
        <family val="2"/>
      </rPr>
      <t xml:space="preserve">  </t>
    </r>
  </si>
  <si>
    <r>
      <t xml:space="preserve">Please Note:  The site visit team will review student records during the site visit evaluation.  Student records should contain consistent documentation and may include the following: 
    * </t>
    </r>
    <r>
      <rPr>
        <sz val="12"/>
        <color rgb="FF7030A0"/>
        <rFont val="Arial"/>
        <family val="2"/>
      </rPr>
      <t>Program Application or comparable program enrollment documentation
    * Summary of cognitive assessments (i.e., grade book)
    * Summary of psychomotor evaluation via skill scenario and testing (i.e., report on meeting required 
       minimums)
    * Affective evaluations for each phase of the program
    * Academic advising or progress report for each phase of the program
    * Academic or behavioral counseling documentation (if applicable)
    * A student evaluation from a clinical preceptor
    * Final student evaluations from the capstone field internship preceptor
    * Summative evaluations in the cognitive, psychomotor, and affective domains
    * Evidence of completion of all program minimum patient competencies (i.e., graduation report or
       similar)     
    * Terminal Competency form
    * Transcript of record of academic achievement
    * Certificate of completion or diploma</t>
    </r>
  </si>
  <si>
    <t>m.  Policies and procedures for assignment of clinical 
      experiences</t>
  </si>
  <si>
    <t>d.  Policy that students are not substituted for paid staff 
      and are always the third rider</t>
  </si>
  <si>
    <r>
      <t xml:space="preserve">The sponsor must report substantive change(s) as described in CAAHEP </t>
    </r>
    <r>
      <rPr>
        <b/>
        <i/>
        <sz val="12"/>
        <color theme="1"/>
        <rFont val="Arial"/>
        <family val="2"/>
      </rPr>
      <t>Standards</t>
    </r>
    <r>
      <rPr>
        <b/>
        <sz val="12"/>
        <color theme="1"/>
        <rFont val="Arial"/>
        <family val="2"/>
      </rPr>
      <t xml:space="preserve"> Appendix A to CAAHEP/CoAEMSP in a timely manner.  Substantive changes include: change in sponsorship, change in program location, addition of a satellite location, addition of a alternate location, and/or addition of a distance learning program.</t>
    </r>
  </si>
  <si>
    <t>1.  Does the program operate any CoAEMSP approved 
     alternate locations?</t>
  </si>
  <si>
    <t>3) Review and approve the instruments and processes used to evaluate students in didactic, laboratory, clinical, field experience, and capstone 
     field internship</t>
  </si>
  <si>
    <r>
      <t xml:space="preserve">7) Ensure the effectiveness and quality of any Medical Director responsibilities delegated to an Associate or Assistant Medical Director
     </t>
    </r>
    <r>
      <rPr>
        <i/>
        <sz val="11"/>
        <color theme="1"/>
        <rFont val="Arial"/>
        <family val="2"/>
      </rPr>
      <t>It is recommended that the Medical Director interaction be in a variety of settings, such as lecture, laboratory, clinical, capstone field 
     internship.  Interaction may be by synchronous electronic methods.</t>
    </r>
  </si>
  <si>
    <t>Programs must hold the CoAEMSP LoR or CAAHEP accreditation and must obtain CoAEMSP approval prior to beginning any alternate location(s).  Failure to obtain CoAEMSP approval for the alternate location(s) may result in a recommendation to CAAHEP for Probationary Accreditation which may lead to Withdrawal of Accreditation. [CoAEMSP Policy XIII.B]</t>
  </si>
  <si>
    <t>Programs must hold the CoAEMSP LoR or CAAHEP accreditation and must obtain CoAEMSP approval prior to beginning any satellite location(s).  Failure to obtain CoAEMSP approval for the satellite location(s) may result in a recommendation to CAAHEP for Probationary Accreditation which may lead to Withdrawal of Accreditation. [CoAEMSP Policy XIII.C]</t>
  </si>
  <si>
    <r>
      <t xml:space="preserve">For </t>
    </r>
    <r>
      <rPr>
        <b/>
        <sz val="22"/>
        <color rgb="FF002060"/>
        <rFont val="Arial"/>
        <family val="2"/>
      </rPr>
      <t>EMS</t>
    </r>
    <r>
      <rPr>
        <sz val="22"/>
        <color rgb="FF002060"/>
        <rFont val="Arial"/>
        <family val="2"/>
      </rPr>
      <t xml:space="preserve"> Programs Seeking</t>
    </r>
  </si>
  <si>
    <t xml:space="preserve">                                                               Does the Program Director also serve as 
                                            the Clinical Coordinator (CC) or a Lead Instructor (LI)?     </t>
  </si>
  <si>
    <t>The Medical Director must fulfill each of the duties and responsibilities for all aspects of the program identified in Standard III.B.2.a.
In addition to including the MD Review Form, provide documentation demonstrating the program Medical Director is responsible for each of the duties listed below.</t>
  </si>
  <si>
    <t># of active satellite locations?</t>
  </si>
  <si>
    <r>
      <t xml:space="preserve">Programs must establish and require minimum numbers of student competencies (i.e., skills, patient ages, differential diagnosis or complaints, team leads, etc).  The minimum competency numbers must be approved by the program Medical Director, reviewed by the program Advisory Committee, and documented in program Advisory Committee minutes.  Program tracking documentation must demonstrate all of program graduates have met each of the program required minimum numbers.  There must be documented periodic evaluation of the established minimums to determine ongoing graduate competency.  
</t>
    </r>
    <r>
      <rPr>
        <b/>
        <i/>
        <sz val="12"/>
        <color theme="1"/>
        <rFont val="Arial"/>
        <family val="2"/>
      </rPr>
      <t xml:space="preserve">Please complete the program's required minimum numbers on the Summary Tracking tab of the SMC. </t>
    </r>
  </si>
  <si>
    <t>1) Review and approve the educational content of the program to include didactic, laboratory, clinical experience, field experience, and capstone field 
     to ensure it meets current standards of medical practice</t>
  </si>
  <si>
    <r>
      <t xml:space="preserve">All Paid Full-Time Faculty
</t>
    </r>
    <r>
      <rPr>
        <i/>
        <sz val="11"/>
        <rFont val="Arial"/>
        <family val="2"/>
      </rPr>
      <t>If there are no paid full-time faculty, place n/a in the first box of row 'a' below</t>
    </r>
  </si>
  <si>
    <r>
      <t xml:space="preserve">All Part-Time Faculty
</t>
    </r>
    <r>
      <rPr>
        <i/>
        <sz val="11"/>
        <rFont val="Arial"/>
        <family val="2"/>
      </rPr>
      <t>If there are no part-time faculty, place n/a in the first box of row 'a' below</t>
    </r>
  </si>
  <si>
    <t>Total number of Capstone Field Internship 
Preceptors "Pending" training:
(based on the data forms below)</t>
  </si>
  <si>
    <t>l.   Policies and procedures for refunds of tuition/fees</t>
  </si>
  <si>
    <r>
      <t xml:space="preserve">Please Note:  The site visit team will review student records during the site visit evaluation.  Student records should contain consistent documentation and may include the following: 
    * </t>
    </r>
    <r>
      <rPr>
        <sz val="12"/>
        <color rgb="FF7030A0"/>
        <rFont val="Arial"/>
        <family val="2"/>
      </rPr>
      <t>Program Application or comparable program enrollment documentation
    * Summary of cognitive assessments (i.e., grade book)
    * Summary of psychomotor evaluation via skill scenario and testing (i.e., report on meeting required 
       minimums)
    * Affective evaluations for each phase of the program
    * Academic advising or progress report for each phase of the program
    * Academic or behavioral counseling documentation (if applicable)
    * A student evaluation from a clinical preceptor
    * Final student evaluations from the capstone field internship preceptor
    * Summative evaluations in the cognitive, psychomotor, and affective domains
    * Evidence of completion of all program minimum patient competencies (i.e., graduation report or 
       similar)     
    * Terminal Competency form
    * Transcript of record of academic achievement
    * Certificate of completion or diploma</t>
    </r>
  </si>
  <si>
    <t xml:space="preserve">
&lt;==  Number 25 and 26 will automatically populate 
        once the Standard III Affiliates tab is completed in this workbook
&lt;==  Number 27 and 28 will automatically populate once the Alternate &amp; 
        Satellite Locations tab is completed in this workbook
</t>
  </si>
  <si>
    <t># of active alternate locations?</t>
  </si>
  <si>
    <t>29.</t>
  </si>
  <si>
    <t>j.   Tuition, fees, and other program costs 
     (cost of entire program)</t>
  </si>
  <si>
    <t>Letter of Review</t>
  </si>
  <si>
    <t>Place a screenshot of the published Standard II.A. Minimum Expectaions goal statement from the program document listed above in the Documentation folder.  This document must be titled with the 'EXACT document name' and must be included as the type of file format listed below (not Word 97-2003 [.doc], Word 2013 [.docx], or Excel [.xls]).</t>
  </si>
  <si>
    <t xml:space="preserve">    Write the total cost of the program 
    including all fees in the box ==&gt;</t>
  </si>
  <si>
    <t>To establish key personnel or request a Personnel Verification Report, refer to the Personnel page of the CoAEMSP website.  
See available link to the right ====&gt;
IMPORTANT:  The Personnel Verification Report will not be issued until all required personnel documentation has been submitted and 
                       CoAEMSP approved. The Personnel Verification Report is different than the individual approval email(s) received from 
                       the CoAEMSP.</t>
  </si>
  <si>
    <t>Place the Personnel Verification Report received from the CoAEMSP in the Documentation folder.  This document must be titled with the 'EXACT document name' and must be included as the type of file format listed below (not Word 97-2003 [.doc], Word 2013 [.docx], or Excel [.xls]).</t>
  </si>
  <si>
    <t>SSR Revised 2025.02</t>
  </si>
  <si>
    <t>The Program Director is responsible for orientation/training and supervision of clinical and capstone field internship preceptors [Standard III.B.1.a(4)]</t>
  </si>
  <si>
    <r>
      <rPr>
        <b/>
        <sz val="11"/>
        <color rgb="FF0070C0"/>
        <rFont val="Arial"/>
        <family val="2"/>
      </rPr>
      <t>Orientation</t>
    </r>
    <r>
      <rPr>
        <sz val="11"/>
        <color theme="1"/>
        <rFont val="Arial"/>
        <family val="2"/>
      </rPr>
      <t xml:space="preserve"> for student clinical and field experience rotations refers to a </t>
    </r>
    <r>
      <rPr>
        <b/>
        <sz val="11"/>
        <color rgb="FF0070C0"/>
        <rFont val="Arial"/>
        <family val="2"/>
      </rPr>
      <t>high-level overview</t>
    </r>
    <r>
      <rPr>
        <sz val="11"/>
        <color theme="1"/>
        <rFont val="Arial"/>
        <family val="2"/>
      </rPr>
      <t xml:space="preserve"> of student oversight and evaluation and is required only for the on-site liaison / preceptor at each clinical and EMS field agency where students are assigned.
</t>
    </r>
    <r>
      <rPr>
        <b/>
        <sz val="11"/>
        <color rgb="FF0070C0"/>
        <rFont val="Arial"/>
        <family val="2"/>
      </rPr>
      <t>Training</t>
    </r>
    <r>
      <rPr>
        <sz val="11"/>
        <color theme="1"/>
        <rFont val="Arial"/>
        <family val="2"/>
      </rPr>
      <t xml:space="preserve"> the for the capstone field internship provides more </t>
    </r>
    <r>
      <rPr>
        <b/>
        <sz val="11"/>
        <color rgb="FF0070C0"/>
        <rFont val="Arial"/>
        <family val="2"/>
      </rPr>
      <t>in-depth information</t>
    </r>
    <r>
      <rPr>
        <sz val="11"/>
        <color theme="1"/>
        <rFont val="Arial"/>
        <family val="2"/>
      </rPr>
      <t xml:space="preserve"> on coaching, monitoring attainment of competencies, evaluating student performance, and shaping professional behavior. 
</t>
    </r>
  </si>
  <si>
    <r>
      <t xml:space="preserve">Clinical / Field Experience On-Site Liaison / Preceptor Orientation and Capstone Field Internship Preceptor Training may be conducted using any of the following:
• written documents              • formal course           • power point presentation
• video                                    • on-line                       • designated trainers on-site 
The program should tailor the method of delivery to the type of rotation (e.g. hospital, physician office, field).
</t>
    </r>
    <r>
      <rPr>
        <b/>
        <sz val="11"/>
        <color rgb="FFC00000"/>
        <rFont val="Arial"/>
        <family val="2"/>
      </rPr>
      <t xml:space="preserve">
Programs may use one curriculum but have separate exit points for orientation and training.  If one curriculum is utilized place the same documentation as evidence for the orientation and training and title the evidence for each as directed.</t>
    </r>
  </si>
  <si>
    <t>(5 or 6 digit number assigned by CoAEMSP)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</si>
</sst>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mm/yyyy"/>
    <numFmt numFmtId="167" formatCode="00"/>
    <numFmt numFmtId="168" formatCode="&quot;$&quot;#,##0.00"/>
  </numFmts>
  <fonts count="119" x14ac:knownFonts="1">
    <font>
      <sz val="11"/>
      <color theme="1"/>
      <name val="Calibri"/>
      <family val="2"/>
      <scheme val="minor"/>
    </font>
    <font>
      <sz val="10"/>
      <color theme="1"/>
      <name val="Arial"/>
      <family val="2"/>
    </font>
    <font>
      <sz val="11"/>
      <color theme="1"/>
      <name val="Arial"/>
      <family val="2"/>
    </font>
    <font>
      <sz val="10"/>
      <color rgb="FF7F7F7F"/>
      <name val="Arial"/>
      <family val="2"/>
    </font>
    <font>
      <sz val="11"/>
      <color rgb="FF984806"/>
      <name val="Arial"/>
      <family val="2"/>
    </font>
    <font>
      <sz val="11"/>
      <color rgb="FF008000"/>
      <name val="Arial"/>
      <family val="2"/>
    </font>
    <font>
      <b/>
      <sz val="12"/>
      <color rgb="FF984806"/>
      <name val="Arial"/>
      <family val="2"/>
    </font>
    <font>
      <sz val="11"/>
      <color theme="5" tint="-0.499984740745262"/>
      <name val="Arial"/>
      <family val="2"/>
    </font>
    <font>
      <sz val="14"/>
      <color rgb="FF003080"/>
      <name val="Arial"/>
      <family val="2"/>
    </font>
    <font>
      <sz val="9"/>
      <color theme="1"/>
      <name val="Arial"/>
      <family val="2"/>
    </font>
    <font>
      <b/>
      <sz val="14"/>
      <color theme="7" tint="-0.499984740745262"/>
      <name val="Arial"/>
      <family val="2"/>
    </font>
    <font>
      <b/>
      <sz val="11"/>
      <color theme="1"/>
      <name val="Arial"/>
      <family val="2"/>
    </font>
    <font>
      <b/>
      <sz val="10"/>
      <color theme="1"/>
      <name val="Arial"/>
      <family val="2"/>
    </font>
    <font>
      <sz val="9"/>
      <color indexed="81"/>
      <name val="Tahoma"/>
      <family val="2"/>
    </font>
    <font>
      <b/>
      <sz val="9"/>
      <color indexed="81"/>
      <name val="Tahoma"/>
      <family val="2"/>
    </font>
    <font>
      <sz val="10"/>
      <name val="Arial"/>
      <family val="2"/>
    </font>
    <font>
      <sz val="10"/>
      <color theme="5" tint="-0.499984740745262"/>
      <name val="Arial"/>
      <family val="2"/>
    </font>
    <font>
      <sz val="10"/>
      <color rgb="FFC00000"/>
      <name val="Arial"/>
      <family val="2"/>
    </font>
    <font>
      <sz val="11"/>
      <color rgb="FFC00000"/>
      <name val="Arial"/>
      <family val="2"/>
    </font>
    <font>
      <sz val="12"/>
      <color theme="7" tint="-0.499984740745262"/>
      <name val="Arial"/>
      <family val="2"/>
    </font>
    <font>
      <b/>
      <sz val="10"/>
      <color rgb="FFC00000"/>
      <name val="Arial"/>
      <family val="2"/>
    </font>
    <font>
      <u/>
      <sz val="11"/>
      <color theme="10"/>
      <name val="Arial"/>
      <family val="2"/>
    </font>
    <font>
      <b/>
      <sz val="10"/>
      <name val="Arial"/>
      <family val="2"/>
    </font>
    <font>
      <sz val="10"/>
      <color indexed="53"/>
      <name val="Arial"/>
      <family val="2"/>
    </font>
    <font>
      <b/>
      <sz val="8"/>
      <color indexed="81"/>
      <name val="Tahoma"/>
      <family val="2"/>
    </font>
    <font>
      <b/>
      <sz val="10"/>
      <color rgb="FF008000"/>
      <name val="Arial"/>
      <family val="2"/>
    </font>
    <font>
      <b/>
      <sz val="36"/>
      <color rgb="FF002060"/>
      <name val="Arial"/>
      <family val="2"/>
    </font>
    <font>
      <sz val="20"/>
      <color rgb="FF002060"/>
      <name val="Arial"/>
      <family val="2"/>
    </font>
    <font>
      <sz val="11"/>
      <color rgb="FF002060"/>
      <name val="Arial"/>
      <family val="2"/>
    </font>
    <font>
      <b/>
      <sz val="11"/>
      <color rgb="FF002060"/>
      <name val="Arial"/>
      <family val="2"/>
    </font>
    <font>
      <b/>
      <u/>
      <sz val="11"/>
      <color rgb="FF002060"/>
      <name val="Arial"/>
      <family val="2"/>
    </font>
    <font>
      <u/>
      <sz val="11"/>
      <color rgb="FF002060"/>
      <name val="Arial"/>
      <family val="2"/>
    </font>
    <font>
      <b/>
      <sz val="11"/>
      <color theme="8" tint="-0.249977111117893"/>
      <name val="Arial"/>
      <family val="2"/>
    </font>
    <font>
      <b/>
      <u/>
      <sz val="11"/>
      <color theme="8" tint="-0.249977111117893"/>
      <name val="Arial"/>
      <family val="2"/>
    </font>
    <font>
      <b/>
      <sz val="14"/>
      <color theme="0"/>
      <name val="Arial"/>
      <family val="2"/>
    </font>
    <font>
      <b/>
      <sz val="11"/>
      <color theme="0" tint="-0.34998626667073579"/>
      <name val="Calibri"/>
      <family val="2"/>
      <scheme val="minor"/>
    </font>
    <font>
      <b/>
      <sz val="14"/>
      <color theme="7" tint="-0.249977111117893"/>
      <name val="Arial"/>
      <family val="2"/>
    </font>
    <font>
      <b/>
      <sz val="12"/>
      <color theme="0"/>
      <name val="Calibri"/>
      <family val="2"/>
      <scheme val="minor"/>
    </font>
    <font>
      <b/>
      <sz val="12"/>
      <color theme="1"/>
      <name val="Arial"/>
      <family val="2"/>
    </font>
    <font>
      <sz val="10"/>
      <color rgb="FFFF0000"/>
      <name val="Arial"/>
      <family val="2"/>
    </font>
    <font>
      <i/>
      <sz val="9"/>
      <color indexed="81"/>
      <name val="Tahoma"/>
      <family val="2"/>
    </font>
    <font>
      <sz val="12"/>
      <color rgb="FFC00000"/>
      <name val="Calibri"/>
      <family val="2"/>
      <scheme val="minor"/>
    </font>
    <font>
      <sz val="11"/>
      <color theme="1"/>
      <name val="Calibri"/>
      <family val="2"/>
      <scheme val="minor"/>
    </font>
    <font>
      <b/>
      <sz val="18"/>
      <color theme="7" tint="-0.499984740745262"/>
      <name val="Arial"/>
      <family val="2"/>
    </font>
    <font>
      <strike/>
      <sz val="11"/>
      <color theme="1"/>
      <name val="Calibri"/>
      <family val="2"/>
      <scheme val="minor"/>
    </font>
    <font>
      <strike/>
      <sz val="10"/>
      <color rgb="FFFF0000"/>
      <name val="Arial"/>
      <family val="2"/>
    </font>
    <font>
      <b/>
      <sz val="14"/>
      <color theme="8" tint="-0.249977111117893"/>
      <name val="Arial"/>
      <family val="2"/>
    </font>
    <font>
      <b/>
      <sz val="12"/>
      <color rgb="FFC00000"/>
      <name val="Arial"/>
      <family val="2"/>
    </font>
    <font>
      <sz val="14"/>
      <color theme="7" tint="-0.499984740745262"/>
      <name val="Arial"/>
      <family val="2"/>
    </font>
    <font>
      <b/>
      <sz val="14"/>
      <name val="Arial"/>
      <family val="2"/>
    </font>
    <font>
      <b/>
      <sz val="24"/>
      <color theme="9" tint="-0.249977111117893"/>
      <name val="Arial"/>
      <family val="2"/>
    </font>
    <font>
      <b/>
      <i/>
      <sz val="24"/>
      <color theme="9" tint="-0.249977111117893"/>
      <name val="Arial"/>
      <family val="2"/>
    </font>
    <font>
      <sz val="11"/>
      <color theme="0"/>
      <name val="Arial"/>
      <family val="2"/>
    </font>
    <font>
      <sz val="22"/>
      <color rgb="FF002060"/>
      <name val="Arial"/>
      <family val="2"/>
    </font>
    <font>
      <b/>
      <sz val="22"/>
      <color rgb="FF002060"/>
      <name val="Arial"/>
      <family val="2"/>
    </font>
    <font>
      <b/>
      <sz val="11"/>
      <color theme="0" tint="-0.34998626667073579"/>
      <name val="Arial"/>
      <family val="2"/>
    </font>
    <font>
      <b/>
      <sz val="18"/>
      <color rgb="FFC00000"/>
      <name val="Arial"/>
      <family val="2"/>
    </font>
    <font>
      <b/>
      <sz val="36"/>
      <color theme="0"/>
      <name val="Arial"/>
      <family val="2"/>
    </font>
    <font>
      <b/>
      <sz val="12"/>
      <color rgb="FF0070C0"/>
      <name val="Arial"/>
      <family val="2"/>
    </font>
    <font>
      <sz val="11"/>
      <color theme="0" tint="-0.499984740745262"/>
      <name val="Arial"/>
      <family val="2"/>
    </font>
    <font>
      <sz val="11"/>
      <color theme="0" tint="-0.14999847407452621"/>
      <name val="Arial"/>
      <family val="2"/>
    </font>
    <font>
      <sz val="12"/>
      <color theme="1"/>
      <name val="Arial"/>
      <family val="2"/>
    </font>
    <font>
      <sz val="9"/>
      <color theme="0"/>
      <name val="Arial"/>
      <family val="2"/>
    </font>
    <font>
      <sz val="11"/>
      <color rgb="FF0070C0"/>
      <name val="Arial"/>
      <family val="2"/>
    </font>
    <font>
      <sz val="16"/>
      <color rgb="FFC00000"/>
      <name val="Arial"/>
      <family val="2"/>
    </font>
    <font>
      <b/>
      <i/>
      <sz val="11"/>
      <color theme="0" tint="-0.34998626667073579"/>
      <name val="Arial"/>
      <family val="2"/>
    </font>
    <font>
      <sz val="11"/>
      <color rgb="FFFF0000"/>
      <name val="Arial"/>
      <family val="2"/>
    </font>
    <font>
      <sz val="11"/>
      <name val="Arial"/>
      <family val="2"/>
    </font>
    <font>
      <sz val="12"/>
      <name val="Arial"/>
      <family val="2"/>
    </font>
    <font>
      <b/>
      <sz val="11"/>
      <color theme="0"/>
      <name val="Arial"/>
      <family val="2"/>
    </font>
    <font>
      <sz val="11"/>
      <color theme="5" tint="-0.249977111117893"/>
      <name val="Arial"/>
      <family val="2"/>
    </font>
    <font>
      <b/>
      <sz val="12"/>
      <color theme="0"/>
      <name val="Arial"/>
      <family val="2"/>
    </font>
    <font>
      <b/>
      <sz val="12"/>
      <color theme="5" tint="-0.249977111117893"/>
      <name val="Arial"/>
      <family val="2"/>
    </font>
    <font>
      <b/>
      <sz val="14"/>
      <color theme="9" tint="-0.249977111117893"/>
      <name val="Arial"/>
      <family val="2"/>
    </font>
    <font>
      <sz val="12"/>
      <color theme="0"/>
      <name val="Arial"/>
      <family val="2"/>
    </font>
    <font>
      <sz val="11"/>
      <color rgb="FF7030A0"/>
      <name val="Arial"/>
      <family val="2"/>
    </font>
    <font>
      <b/>
      <sz val="12"/>
      <color rgb="FF7030A0"/>
      <name val="Arial"/>
      <family val="2"/>
    </font>
    <font>
      <i/>
      <sz val="12"/>
      <color theme="1"/>
      <name val="Arial"/>
      <family val="2"/>
    </font>
    <font>
      <b/>
      <sz val="11"/>
      <color rgb="FF7030A0"/>
      <name val="Arial"/>
      <family val="2"/>
    </font>
    <font>
      <b/>
      <sz val="12"/>
      <name val="Arial"/>
      <family val="2"/>
    </font>
    <font>
      <b/>
      <sz val="14"/>
      <color rgb="FFC00000"/>
      <name val="Arial"/>
      <family val="2"/>
    </font>
    <font>
      <i/>
      <sz val="11"/>
      <color theme="1" tint="0.34998626667073579"/>
      <name val="Arial"/>
      <family val="2"/>
    </font>
    <font>
      <b/>
      <sz val="18"/>
      <color theme="1"/>
      <name val="Arial"/>
      <family val="2"/>
    </font>
    <font>
      <i/>
      <sz val="11"/>
      <color theme="1"/>
      <name val="Arial"/>
      <family val="2"/>
    </font>
    <font>
      <i/>
      <sz val="10"/>
      <color theme="1"/>
      <name val="Arial"/>
      <family val="2"/>
    </font>
    <font>
      <sz val="12"/>
      <color rgb="FF0070C0"/>
      <name val="Arial"/>
      <family val="2"/>
    </font>
    <font>
      <b/>
      <sz val="14"/>
      <color theme="1"/>
      <name val="Arial"/>
      <family val="2"/>
    </font>
    <font>
      <b/>
      <sz val="11"/>
      <name val="Arial"/>
      <family val="2"/>
    </font>
    <font>
      <b/>
      <sz val="11"/>
      <color theme="2" tint="-0.499984740745262"/>
      <name val="Arial"/>
      <family val="2"/>
    </font>
    <font>
      <b/>
      <sz val="14"/>
      <color theme="2" tint="-0.249977111117893"/>
      <name val="Arial"/>
      <family val="2"/>
    </font>
    <font>
      <i/>
      <sz val="11"/>
      <color theme="6" tint="-0.499984740745262"/>
      <name val="Arial"/>
      <family val="2"/>
    </font>
    <font>
      <b/>
      <i/>
      <sz val="12"/>
      <color theme="1"/>
      <name val="Arial"/>
      <family val="2"/>
    </font>
    <font>
      <sz val="11"/>
      <color theme="6" tint="-0.499984740745262"/>
      <name val="Arial"/>
      <family val="2"/>
    </font>
    <font>
      <b/>
      <sz val="14"/>
      <color theme="5" tint="-0.249977111117893"/>
      <name val="Arial"/>
      <family val="2"/>
    </font>
    <font>
      <b/>
      <sz val="16"/>
      <color theme="1"/>
      <name val="Arial"/>
      <family val="2"/>
    </font>
    <font>
      <b/>
      <sz val="11"/>
      <color rgb="FFC00000"/>
      <name val="Arial"/>
      <family val="2"/>
    </font>
    <font>
      <b/>
      <sz val="16"/>
      <color theme="5" tint="-0.249977111117893"/>
      <name val="Arial"/>
      <family val="2"/>
    </font>
    <font>
      <b/>
      <sz val="16"/>
      <name val="Arial"/>
      <family val="2"/>
    </font>
    <font>
      <b/>
      <sz val="11"/>
      <color rgb="FF0070C0"/>
      <name val="Arial"/>
      <family val="2"/>
    </font>
    <font>
      <b/>
      <sz val="18"/>
      <color theme="8" tint="-0.499984740745262"/>
      <name val="Arial"/>
      <family val="2"/>
    </font>
    <font>
      <i/>
      <sz val="11"/>
      <name val="Arial"/>
      <family val="2"/>
    </font>
    <font>
      <b/>
      <sz val="10"/>
      <color rgb="FF7030A0"/>
      <name val="Arial"/>
      <family val="2"/>
    </font>
    <font>
      <b/>
      <sz val="11"/>
      <color theme="0" tint="-0.499984740745262"/>
      <name val="Arial"/>
      <family val="2"/>
    </font>
    <font>
      <sz val="11"/>
      <color theme="1" tint="0.499984740745262"/>
      <name val="Arial"/>
      <family val="2"/>
    </font>
    <font>
      <b/>
      <sz val="14"/>
      <color rgb="FF0070C0"/>
      <name val="Arial"/>
      <family val="2"/>
    </font>
    <font>
      <b/>
      <sz val="18"/>
      <color theme="0"/>
      <name val="Arial"/>
      <family val="2"/>
    </font>
    <font>
      <sz val="12"/>
      <color rgb="FFC00000"/>
      <name val="Arial"/>
      <family val="2"/>
    </font>
    <font>
      <sz val="12"/>
      <color rgb="FF7030A0"/>
      <name val="Arial"/>
      <family val="2"/>
    </font>
    <font>
      <b/>
      <sz val="20"/>
      <color theme="1"/>
      <name val="Arial"/>
      <family val="2"/>
    </font>
    <font>
      <b/>
      <sz val="11"/>
      <color rgb="FFFF0000"/>
      <name val="Arial"/>
      <family val="2"/>
    </font>
    <font>
      <sz val="10"/>
      <color rgb="FF7030A0"/>
      <name val="Arial"/>
      <family val="2"/>
    </font>
    <font>
      <sz val="24"/>
      <color theme="1"/>
      <name val="Arial"/>
      <family val="2"/>
    </font>
    <font>
      <b/>
      <sz val="24"/>
      <color theme="1"/>
      <name val="Arial"/>
      <family val="2"/>
    </font>
    <font>
      <strike/>
      <sz val="11"/>
      <color theme="1"/>
      <name val="Arial"/>
      <family val="2"/>
    </font>
    <font>
      <strike/>
      <sz val="11"/>
      <color rgb="FFFF0000"/>
      <name val="Arial"/>
      <family val="2"/>
    </font>
    <font>
      <b/>
      <sz val="24"/>
      <name val="Arial"/>
      <family val="2"/>
    </font>
    <font>
      <b/>
      <sz val="18"/>
      <name val="Arial"/>
      <family val="2"/>
    </font>
    <font>
      <sz val="11"/>
      <color rgb="FFFF0000"/>
      <name val="Calibri"/>
      <family val="2"/>
      <scheme val="minor"/>
    </font>
    <font>
      <sz val="9"/>
      <color indexed="81"/>
      <name val="Tahoma"/>
      <charset val="1"/>
    </font>
  </fonts>
  <fills count="38">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ECF5E7"/>
        <bgColor indexed="64"/>
      </patternFill>
    </fill>
    <fill>
      <patternFill patternType="solid">
        <fgColor rgb="FFEFF6FB"/>
        <bgColor indexed="64"/>
      </patternFill>
    </fill>
    <fill>
      <patternFill patternType="solid">
        <fgColor rgb="FFFCE5D8"/>
        <bgColor indexed="64"/>
      </patternFill>
    </fill>
    <fill>
      <patternFill patternType="solid">
        <fgColor rgb="FFFCE7DC"/>
        <bgColor indexed="64"/>
      </patternFill>
    </fill>
    <fill>
      <patternFill patternType="solid">
        <fgColor rgb="FFDDEBF7"/>
        <bgColor indexed="64"/>
      </patternFill>
    </fill>
    <fill>
      <patternFill patternType="solid">
        <fgColor rgb="FFEFF6EA"/>
        <bgColor indexed="64"/>
      </patternFill>
    </fill>
    <fill>
      <patternFill patternType="solid">
        <fgColor rgb="FFD5B8EA"/>
        <bgColor indexed="64"/>
      </patternFill>
    </fill>
    <fill>
      <patternFill patternType="solid">
        <fgColor indexed="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3"/>
        <bgColor indexed="64"/>
      </patternFill>
    </fill>
    <fill>
      <patternFill patternType="solid">
        <fgColor theme="5" tint="0.59999389629810485"/>
        <bgColor indexed="64"/>
      </patternFill>
    </fill>
    <fill>
      <patternFill patternType="solid">
        <fgColor rgb="FF00B0F0"/>
        <bgColor indexed="64"/>
      </patternFill>
    </fill>
    <fill>
      <patternFill patternType="solid">
        <fgColor theme="9" tint="0.39997558519241921"/>
        <bgColor indexed="64"/>
      </patternFill>
    </fill>
    <fill>
      <patternFill patternType="solid">
        <fgColor rgb="FFFFC7CE"/>
        <bgColor indexed="64"/>
      </patternFill>
    </fill>
    <fill>
      <patternFill patternType="solid">
        <fgColor theme="3" tint="0.59999389629810485"/>
        <bgColor indexed="64"/>
      </patternFill>
    </fill>
    <fill>
      <patternFill patternType="solid">
        <fgColor rgb="FFEDE2F6"/>
        <bgColor indexed="64"/>
      </patternFill>
    </fill>
    <fill>
      <patternFill patternType="solid">
        <fgColor theme="8" tint="-0.249977111117893"/>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E1CCF0"/>
        <bgColor indexed="64"/>
      </patternFill>
    </fill>
    <fill>
      <patternFill patternType="solid">
        <fgColor rgb="FFFFD5DA"/>
        <bgColor indexed="64"/>
      </patternFill>
    </fill>
    <fill>
      <patternFill patternType="solid">
        <fgColor rgb="FFFFD9DE"/>
        <bgColor indexed="64"/>
      </patternFill>
    </fill>
    <fill>
      <patternFill patternType="solid">
        <fgColor theme="3" tint="-0.249977111117893"/>
        <bgColor indexed="64"/>
      </patternFill>
    </fill>
    <fill>
      <patternFill patternType="solid">
        <fgColor rgb="FF7030A0"/>
        <bgColor indexed="64"/>
      </patternFill>
    </fill>
    <fill>
      <patternFill patternType="solid">
        <fgColor rgb="FFE2C5FF"/>
        <bgColor indexed="64"/>
      </patternFill>
    </fill>
    <fill>
      <patternFill patternType="solid">
        <fgColor rgb="FF0070C0"/>
        <bgColor indexed="64"/>
      </patternFill>
    </fill>
    <fill>
      <patternFill patternType="solid">
        <fgColor theme="8" tint="0.79998168889431442"/>
        <bgColor indexed="64"/>
      </patternFill>
    </fill>
    <fill>
      <patternFill patternType="solid">
        <fgColor rgb="FF00CCFF"/>
        <bgColor indexed="64"/>
      </patternFill>
    </fill>
    <fill>
      <patternFill patternType="solid">
        <fgColor rgb="FFFCE4D6"/>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style="thin">
        <color indexed="64"/>
      </right>
      <top style="double">
        <color indexed="64"/>
      </top>
      <bottom/>
      <diagonal/>
    </border>
    <border>
      <left/>
      <right/>
      <top/>
      <bottom style="medium">
        <color indexed="64"/>
      </bottom>
      <diagonal/>
    </border>
  </borders>
  <cellStyleXfs count="3">
    <xf numFmtId="0" fontId="0" fillId="0" borderId="0"/>
    <xf numFmtId="0" fontId="37" fillId="0" borderId="0" applyNumberFormat="0" applyFill="0" applyBorder="0" applyAlignment="0" applyProtection="0"/>
    <xf numFmtId="0" fontId="42" fillId="0" borderId="0"/>
  </cellStyleXfs>
  <cellXfs count="619">
    <xf numFmtId="0" fontId="0" fillId="0" borderId="0" xfId="0"/>
    <xf numFmtId="0" fontId="1" fillId="0" borderId="0" xfId="0" applyFont="1"/>
    <xf numFmtId="0" fontId="7" fillId="4" borderId="1" xfId="0" applyFont="1" applyFill="1" applyBorder="1" applyAlignment="1">
      <alignment vertical="center"/>
    </xf>
    <xf numFmtId="0" fontId="7" fillId="4" borderId="1" xfId="0" applyFont="1" applyFill="1" applyBorder="1"/>
    <xf numFmtId="0" fontId="10" fillId="0" borderId="0" xfId="0" applyFont="1"/>
    <xf numFmtId="0" fontId="1" fillId="0" borderId="0" xfId="0" applyFont="1" applyAlignment="1">
      <alignment horizontal="left" indent="1"/>
    </xf>
    <xf numFmtId="0" fontId="5" fillId="0" borderId="0" xfId="0" applyFont="1"/>
    <xf numFmtId="0" fontId="2" fillId="0" borderId="0" xfId="0" applyFont="1" applyAlignment="1">
      <alignment horizontal="left" indent="2"/>
    </xf>
    <xf numFmtId="0" fontId="18" fillId="0" borderId="0" xfId="0" applyFont="1"/>
    <xf numFmtId="0" fontId="21" fillId="4" borderId="1" xfId="1" applyFont="1" applyFill="1" applyBorder="1" applyProtection="1">
      <protection locked="0"/>
    </xf>
    <xf numFmtId="0" fontId="1" fillId="0" borderId="0" xfId="0" applyFont="1" applyAlignment="1">
      <alignment horizontal="left" vertical="center" indent="1"/>
    </xf>
    <xf numFmtId="0" fontId="0" fillId="0" borderId="0" xfId="0" applyAlignment="1">
      <alignment vertical="top"/>
    </xf>
    <xf numFmtId="0" fontId="23" fillId="0" borderId="0" xfId="0" applyFont="1" applyAlignment="1">
      <alignment horizontal="left" vertical="center" wrapText="1" indent="1"/>
    </xf>
    <xf numFmtId="0" fontId="15" fillId="11" borderId="1" xfId="0" applyFont="1" applyFill="1" applyBorder="1" applyAlignment="1">
      <alignment horizontal="left" vertical="center" wrapText="1" indent="1"/>
    </xf>
    <xf numFmtId="0" fontId="28" fillId="0" borderId="0" xfId="0" applyFont="1"/>
    <xf numFmtId="0" fontId="30" fillId="0" borderId="0" xfId="0" applyFont="1"/>
    <xf numFmtId="0" fontId="1" fillId="0" borderId="0" xfId="0" applyFont="1" applyAlignment="1">
      <alignment horizontal="center" wrapText="1"/>
    </xf>
    <xf numFmtId="0" fontId="19" fillId="0" borderId="0" xfId="0" applyFont="1"/>
    <xf numFmtId="0" fontId="35" fillId="0" borderId="0" xfId="0" applyFont="1"/>
    <xf numFmtId="0" fontId="1" fillId="0" borderId="0" xfId="0" applyFont="1" applyAlignment="1">
      <alignment wrapText="1"/>
    </xf>
    <xf numFmtId="0" fontId="0" fillId="14" borderId="0" xfId="0" applyFill="1"/>
    <xf numFmtId="0" fontId="15" fillId="0" borderId="0" xfId="0" applyFont="1"/>
    <xf numFmtId="0" fontId="16" fillId="0" borderId="0" xfId="0" applyFont="1"/>
    <xf numFmtId="0" fontId="10" fillId="0" borderId="0" xfId="0" applyFont="1" applyAlignment="1">
      <alignment horizontal="center"/>
    </xf>
    <xf numFmtId="0" fontId="0" fillId="0" borderId="0" xfId="0" applyAlignment="1">
      <alignment horizontal="center"/>
    </xf>
    <xf numFmtId="0" fontId="36" fillId="0" borderId="0" xfId="0" applyFont="1"/>
    <xf numFmtId="0" fontId="38" fillId="0" borderId="0" xfId="0" applyFont="1"/>
    <xf numFmtId="0" fontId="17" fillId="0" borderId="0" xfId="0" applyFont="1" applyAlignment="1">
      <alignment horizontal="left" indent="2"/>
    </xf>
    <xf numFmtId="0" fontId="17" fillId="0" borderId="0" xfId="0" applyFont="1"/>
    <xf numFmtId="0" fontId="10" fillId="0" borderId="0" xfId="0" applyFont="1" applyAlignment="1">
      <alignment vertical="center"/>
    </xf>
    <xf numFmtId="0" fontId="10" fillId="15" borderId="0" xfId="0" applyFont="1" applyFill="1" applyAlignment="1">
      <alignment vertical="center"/>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lignment vertical="center"/>
    </xf>
    <xf numFmtId="0" fontId="10" fillId="0" borderId="0" xfId="2" applyFont="1"/>
    <xf numFmtId="0" fontId="12" fillId="0" borderId="0" xfId="0" applyFont="1" applyAlignment="1">
      <alignment horizontal="center" vertical="center" wrapText="1"/>
    </xf>
    <xf numFmtId="0" fontId="12" fillId="0" borderId="0" xfId="0" applyFont="1" applyAlignment="1">
      <alignment vertical="center"/>
    </xf>
    <xf numFmtId="0" fontId="1" fillId="0" borderId="0" xfId="0" applyFont="1" applyAlignment="1">
      <alignment horizontal="left"/>
    </xf>
    <xf numFmtId="0" fontId="0" fillId="14" borderId="0" xfId="0" applyFill="1" applyAlignment="1">
      <alignment wrapText="1"/>
    </xf>
    <xf numFmtId="0" fontId="43" fillId="0" borderId="0" xfId="0" applyFont="1"/>
    <xf numFmtId="0" fontId="1" fillId="14" borderId="0" xfId="0" applyFont="1" applyFill="1"/>
    <xf numFmtId="0" fontId="2" fillId="0" borderId="0" xfId="0" applyFont="1"/>
    <xf numFmtId="0" fontId="2" fillId="0" borderId="12" xfId="0" applyFont="1" applyBorder="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44" fillId="0" borderId="0" xfId="0" applyFont="1"/>
    <xf numFmtId="0" fontId="45" fillId="0" borderId="0" xfId="0" applyFont="1"/>
    <xf numFmtId="0" fontId="9" fillId="21" borderId="1" xfId="0" applyFont="1" applyFill="1" applyBorder="1" applyAlignment="1">
      <alignment horizontal="center"/>
    </xf>
    <xf numFmtId="0" fontId="15" fillId="14" borderId="0" xfId="0" applyFont="1" applyFill="1" applyAlignment="1">
      <alignment vertical="center" wrapText="1"/>
    </xf>
    <xf numFmtId="0" fontId="1" fillId="0" borderId="0" xfId="0" applyFont="1" applyAlignment="1" applyProtection="1">
      <alignment vertical="center" wrapText="1"/>
      <protection locked="0"/>
    </xf>
    <xf numFmtId="0" fontId="9" fillId="21" borderId="1" xfId="0" applyFont="1" applyFill="1" applyBorder="1" applyAlignment="1">
      <alignment horizontal="center" wrapText="1"/>
    </xf>
    <xf numFmtId="0" fontId="9" fillId="21" borderId="1" xfId="0" applyFont="1" applyFill="1" applyBorder="1" applyAlignment="1">
      <alignment horizontal="center" vertical="center" wrapText="1"/>
    </xf>
    <xf numFmtId="0" fontId="39" fillId="0" borderId="0" xfId="0" applyFont="1" applyAlignment="1">
      <alignment vertical="center" wrapText="1"/>
    </xf>
    <xf numFmtId="0" fontId="10" fillId="0" borderId="0" xfId="0" applyFont="1" applyAlignment="1">
      <alignment wrapText="1"/>
    </xf>
    <xf numFmtId="0" fontId="4" fillId="9" borderId="1" xfId="0" applyFont="1" applyFill="1" applyBorder="1" applyAlignment="1">
      <alignment horizontal="center" vertical="center" wrapText="1"/>
    </xf>
    <xf numFmtId="0" fontId="1" fillId="0" borderId="0" xfId="0" applyFont="1" applyAlignment="1">
      <alignment horizontal="left" vertical="center" wrapText="1" indent="1"/>
    </xf>
    <xf numFmtId="0" fontId="1" fillId="0" borderId="0" xfId="0" applyFont="1" applyAlignment="1">
      <alignment horizontal="justify" wrapText="1"/>
    </xf>
    <xf numFmtId="0" fontId="1" fillId="0" borderId="0" xfId="0" applyFont="1" applyAlignment="1">
      <alignment horizontal="right"/>
    </xf>
    <xf numFmtId="0" fontId="7" fillId="4" borderId="1" xfId="0" applyFont="1" applyFill="1" applyBorder="1" applyAlignment="1">
      <alignment horizontal="center" vertical="center"/>
    </xf>
    <xf numFmtId="0" fontId="11"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Protection="1">
      <protection locked="0"/>
    </xf>
    <xf numFmtId="0" fontId="52" fillId="0" borderId="0" xfId="0" applyFont="1"/>
    <xf numFmtId="0" fontId="55" fillId="0" borderId="0" xfId="0" applyFont="1"/>
    <xf numFmtId="0" fontId="18" fillId="0" borderId="0" xfId="0" applyFont="1" applyAlignment="1">
      <alignment horizontal="center" vertical="center" wrapText="1"/>
    </xf>
    <xf numFmtId="0" fontId="58" fillId="4" borderId="1" xfId="1" applyFont="1" applyFill="1" applyBorder="1" applyProtection="1">
      <protection locked="0"/>
    </xf>
    <xf numFmtId="0" fontId="59" fillId="0" borderId="0" xfId="0" applyFont="1"/>
    <xf numFmtId="0" fontId="2" fillId="0" borderId="0" xfId="0" quotePrefix="1" applyFont="1"/>
    <xf numFmtId="0" fontId="61" fillId="12" borderId="1" xfId="0" applyFont="1" applyFill="1" applyBorder="1" applyAlignment="1" applyProtection="1">
      <alignment horizontal="center" vertical="center"/>
      <protection locked="0"/>
    </xf>
    <xf numFmtId="0" fontId="62" fillId="0" borderId="0" xfId="0" applyFont="1" applyAlignment="1">
      <alignment horizontal="center"/>
    </xf>
    <xf numFmtId="0" fontId="18" fillId="0" borderId="0" xfId="0" applyFont="1" applyAlignment="1">
      <alignment wrapText="1"/>
    </xf>
    <xf numFmtId="0" fontId="63" fillId="12" borderId="1" xfId="0" applyFont="1" applyFill="1" applyBorder="1" applyProtection="1">
      <protection locked="0"/>
    </xf>
    <xf numFmtId="0" fontId="2" fillId="0" borderId="0" xfId="0" applyFont="1" applyAlignment="1">
      <alignment horizontal="right"/>
    </xf>
    <xf numFmtId="0" fontId="63" fillId="12" borderId="1" xfId="0" applyFont="1" applyFill="1" applyBorder="1" applyAlignment="1" applyProtection="1">
      <alignment horizontal="center"/>
      <protection locked="0"/>
    </xf>
    <xf numFmtId="165" fontId="63" fillId="12" borderId="1" xfId="0" applyNumberFormat="1" applyFont="1" applyFill="1" applyBorder="1" applyAlignment="1" applyProtection="1">
      <alignment horizontal="center"/>
      <protection locked="0"/>
    </xf>
    <xf numFmtId="0" fontId="2" fillId="0" borderId="0" xfId="0" applyFont="1" applyAlignment="1">
      <alignment horizontal="left" indent="1"/>
    </xf>
    <xf numFmtId="0" fontId="2" fillId="0" borderId="0" xfId="0" quotePrefix="1" applyFont="1" applyAlignment="1">
      <alignment vertical="center"/>
    </xf>
    <xf numFmtId="0" fontId="63" fillId="12" borderId="1" xfId="0" applyFont="1" applyFill="1" applyBorder="1" applyAlignment="1" applyProtection="1">
      <alignment horizontal="center" vertical="center"/>
      <protection locked="0"/>
    </xf>
    <xf numFmtId="0" fontId="5" fillId="0" borderId="0" xfId="0" applyFont="1" applyAlignment="1">
      <alignment vertical="center"/>
    </xf>
    <xf numFmtId="0" fontId="63" fillId="0" borderId="0" xfId="0" applyFont="1" applyProtection="1">
      <protection locked="0"/>
    </xf>
    <xf numFmtId="0" fontId="63" fillId="0" borderId="0" xfId="0" applyFont="1" applyAlignment="1" applyProtection="1">
      <alignment horizontal="center"/>
      <protection locked="0"/>
    </xf>
    <xf numFmtId="165" fontId="63" fillId="0" borderId="0" xfId="0" applyNumberFormat="1" applyFont="1" applyAlignment="1" applyProtection="1">
      <alignment horizontal="center"/>
      <protection locked="0"/>
    </xf>
    <xf numFmtId="0" fontId="2" fillId="0" borderId="0" xfId="0" quotePrefix="1" applyFont="1" applyAlignment="1">
      <alignment vertical="top"/>
    </xf>
    <xf numFmtId="0" fontId="32" fillId="12" borderId="0" xfId="0" applyFont="1" applyFill="1" applyAlignment="1" applyProtection="1">
      <alignment horizontal="center" vertical="center" wrapText="1"/>
      <protection locked="0"/>
    </xf>
    <xf numFmtId="0" fontId="2" fillId="15" borderId="0" xfId="0" applyFont="1" applyFill="1" applyAlignment="1">
      <alignment vertical="center"/>
    </xf>
    <xf numFmtId="0" fontId="65" fillId="0" borderId="0" xfId="0" applyFont="1"/>
    <xf numFmtId="0" fontId="66" fillId="0" borderId="0" xfId="0" applyFont="1"/>
    <xf numFmtId="0" fontId="2" fillId="0" borderId="0" xfId="0" applyFont="1" applyAlignment="1">
      <alignment horizontal="center"/>
    </xf>
    <xf numFmtId="0" fontId="67" fillId="0" borderId="0" xfId="0" applyFont="1" applyAlignment="1">
      <alignment wrapText="1"/>
    </xf>
    <xf numFmtId="0" fontId="66" fillId="14" borderId="0" xfId="0" applyFont="1" applyFill="1" applyProtection="1">
      <protection locked="0"/>
    </xf>
    <xf numFmtId="0" fontId="38" fillId="0" borderId="0" xfId="0" quotePrefix="1" applyFont="1" applyAlignment="1">
      <alignment horizontal="center"/>
    </xf>
    <xf numFmtId="0" fontId="63" fillId="7" borderId="1" xfId="0" applyFont="1" applyFill="1" applyBorder="1" applyAlignment="1" applyProtection="1">
      <alignment horizontal="center" vertical="center"/>
      <protection locked="0"/>
    </xf>
    <xf numFmtId="0" fontId="5" fillId="0" borderId="0" xfId="0" applyFont="1" applyAlignment="1">
      <alignment horizontal="left" vertical="center"/>
    </xf>
    <xf numFmtId="0" fontId="69" fillId="34" borderId="0" xfId="0" applyFont="1" applyFill="1" applyAlignment="1">
      <alignment horizontal="center" vertical="center" wrapText="1"/>
    </xf>
    <xf numFmtId="0" fontId="70" fillId="0" borderId="0" xfId="0" applyFont="1"/>
    <xf numFmtId="0" fontId="52" fillId="14" borderId="0" xfId="0" applyFont="1" applyFill="1" applyAlignment="1">
      <alignment horizontal="center"/>
    </xf>
    <xf numFmtId="0" fontId="38" fillId="0" borderId="0" xfId="0" quotePrefix="1" applyFont="1" applyAlignment="1">
      <alignment horizontal="center" vertical="top"/>
    </xf>
    <xf numFmtId="0" fontId="38" fillId="0" borderId="0" xfId="0" applyFont="1" applyAlignment="1">
      <alignment vertical="top"/>
    </xf>
    <xf numFmtId="0" fontId="5" fillId="0" borderId="0" xfId="0" applyFont="1" applyAlignment="1">
      <alignment vertical="top"/>
    </xf>
    <xf numFmtId="0" fontId="2" fillId="0" borderId="0" xfId="0" applyFont="1" applyAlignment="1">
      <alignment horizontal="right" vertical="center"/>
    </xf>
    <xf numFmtId="0" fontId="63" fillId="14" borderId="0" xfId="0" applyFont="1" applyFill="1" applyAlignment="1" applyProtection="1">
      <alignment horizontal="left" vertical="center" wrapText="1"/>
      <protection locked="0"/>
    </xf>
    <xf numFmtId="0" fontId="63" fillId="14" borderId="0" xfId="0" applyFont="1" applyFill="1" applyAlignment="1" applyProtection="1">
      <alignment horizontal="center" vertical="center"/>
      <protection locked="0"/>
    </xf>
    <xf numFmtId="0" fontId="38" fillId="0" borderId="0" xfId="0" quotePrefix="1" applyFont="1" applyAlignment="1">
      <alignment horizontal="center" vertical="center" wrapText="1"/>
    </xf>
    <xf numFmtId="0" fontId="38" fillId="0" borderId="0" xfId="0" applyFont="1" applyAlignment="1">
      <alignment vertical="center" wrapText="1"/>
    </xf>
    <xf numFmtId="0" fontId="67" fillId="0" borderId="0" xfId="0" applyFont="1" applyAlignment="1">
      <alignment vertical="center"/>
    </xf>
    <xf numFmtId="0" fontId="2" fillId="0" borderId="0" xfId="0" quotePrefix="1" applyFont="1" applyAlignment="1">
      <alignment horizontal="center"/>
    </xf>
    <xf numFmtId="0" fontId="75" fillId="0" borderId="0" xfId="0" applyFont="1" applyAlignment="1">
      <alignment horizontal="center" vertical="center" wrapText="1"/>
    </xf>
    <xf numFmtId="0" fontId="76" fillId="0" borderId="0" xfId="1" applyFont="1" applyAlignment="1" applyProtection="1">
      <alignment horizontal="center" vertical="center" wrapText="1"/>
      <protection locked="0"/>
    </xf>
    <xf numFmtId="0" fontId="38" fillId="0" borderId="0" xfId="0" quotePrefix="1" applyFont="1" applyAlignment="1">
      <alignment horizontal="center" vertical="top" wrapText="1"/>
    </xf>
    <xf numFmtId="0" fontId="7" fillId="0" borderId="0" xfId="0" applyFont="1"/>
    <xf numFmtId="0" fontId="78" fillId="0" borderId="0" xfId="0" applyFont="1" applyAlignment="1">
      <alignment vertical="top"/>
    </xf>
    <xf numFmtId="0" fontId="66" fillId="14" borderId="0" xfId="0" applyFont="1" applyFill="1"/>
    <xf numFmtId="0" fontId="38" fillId="0" borderId="0" xfId="0" quotePrefix="1" applyFont="1" applyAlignment="1">
      <alignment horizontal="center" vertical="center"/>
    </xf>
    <xf numFmtId="0" fontId="38" fillId="0" borderId="0" xfId="0" applyFont="1" applyAlignment="1">
      <alignment wrapText="1"/>
    </xf>
    <xf numFmtId="0" fontId="5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wrapText="1"/>
    </xf>
    <xf numFmtId="0" fontId="34" fillId="0" borderId="0" xfId="0" applyFont="1" applyAlignment="1">
      <alignment vertical="top"/>
    </xf>
    <xf numFmtId="164" fontId="63" fillId="0" borderId="0" xfId="0" applyNumberFormat="1" applyFont="1" applyAlignment="1" applyProtection="1">
      <alignment horizontal="center" vertical="center"/>
      <protection locked="0"/>
    </xf>
    <xf numFmtId="0" fontId="38" fillId="0" borderId="0" xfId="0" applyFont="1" applyAlignment="1">
      <alignment horizontal="center" vertical="top" wrapText="1"/>
    </xf>
    <xf numFmtId="0" fontId="18" fillId="0" borderId="0" xfId="0" applyFont="1" applyAlignment="1">
      <alignment vertical="center"/>
    </xf>
    <xf numFmtId="0" fontId="34" fillId="0" borderId="0" xfId="0" applyFont="1"/>
    <xf numFmtId="0" fontId="38" fillId="0" borderId="0" xfId="0" applyFont="1" applyAlignment="1">
      <alignment horizontal="center" vertical="center"/>
    </xf>
    <xf numFmtId="166" fontId="63" fillId="14" borderId="0" xfId="0" applyNumberFormat="1" applyFont="1" applyFill="1" applyAlignment="1" applyProtection="1">
      <alignment horizontal="center" vertical="center" wrapText="1"/>
      <protection locked="0"/>
    </xf>
    <xf numFmtId="0" fontId="38" fillId="0" borderId="0" xfId="0" applyFont="1" applyAlignment="1">
      <alignment vertical="center"/>
    </xf>
    <xf numFmtId="0" fontId="80" fillId="0" borderId="0" xfId="0" applyFont="1" applyAlignment="1">
      <alignment vertical="center"/>
    </xf>
    <xf numFmtId="0" fontId="11" fillId="0" borderId="0" xfId="0" applyFont="1" applyAlignment="1">
      <alignment vertical="center" wrapText="1"/>
    </xf>
    <xf numFmtId="0" fontId="67" fillId="0" borderId="0" xfId="0" applyFont="1"/>
    <xf numFmtId="0" fontId="2" fillId="0" borderId="0" xfId="0" applyFont="1" applyAlignment="1">
      <alignment horizontal="left"/>
    </xf>
    <xf numFmtId="0" fontId="63" fillId="14" borderId="0" xfId="0" applyFont="1" applyFill="1" applyAlignment="1">
      <alignment vertical="center"/>
    </xf>
    <xf numFmtId="0" fontId="83" fillId="0" borderId="0" xfId="0" applyFont="1"/>
    <xf numFmtId="0" fontId="85" fillId="6" borderId="1" xfId="0" applyFont="1" applyFill="1" applyBorder="1" applyAlignment="1" applyProtection="1">
      <alignment horizontal="center" vertical="center"/>
      <protection locked="0"/>
    </xf>
    <xf numFmtId="0" fontId="11" fillId="14" borderId="0" xfId="0" applyFont="1" applyFill="1" applyAlignment="1">
      <alignment horizontal="center" vertical="center" wrapText="1"/>
    </xf>
    <xf numFmtId="0" fontId="2" fillId="2" borderId="0" xfId="0" applyFont="1" applyFill="1" applyAlignment="1">
      <alignment horizontal="right" vertical="center"/>
    </xf>
    <xf numFmtId="0" fontId="2" fillId="2" borderId="0" xfId="0" applyFont="1" applyFill="1"/>
    <xf numFmtId="0" fontId="18" fillId="2" borderId="0" xfId="0" applyFont="1" applyFill="1"/>
    <xf numFmtId="0" fontId="2" fillId="2" borderId="0" xfId="0" applyFont="1" applyFill="1" applyAlignment="1">
      <alignment horizontal="right" vertical="top"/>
    </xf>
    <xf numFmtId="0" fontId="11" fillId="2" borderId="0" xfId="0" applyFont="1" applyFill="1" applyAlignment="1">
      <alignment horizontal="right" vertical="top"/>
    </xf>
    <xf numFmtId="0" fontId="2" fillId="2" borderId="0" xfId="0" applyFont="1" applyFill="1" applyAlignment="1">
      <alignment vertical="top"/>
    </xf>
    <xf numFmtId="166" fontId="63" fillId="12" borderId="1" xfId="0" applyNumberFormat="1" applyFont="1" applyFill="1" applyBorder="1" applyAlignment="1" applyProtection="1">
      <alignment horizontal="center" vertical="center" wrapText="1"/>
      <protection locked="0"/>
    </xf>
    <xf numFmtId="0" fontId="7" fillId="0" borderId="0" xfId="0" applyFont="1" applyAlignment="1">
      <alignment horizontal="right"/>
    </xf>
    <xf numFmtId="0" fontId="63" fillId="6" borderId="1" xfId="0" applyFont="1" applyFill="1" applyBorder="1" applyAlignment="1" applyProtection="1">
      <alignment horizontal="center" vertical="center"/>
      <protection locked="0"/>
    </xf>
    <xf numFmtId="0" fontId="92" fillId="0" borderId="0" xfId="0" applyFont="1"/>
    <xf numFmtId="1" fontId="18" fillId="13" borderId="0" xfId="0" applyNumberFormat="1" applyFont="1" applyFill="1" applyAlignment="1">
      <alignment horizontal="center" vertical="center"/>
    </xf>
    <xf numFmtId="0" fontId="93" fillId="14" borderId="0" xfId="0" applyFont="1" applyFill="1" applyAlignment="1">
      <alignment horizontal="left"/>
    </xf>
    <xf numFmtId="0" fontId="92" fillId="14" borderId="0" xfId="0" applyFont="1" applyFill="1"/>
    <xf numFmtId="0" fontId="2" fillId="14" borderId="0" xfId="0" applyFont="1" applyFill="1"/>
    <xf numFmtId="0" fontId="66" fillId="14" borderId="0" xfId="0" applyFont="1" applyFill="1" applyAlignment="1">
      <alignment horizontal="center" wrapText="1"/>
    </xf>
    <xf numFmtId="0" fontId="18" fillId="14" borderId="0" xfId="0" applyFont="1" applyFill="1"/>
    <xf numFmtId="0" fontId="11" fillId="5" borderId="4" xfId="0" applyFont="1" applyFill="1" applyBorder="1" applyAlignment="1">
      <alignment horizontal="center" vertical="center" wrapText="1"/>
    </xf>
    <xf numFmtId="0" fontId="11" fillId="5" borderId="4" xfId="0" applyFont="1" applyFill="1" applyBorder="1" applyAlignment="1">
      <alignment horizontal="center" wrapText="1"/>
    </xf>
    <xf numFmtId="0" fontId="18" fillId="14" borderId="0" xfId="0" applyFont="1" applyFill="1" applyAlignment="1">
      <alignment wrapText="1"/>
    </xf>
    <xf numFmtId="0" fontId="63" fillId="12" borderId="1" xfId="0" applyFont="1" applyFill="1" applyBorder="1" applyAlignment="1" applyProtection="1">
      <alignment horizontal="left" vertical="center" wrapText="1"/>
      <protection locked="0"/>
    </xf>
    <xf numFmtId="0" fontId="95" fillId="14" borderId="0" xfId="0" applyFont="1" applyFill="1" applyAlignment="1">
      <alignment horizontal="left"/>
    </xf>
    <xf numFmtId="0" fontId="93" fillId="8" borderId="1" xfId="0" applyFont="1" applyFill="1" applyBorder="1" applyAlignment="1">
      <alignment horizontal="center" vertical="center" wrapText="1"/>
    </xf>
    <xf numFmtId="0" fontId="93" fillId="13" borderId="1" xfId="0" applyFont="1" applyFill="1" applyBorder="1" applyAlignment="1">
      <alignment horizontal="center" vertical="center"/>
    </xf>
    <xf numFmtId="0" fontId="94" fillId="8" borderId="1" xfId="0" applyFont="1" applyFill="1" applyBorder="1" applyAlignment="1">
      <alignment horizontal="center" vertical="center"/>
    </xf>
    <xf numFmtId="0" fontId="96" fillId="14" borderId="0" xfId="0" applyFont="1" applyFill="1" applyAlignment="1">
      <alignment horizontal="right" vertical="center" wrapText="1"/>
    </xf>
    <xf numFmtId="0" fontId="93" fillId="14" borderId="0" xfId="0" applyFont="1" applyFill="1" applyAlignment="1">
      <alignment horizontal="center" vertical="center" wrapText="1"/>
    </xf>
    <xf numFmtId="0" fontId="11" fillId="5" borderId="1" xfId="0" applyFont="1" applyFill="1" applyBorder="1" applyAlignment="1">
      <alignment horizontal="center" vertical="center" wrapText="1"/>
    </xf>
    <xf numFmtId="0" fontId="2" fillId="14" borderId="0" xfId="0" applyFont="1" applyFill="1" applyAlignment="1">
      <alignment horizontal="center" wrapText="1"/>
    </xf>
    <xf numFmtId="0" fontId="63" fillId="14" borderId="0" xfId="0" applyFont="1" applyFill="1" applyProtection="1">
      <protection locked="0"/>
    </xf>
    <xf numFmtId="0" fontId="93" fillId="14" borderId="0" xfId="0" applyFont="1" applyFill="1" applyAlignment="1">
      <alignment horizontal="center" vertical="center"/>
    </xf>
    <xf numFmtId="0" fontId="11" fillId="0" borderId="0" xfId="0" applyFont="1" applyAlignment="1">
      <alignment vertical="center"/>
    </xf>
    <xf numFmtId="0" fontId="2" fillId="0" borderId="0" xfId="0" applyFont="1" applyAlignment="1">
      <alignment vertical="top"/>
    </xf>
    <xf numFmtId="0" fontId="85" fillId="6" borderId="1" xfId="0" applyFont="1" applyFill="1" applyBorder="1" applyAlignment="1" applyProtection="1">
      <alignment horizontal="center" vertical="center" wrapText="1"/>
      <protection locked="0"/>
    </xf>
    <xf numFmtId="0" fontId="85" fillId="14" borderId="0" xfId="0" applyFont="1" applyFill="1" applyAlignment="1" applyProtection="1">
      <alignment horizontal="center" vertical="center"/>
      <protection locked="0"/>
    </xf>
    <xf numFmtId="0" fontId="2" fillId="21" borderId="0" xfId="0" applyFont="1" applyFill="1"/>
    <xf numFmtId="0" fontId="63" fillId="3" borderId="1" xfId="0" applyFont="1" applyFill="1" applyBorder="1" applyAlignment="1" applyProtection="1">
      <alignment horizontal="center" vertical="center"/>
      <protection locked="0"/>
    </xf>
    <xf numFmtId="0" fontId="63" fillId="26" borderId="1" xfId="0" applyFont="1" applyFill="1" applyBorder="1" applyAlignment="1" applyProtection="1">
      <alignment horizontal="center" vertical="center"/>
      <protection locked="0"/>
    </xf>
    <xf numFmtId="164" fontId="63" fillId="3" borderId="1" xfId="0" applyNumberFormat="1" applyFont="1" applyFill="1" applyBorder="1" applyAlignment="1" applyProtection="1">
      <alignment horizontal="center" vertical="center"/>
      <protection locked="0"/>
    </xf>
    <xf numFmtId="0" fontId="2" fillId="23" borderId="0" xfId="0" applyFont="1" applyFill="1"/>
    <xf numFmtId="0" fontId="2" fillId="2" borderId="0" xfId="0" applyFont="1" applyFill="1" applyAlignment="1">
      <alignment horizontal="right" vertical="center" wrapText="1"/>
    </xf>
    <xf numFmtId="0" fontId="18" fillId="0" borderId="0" xfId="0" applyFont="1" applyAlignment="1">
      <alignment vertical="top"/>
    </xf>
    <xf numFmtId="0" fontId="82" fillId="10" borderId="0" xfId="0" applyFont="1" applyFill="1" applyAlignment="1">
      <alignment vertical="center"/>
    </xf>
    <xf numFmtId="0" fontId="95" fillId="14" borderId="0" xfId="0" applyFont="1" applyFill="1" applyAlignment="1">
      <alignment vertical="top" wrapText="1"/>
    </xf>
    <xf numFmtId="0" fontId="52" fillId="0" borderId="0" xfId="0" applyFont="1" applyAlignment="1">
      <alignment horizontal="center" vertical="center"/>
    </xf>
    <xf numFmtId="0" fontId="2" fillId="24" borderId="13" xfId="0" applyFont="1" applyFill="1" applyBorder="1" applyAlignment="1">
      <alignment horizontal="center"/>
    </xf>
    <xf numFmtId="0" fontId="2" fillId="24" borderId="2" xfId="0" applyFont="1" applyFill="1" applyBorder="1" applyAlignment="1">
      <alignment horizontal="center" vertical="center"/>
    </xf>
    <xf numFmtId="0" fontId="2" fillId="24" borderId="2" xfId="0" applyFont="1" applyFill="1" applyBorder="1" applyAlignment="1">
      <alignment horizontal="center"/>
    </xf>
    <xf numFmtId="0" fontId="2" fillId="24" borderId="14" xfId="0" applyFont="1" applyFill="1" applyBorder="1" applyAlignment="1">
      <alignment horizontal="center" vertical="top"/>
    </xf>
    <xf numFmtId="0" fontId="2" fillId="24" borderId="4" xfId="0" applyFont="1" applyFill="1" applyBorder="1" applyAlignment="1">
      <alignment horizontal="center" vertical="center"/>
    </xf>
    <xf numFmtId="0" fontId="2" fillId="24" borderId="4" xfId="0" applyFont="1" applyFill="1" applyBorder="1" applyAlignment="1">
      <alignment horizontal="center" vertical="top"/>
    </xf>
    <xf numFmtId="0" fontId="63" fillId="12" borderId="1" xfId="0" applyFont="1" applyFill="1" applyBorder="1" applyAlignment="1" applyProtection="1">
      <alignment horizontal="center" vertical="center" wrapText="1"/>
      <protection locked="0"/>
    </xf>
    <xf numFmtId="0" fontId="63" fillId="12" borderId="1" xfId="0" applyFont="1" applyFill="1" applyBorder="1" applyAlignment="1" applyProtection="1">
      <alignment vertical="center"/>
      <protection locked="0"/>
    </xf>
    <xf numFmtId="0" fontId="52" fillId="14" borderId="0" xfId="0" applyFont="1" applyFill="1" applyAlignment="1">
      <alignment horizontal="center" vertical="center"/>
    </xf>
    <xf numFmtId="0" fontId="2" fillId="29" borderId="13" xfId="0" applyFont="1" applyFill="1" applyBorder="1" applyAlignment="1">
      <alignment horizontal="center"/>
    </xf>
    <xf numFmtId="0" fontId="2" fillId="29" borderId="2" xfId="0" applyFont="1" applyFill="1" applyBorder="1" applyAlignment="1">
      <alignment horizontal="center"/>
    </xf>
    <xf numFmtId="0" fontId="2" fillId="29" borderId="2" xfId="0" applyFont="1" applyFill="1" applyBorder="1" applyAlignment="1">
      <alignment horizontal="center" vertical="center"/>
    </xf>
    <xf numFmtId="0" fontId="2" fillId="29" borderId="14" xfId="0" applyFont="1" applyFill="1" applyBorder="1" applyAlignment="1">
      <alignment horizontal="center" vertical="top"/>
    </xf>
    <xf numFmtId="0" fontId="2" fillId="29" borderId="4" xfId="0" applyFont="1" applyFill="1" applyBorder="1" applyAlignment="1">
      <alignment horizontal="center" vertical="top"/>
    </xf>
    <xf numFmtId="0" fontId="63" fillId="12" borderId="1" xfId="0" applyFont="1" applyFill="1" applyBorder="1" applyAlignment="1" applyProtection="1">
      <alignment horizontal="left" wrapText="1"/>
      <protection locked="0"/>
    </xf>
    <xf numFmtId="0" fontId="2" fillId="0" borderId="0" xfId="2" applyFont="1"/>
    <xf numFmtId="0" fontId="102" fillId="0" borderId="0" xfId="2" applyFont="1"/>
    <xf numFmtId="0" fontId="11" fillId="0" borderId="0" xfId="0" applyFont="1" applyAlignment="1">
      <alignment horizontal="right" vertical="center" wrapText="1"/>
    </xf>
    <xf numFmtId="0" fontId="2" fillId="0" borderId="0" xfId="0" applyFont="1" applyAlignment="1">
      <alignment horizontal="right" vertical="center" wrapText="1"/>
    </xf>
    <xf numFmtId="165" fontId="32" fillId="5" borderId="1" xfId="0" applyNumberFormat="1" applyFont="1" applyFill="1" applyBorder="1" applyAlignment="1">
      <alignment horizontal="center" vertical="center"/>
    </xf>
    <xf numFmtId="0" fontId="32" fillId="5" borderId="0" xfId="0" applyFont="1" applyFill="1" applyAlignment="1">
      <alignment horizontal="center" vertical="center"/>
    </xf>
    <xf numFmtId="0" fontId="87" fillId="0" borderId="0" xfId="0" applyFont="1" applyAlignment="1">
      <alignment vertical="center" wrapText="1"/>
    </xf>
    <xf numFmtId="0" fontId="52" fillId="0" borderId="0" xfId="0" applyFont="1" applyAlignment="1">
      <alignment vertical="center"/>
    </xf>
    <xf numFmtId="0" fontId="52" fillId="0" borderId="0" xfId="0" applyFont="1" applyAlignment="1">
      <alignment wrapText="1"/>
    </xf>
    <xf numFmtId="0" fontId="52" fillId="0" borderId="0" xfId="0" applyFont="1" applyAlignment="1">
      <alignment horizontal="left"/>
    </xf>
    <xf numFmtId="0" fontId="63" fillId="14" borderId="0" xfId="0" applyFont="1" applyFill="1" applyAlignment="1" applyProtection="1">
      <alignment horizontal="center"/>
      <protection locked="0"/>
    </xf>
    <xf numFmtId="0" fontId="52" fillId="0" borderId="0" xfId="0" applyFont="1" applyAlignment="1">
      <alignment horizontal="right"/>
    </xf>
    <xf numFmtId="0" fontId="98" fillId="14" borderId="0" xfId="0" applyFont="1" applyFill="1" applyAlignment="1" applyProtection="1">
      <alignment horizontal="center" vertical="center"/>
      <protection locked="0"/>
    </xf>
    <xf numFmtId="14" fontId="98" fillId="0" borderId="0" xfId="0" applyNumberFormat="1" applyFont="1" applyAlignment="1" applyProtection="1">
      <alignment horizontal="center" vertical="center"/>
      <protection locked="0"/>
    </xf>
    <xf numFmtId="0" fontId="92" fillId="0" borderId="0" xfId="0" applyFont="1" applyAlignment="1">
      <alignment horizontal="left"/>
    </xf>
    <xf numFmtId="0" fontId="103" fillId="0" borderId="0" xfId="0" applyFont="1" applyAlignment="1">
      <alignment vertical="top"/>
    </xf>
    <xf numFmtId="0" fontId="87" fillId="14" borderId="0" xfId="0" applyFont="1" applyFill="1" applyAlignment="1">
      <alignment horizontal="center" vertical="center" wrapText="1"/>
    </xf>
    <xf numFmtId="0" fontId="98" fillId="14" borderId="0" xfId="0" applyFont="1" applyFill="1" applyAlignment="1" applyProtection="1">
      <alignment horizontal="left" vertical="center"/>
      <protection locked="0"/>
    </xf>
    <xf numFmtId="0" fontId="2" fillId="20" borderId="0" xfId="0" applyFont="1" applyFill="1"/>
    <xf numFmtId="0" fontId="32" fillId="5" borderId="1" xfId="0" applyFont="1" applyFill="1" applyBorder="1" applyAlignment="1">
      <alignment horizontal="center" vertical="center"/>
    </xf>
    <xf numFmtId="0" fontId="98" fillId="5" borderId="1" xfId="0" applyFont="1" applyFill="1" applyBorder="1" applyAlignment="1">
      <alignment horizontal="center" vertical="center" wrapText="1"/>
    </xf>
    <xf numFmtId="0" fontId="95" fillId="5" borderId="1" xfId="0" applyFont="1" applyFill="1" applyBorder="1" applyAlignment="1">
      <alignment horizontal="center" vertical="center" wrapText="1"/>
    </xf>
    <xf numFmtId="0" fontId="63" fillId="14" borderId="0" xfId="0" applyFont="1" applyFill="1" applyAlignment="1" applyProtection="1">
      <alignment horizontal="left"/>
      <protection locked="0"/>
    </xf>
    <xf numFmtId="0" fontId="2" fillId="33" borderId="0" xfId="0" applyFont="1" applyFill="1"/>
    <xf numFmtId="0" fontId="52" fillId="0" borderId="0" xfId="0" applyFont="1" applyAlignment="1" applyProtection="1">
      <alignment horizontal="center" vertical="center" wrapText="1"/>
      <protection locked="0"/>
    </xf>
    <xf numFmtId="0" fontId="69" fillId="14" borderId="0" xfId="0" applyFont="1" applyFill="1" applyAlignment="1">
      <alignment horizontal="center" vertical="center"/>
    </xf>
    <xf numFmtId="0" fontId="2" fillId="35" borderId="0" xfId="0" applyFont="1" applyFill="1"/>
    <xf numFmtId="0" fontId="63" fillId="5" borderId="1" xfId="0" applyFont="1" applyFill="1" applyBorder="1" applyAlignment="1">
      <alignment horizontal="center" vertical="center" wrapText="1"/>
    </xf>
    <xf numFmtId="0" fontId="66" fillId="0" borderId="0" xfId="0" applyFont="1" applyAlignment="1">
      <alignment vertical="center" wrapText="1"/>
    </xf>
    <xf numFmtId="0" fontId="2" fillId="26" borderId="0" xfId="0" applyFont="1" applyFill="1"/>
    <xf numFmtId="0" fontId="86" fillId="8" borderId="1" xfId="0" applyFont="1" applyFill="1" applyBorder="1" applyAlignment="1">
      <alignment horizontal="center" vertical="center"/>
    </xf>
    <xf numFmtId="0" fontId="2" fillId="0" borderId="0" xfId="0" applyFont="1" applyAlignment="1">
      <alignment horizontal="left" vertical="top"/>
    </xf>
    <xf numFmtId="1" fontId="63" fillId="12" borderId="1" xfId="0" applyNumberFormat="1" applyFont="1" applyFill="1" applyBorder="1" applyAlignment="1" applyProtection="1">
      <alignment horizontal="center" vertical="center" wrapText="1"/>
      <protection locked="0"/>
    </xf>
    <xf numFmtId="0" fontId="73" fillId="0" borderId="0" xfId="0" applyFont="1" applyAlignment="1">
      <alignment vertical="top"/>
    </xf>
    <xf numFmtId="0" fontId="69" fillId="18" borderId="0" xfId="0" applyFont="1" applyFill="1" applyAlignment="1">
      <alignment horizontal="center" vertical="center" wrapText="1"/>
    </xf>
    <xf numFmtId="0" fontId="2" fillId="0" borderId="0" xfId="0" applyFont="1" applyAlignment="1" applyProtection="1">
      <alignment horizontal="center" vertical="center"/>
      <protection locked="0"/>
    </xf>
    <xf numFmtId="0" fontId="66" fillId="0" borderId="0" xfId="0" applyFont="1" applyAlignment="1" applyProtection="1">
      <alignment vertical="center" wrapText="1"/>
      <protection locked="0"/>
    </xf>
    <xf numFmtId="0" fontId="11" fillId="0" borderId="0" xfId="0" applyFont="1" applyAlignment="1">
      <alignment horizontal="left"/>
    </xf>
    <xf numFmtId="0" fontId="63" fillId="0" borderId="0" xfId="0" applyFont="1"/>
    <xf numFmtId="0" fontId="11" fillId="0" borderId="0" xfId="0" applyFont="1" applyAlignment="1">
      <alignment horizontal="center"/>
    </xf>
    <xf numFmtId="0" fontId="63" fillId="0" borderId="0" xfId="0" applyFont="1" applyAlignment="1">
      <alignment horizontal="center" vertical="center"/>
    </xf>
    <xf numFmtId="0" fontId="108" fillId="14" borderId="0" xfId="0" applyFont="1" applyFill="1" applyAlignment="1">
      <alignment vertical="center" wrapText="1"/>
    </xf>
    <xf numFmtId="0" fontId="69" fillId="14" borderId="0" xfId="0" applyFont="1" applyFill="1" applyAlignment="1">
      <alignment horizontal="center" wrapText="1"/>
    </xf>
    <xf numFmtId="1" fontId="98" fillId="14" borderId="0" xfId="0" applyNumberFormat="1" applyFont="1" applyFill="1" applyAlignment="1" applyProtection="1">
      <alignment horizontal="center" vertical="center"/>
      <protection locked="0"/>
    </xf>
    <xf numFmtId="1" fontId="63" fillId="14" borderId="0" xfId="0" applyNumberFormat="1" applyFont="1" applyFill="1" applyAlignment="1" applyProtection="1">
      <alignment horizontal="center" vertical="center"/>
      <protection locked="0"/>
    </xf>
    <xf numFmtId="0" fontId="52" fillId="14" borderId="0" xfId="0" applyFont="1" applyFill="1" applyAlignment="1" applyProtection="1">
      <alignment horizontal="center" vertical="center"/>
      <protection locked="0"/>
    </xf>
    <xf numFmtId="0" fontId="109" fillId="0" borderId="0" xfId="0" applyFont="1" applyAlignment="1">
      <alignment vertical="center" wrapText="1"/>
    </xf>
    <xf numFmtId="0" fontId="69" fillId="0" borderId="0" xfId="0" applyFont="1" applyAlignment="1">
      <alignment vertical="center" wrapText="1"/>
    </xf>
    <xf numFmtId="1" fontId="98" fillId="14" borderId="0" xfId="0" applyNumberFormat="1" applyFont="1" applyFill="1" applyAlignment="1" applyProtection="1">
      <alignment horizontal="center"/>
      <protection locked="0"/>
    </xf>
    <xf numFmtId="14" fontId="63" fillId="14" borderId="0" xfId="0" applyNumberFormat="1" applyFont="1" applyFill="1" applyAlignment="1" applyProtection="1">
      <alignment horizontal="center"/>
      <protection locked="0"/>
    </xf>
    <xf numFmtId="1" fontId="63" fillId="14" borderId="0" xfId="0" applyNumberFormat="1" applyFont="1" applyFill="1" applyAlignment="1" applyProtection="1">
      <alignment horizontal="center"/>
      <protection locked="0"/>
    </xf>
    <xf numFmtId="0" fontId="87" fillId="14" borderId="0" xfId="0" applyFont="1" applyFill="1" applyAlignment="1">
      <alignment horizontal="center" wrapText="1"/>
    </xf>
    <xf numFmtId="0" fontId="63" fillId="14" borderId="0" xfId="0" applyFont="1" applyFill="1" applyAlignment="1" applyProtection="1">
      <alignment horizontal="left" vertical="center"/>
      <protection locked="0"/>
    </xf>
    <xf numFmtId="0" fontId="67" fillId="14" borderId="0" xfId="0" applyFont="1" applyFill="1" applyAlignment="1" applyProtection="1">
      <alignment horizontal="center" vertical="center"/>
      <protection locked="0"/>
    </xf>
    <xf numFmtId="0" fontId="95" fillId="0" borderId="0" xfId="0" applyFont="1" applyAlignment="1">
      <alignment vertical="center" wrapText="1"/>
    </xf>
    <xf numFmtId="0" fontId="71" fillId="14" borderId="0" xfId="1" applyFont="1" applyFill="1" applyAlignment="1" applyProtection="1">
      <alignment vertical="center"/>
      <protection locked="0"/>
    </xf>
    <xf numFmtId="14" fontId="63" fillId="14" borderId="0" xfId="0" applyNumberFormat="1" applyFont="1" applyFill="1" applyAlignment="1" applyProtection="1">
      <alignment horizontal="center" vertical="center"/>
      <protection locked="0"/>
    </xf>
    <xf numFmtId="0" fontId="52" fillId="14" borderId="0" xfId="0" applyFont="1" applyFill="1" applyAlignment="1" applyProtection="1">
      <alignment horizontal="left" vertical="top" wrapText="1"/>
      <protection locked="0"/>
    </xf>
    <xf numFmtId="0" fontId="71" fillId="0" borderId="0" xfId="1" applyFont="1" applyFill="1" applyAlignment="1" applyProtection="1">
      <alignment vertical="center"/>
      <protection locked="0"/>
    </xf>
    <xf numFmtId="0" fontId="2" fillId="2" borderId="0" xfId="0" applyFont="1" applyFill="1" applyAlignment="1">
      <alignment vertical="center"/>
    </xf>
    <xf numFmtId="1" fontId="63" fillId="0" borderId="1" xfId="0" applyNumberFormat="1" applyFont="1" applyBorder="1" applyAlignment="1" applyProtection="1">
      <alignment horizontal="center" vertical="center" wrapText="1"/>
      <protection locked="0"/>
    </xf>
    <xf numFmtId="0" fontId="18" fillId="0" borderId="0" xfId="0" applyFont="1" applyAlignment="1">
      <alignment horizontal="center"/>
    </xf>
    <xf numFmtId="0" fontId="90" fillId="0" borderId="0" xfId="0" applyFont="1"/>
    <xf numFmtId="0" fontId="61" fillId="14" borderId="0" xfId="0" applyFont="1" applyFill="1" applyAlignment="1">
      <alignment vertical="center"/>
    </xf>
    <xf numFmtId="1" fontId="63" fillId="12" borderId="1" xfId="0" applyNumberFormat="1" applyFont="1" applyFill="1" applyBorder="1" applyAlignment="1" applyProtection="1">
      <alignment horizontal="center"/>
      <protection locked="0"/>
    </xf>
    <xf numFmtId="0" fontId="63" fillId="6" borderId="1" xfId="0" applyFont="1" applyFill="1" applyBorder="1" applyAlignment="1" applyProtection="1">
      <alignment horizontal="center" vertical="center" wrapText="1"/>
      <protection locked="0"/>
    </xf>
    <xf numFmtId="1" fontId="63" fillId="12" borderId="2" xfId="0" applyNumberFormat="1" applyFont="1" applyFill="1" applyBorder="1" applyAlignment="1" applyProtection="1">
      <alignment horizontal="center" vertical="center"/>
      <protection locked="0"/>
    </xf>
    <xf numFmtId="1" fontId="63" fillId="12" borderId="1" xfId="0" applyNumberFormat="1" applyFont="1" applyFill="1" applyBorder="1" applyAlignment="1" applyProtection="1">
      <alignment horizontal="center" vertical="center"/>
      <protection locked="0"/>
    </xf>
    <xf numFmtId="0" fontId="113" fillId="0" borderId="0" xfId="0" quotePrefix="1" applyFont="1"/>
    <xf numFmtId="0" fontId="113" fillId="0" borderId="0" xfId="0" applyFont="1"/>
    <xf numFmtId="0" fontId="114" fillId="0" borderId="0" xfId="0" applyFont="1"/>
    <xf numFmtId="0" fontId="63" fillId="5" borderId="1" xfId="0" applyFont="1" applyFill="1" applyBorder="1" applyAlignment="1">
      <alignment horizontal="center" vertical="center"/>
    </xf>
    <xf numFmtId="0" fontId="2" fillId="14" borderId="0" xfId="0" quotePrefix="1" applyFont="1" applyFill="1"/>
    <xf numFmtId="0" fontId="63" fillId="5" borderId="1" xfId="0" quotePrefix="1" applyFont="1" applyFill="1" applyBorder="1" applyAlignment="1">
      <alignment horizontal="center" vertical="center"/>
    </xf>
    <xf numFmtId="0" fontId="2" fillId="14" borderId="0" xfId="0" quotePrefix="1" applyFont="1" applyFill="1" applyAlignment="1">
      <alignment vertical="center"/>
    </xf>
    <xf numFmtId="0" fontId="103" fillId="14" borderId="0" xfId="0" applyFont="1" applyFill="1" applyAlignment="1">
      <alignment vertical="top"/>
    </xf>
    <xf numFmtId="0" fontId="18" fillId="0" borderId="0" xfId="0" applyFont="1" applyAlignment="1">
      <alignment horizontal="left" vertical="top"/>
    </xf>
    <xf numFmtId="0" fontId="111" fillId="0" borderId="0" xfId="0" applyFont="1"/>
    <xf numFmtId="0" fontId="63" fillId="0" borderId="0" xfId="0" applyFont="1" applyAlignment="1">
      <alignment wrapText="1"/>
    </xf>
    <xf numFmtId="0" fontId="71" fillId="0" borderId="0" xfId="1" applyFont="1" applyBorder="1" applyAlignment="1" applyProtection="1">
      <alignment vertical="center"/>
    </xf>
    <xf numFmtId="0" fontId="63" fillId="0" borderId="0" xfId="0" applyFont="1" applyAlignment="1">
      <alignment vertical="center" wrapText="1"/>
    </xf>
    <xf numFmtId="0" fontId="63" fillId="0" borderId="0" xfId="0" applyFont="1" applyAlignment="1">
      <alignment vertical="center"/>
    </xf>
    <xf numFmtId="0" fontId="63" fillId="14" borderId="0" xfId="0" applyFont="1" applyFill="1" applyAlignment="1">
      <alignment vertical="center" wrapText="1"/>
    </xf>
    <xf numFmtId="0" fontId="71" fillId="0" borderId="0" xfId="1" applyFont="1" applyAlignment="1" applyProtection="1"/>
    <xf numFmtId="0" fontId="63" fillId="14" borderId="0" xfId="0" applyFont="1" applyFill="1"/>
    <xf numFmtId="0" fontId="63" fillId="0" borderId="0" xfId="0" applyFont="1" applyAlignment="1">
      <alignment horizontal="center"/>
    </xf>
    <xf numFmtId="164" fontId="63" fillId="0" borderId="0" xfId="0" applyNumberFormat="1" applyFont="1" applyAlignment="1">
      <alignment horizontal="center"/>
    </xf>
    <xf numFmtId="0" fontId="76" fillId="0" borderId="0" xfId="1" applyFont="1" applyAlignment="1" applyProtection="1">
      <alignment horizontal="center" vertical="center" wrapText="1"/>
    </xf>
    <xf numFmtId="0" fontId="63" fillId="14" borderId="0" xfId="0" applyFont="1" applyFill="1" applyAlignment="1">
      <alignment horizontal="left"/>
    </xf>
    <xf numFmtId="1" fontId="98" fillId="14" borderId="0" xfId="0" applyNumberFormat="1" applyFont="1" applyFill="1" applyAlignment="1">
      <alignment horizontal="center"/>
    </xf>
    <xf numFmtId="14" fontId="63" fillId="14" borderId="0" xfId="0" applyNumberFormat="1" applyFont="1" applyFill="1" applyAlignment="1">
      <alignment horizontal="center"/>
    </xf>
    <xf numFmtId="1" fontId="63" fillId="14" borderId="0" xfId="0" applyNumberFormat="1" applyFont="1" applyFill="1" applyAlignment="1">
      <alignment horizontal="center"/>
    </xf>
    <xf numFmtId="0" fontId="67" fillId="14" borderId="0" xfId="0" applyFont="1" applyFill="1" applyAlignment="1">
      <alignment horizontal="center" vertical="center"/>
    </xf>
    <xf numFmtId="0" fontId="116" fillId="37" borderId="1" xfId="0" applyFont="1" applyFill="1" applyBorder="1" applyAlignment="1" applyProtection="1">
      <alignment horizontal="center" vertical="center"/>
      <protection locked="0"/>
    </xf>
    <xf numFmtId="0" fontId="117" fillId="0" borderId="0" xfId="0" applyFont="1"/>
    <xf numFmtId="168" fontId="63" fillId="12" borderId="1" xfId="0" applyNumberFormat="1" applyFont="1" applyFill="1" applyBorder="1" applyAlignment="1" applyProtection="1">
      <alignment horizontal="center" vertical="center" wrapText="1"/>
      <protection locked="0"/>
    </xf>
    <xf numFmtId="0" fontId="9"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xf>
    <xf numFmtId="0" fontId="26" fillId="0" borderId="0" xfId="0" applyFont="1" applyAlignment="1">
      <alignment horizontal="center"/>
    </xf>
    <xf numFmtId="0" fontId="53" fillId="0" borderId="0" xfId="0" applyFont="1" applyAlignment="1">
      <alignment horizontal="center"/>
    </xf>
    <xf numFmtId="0" fontId="27" fillId="0" borderId="0" xfId="0" applyFont="1" applyAlignment="1">
      <alignment horizontal="center"/>
    </xf>
    <xf numFmtId="0" fontId="50" fillId="0" borderId="0" xfId="0" applyFont="1" applyAlignment="1">
      <alignment horizontal="center"/>
    </xf>
    <xf numFmtId="14" fontId="60" fillId="0" borderId="0" xfId="0" applyNumberFormat="1" applyFont="1" applyAlignment="1">
      <alignment horizontal="center"/>
    </xf>
    <xf numFmtId="0" fontId="28" fillId="0" borderId="0" xfId="0" applyFont="1" applyAlignment="1">
      <alignment horizontal="left" vertical="center" wrapText="1"/>
    </xf>
    <xf numFmtId="0" fontId="25" fillId="0" borderId="3" xfId="0" applyFont="1" applyBorder="1" applyAlignment="1">
      <alignment horizontal="left" vertical="center" wrapText="1"/>
    </xf>
    <xf numFmtId="0" fontId="25" fillId="0" borderId="0" xfId="0" applyFont="1" applyAlignment="1">
      <alignment horizontal="left" vertical="center" wrapText="1"/>
    </xf>
    <xf numFmtId="0" fontId="6" fillId="2" borderId="0" xfId="0" applyFont="1" applyFill="1" applyAlignment="1">
      <alignment horizontal="center"/>
    </xf>
    <xf numFmtId="0" fontId="28" fillId="0" borderId="0" xfId="0" applyFont="1" applyAlignment="1">
      <alignment horizontal="justify" vertical="center" wrapText="1"/>
    </xf>
    <xf numFmtId="0" fontId="4" fillId="0" borderId="0" xfId="0" applyFont="1" applyAlignment="1">
      <alignment horizontal="justify" vertical="center" wrapText="1"/>
    </xf>
    <xf numFmtId="0" fontId="32" fillId="14" borderId="0" xfId="0" applyFont="1" applyFill="1" applyAlignment="1">
      <alignment horizontal="left" vertical="center" wrapText="1"/>
    </xf>
    <xf numFmtId="0" fontId="28" fillId="14" borderId="0" xfId="0" applyFont="1" applyFill="1" applyAlignment="1">
      <alignment horizontal="justify" vertical="center" wrapText="1"/>
    </xf>
    <xf numFmtId="0" fontId="5" fillId="14" borderId="0" xfId="0" applyFont="1" applyFill="1" applyAlignment="1">
      <alignment horizontal="justify" vertical="center" wrapText="1"/>
    </xf>
    <xf numFmtId="0" fontId="57" fillId="31" borderId="0" xfId="1" applyFont="1" applyFill="1" applyAlignment="1" applyProtection="1">
      <alignment horizontal="center" vertical="center"/>
      <protection locked="0"/>
    </xf>
    <xf numFmtId="0" fontId="18" fillId="0" borderId="0" xfId="0" applyFont="1" applyAlignment="1">
      <alignment horizontal="center" vertical="center" wrapText="1"/>
    </xf>
    <xf numFmtId="0" fontId="18" fillId="0" borderId="0" xfId="0" applyFont="1" applyAlignment="1">
      <alignment horizontal="center" vertical="center"/>
    </xf>
    <xf numFmtId="0" fontId="112" fillId="0" borderId="0" xfId="0" applyFont="1" applyAlignment="1">
      <alignment horizontal="center" vertical="center"/>
    </xf>
    <xf numFmtId="0" fontId="58" fillId="12" borderId="1" xfId="0" applyFont="1" applyFill="1" applyBorder="1" applyAlignment="1" applyProtection="1">
      <alignment vertical="center" wrapText="1"/>
      <protection locked="0"/>
    </xf>
    <xf numFmtId="0" fontId="20" fillId="0" borderId="0" xfId="0" applyFont="1" applyAlignment="1">
      <alignment horizontal="justify" vertical="center" wrapText="1"/>
    </xf>
    <xf numFmtId="0" fontId="63" fillId="12" borderId="1" xfId="0" applyFont="1" applyFill="1" applyBorder="1" applyProtection="1">
      <protection locked="0"/>
    </xf>
    <xf numFmtId="0" fontId="2" fillId="0" borderId="0" xfId="0" applyFont="1" applyAlignment="1">
      <alignment vertical="center" wrapText="1"/>
    </xf>
    <xf numFmtId="0" fontId="2" fillId="0" borderId="12" xfId="0" applyFont="1" applyBorder="1" applyAlignment="1">
      <alignment vertical="center" wrapText="1"/>
    </xf>
    <xf numFmtId="0" fontId="63" fillId="12" borderId="4" xfId="0" applyFont="1" applyFill="1" applyBorder="1" applyProtection="1">
      <protection locked="0"/>
    </xf>
    <xf numFmtId="0" fontId="63" fillId="12" borderId="10" xfId="0" applyFont="1" applyFill="1" applyBorder="1" applyAlignment="1" applyProtection="1">
      <alignment wrapText="1"/>
      <protection locked="0"/>
    </xf>
    <xf numFmtId="0" fontId="63" fillId="12" borderId="13" xfId="0" applyFont="1" applyFill="1" applyBorder="1" applyAlignment="1" applyProtection="1">
      <alignment wrapText="1"/>
      <protection locked="0"/>
    </xf>
    <xf numFmtId="0" fontId="63" fillId="12" borderId="7" xfId="0" applyFont="1" applyFill="1" applyBorder="1" applyAlignment="1" applyProtection="1">
      <alignment wrapText="1"/>
      <protection locked="0"/>
    </xf>
    <xf numFmtId="0" fontId="63" fillId="12" borderId="8" xfId="0" applyFont="1" applyFill="1" applyBorder="1" applyAlignment="1" applyProtection="1">
      <alignment wrapText="1"/>
      <protection locked="0"/>
    </xf>
    <xf numFmtId="0" fontId="63" fillId="12" borderId="9" xfId="0" applyFont="1" applyFill="1" applyBorder="1" applyAlignment="1" applyProtection="1">
      <alignment wrapText="1"/>
      <protection locked="0"/>
    </xf>
    <xf numFmtId="0" fontId="63" fillId="0" borderId="0" xfId="0" applyFont="1" applyAlignment="1" applyProtection="1">
      <alignment horizontal="left"/>
      <protection locked="0"/>
    </xf>
    <xf numFmtId="0" fontId="63" fillId="0" borderId="0" xfId="0" applyFont="1" applyProtection="1">
      <protection locked="0"/>
    </xf>
    <xf numFmtId="0" fontId="18" fillId="0" borderId="0" xfId="0" applyFont="1" applyAlignment="1">
      <alignment horizontal="left"/>
    </xf>
    <xf numFmtId="0" fontId="18" fillId="0" borderId="0" xfId="0" applyFont="1" applyAlignment="1">
      <alignment horizontal="center"/>
    </xf>
    <xf numFmtId="0" fontId="18" fillId="5" borderId="0" xfId="0" applyFont="1" applyFill="1" applyAlignment="1">
      <alignment horizontal="justify" vertical="center" wrapText="1"/>
    </xf>
    <xf numFmtId="0" fontId="1" fillId="2" borderId="0" xfId="0" applyFont="1" applyFill="1" applyAlignment="1">
      <alignment wrapText="1"/>
    </xf>
    <xf numFmtId="0" fontId="81" fillId="0" borderId="0" xfId="0" applyFont="1"/>
    <xf numFmtId="0" fontId="63" fillId="12" borderId="1" xfId="0" applyFont="1" applyFill="1" applyBorder="1" applyAlignment="1" applyProtection="1">
      <alignment horizontal="left" wrapText="1"/>
      <protection locked="0"/>
    </xf>
    <xf numFmtId="14" fontId="63" fillId="12" borderId="4" xfId="0" applyNumberFormat="1" applyFont="1" applyFill="1" applyBorder="1" applyAlignment="1" applyProtection="1">
      <alignment horizontal="center" vertical="center"/>
      <protection locked="0"/>
    </xf>
    <xf numFmtId="14" fontId="63" fillId="12" borderId="1" xfId="0" applyNumberFormat="1" applyFont="1" applyFill="1" applyBorder="1" applyAlignment="1" applyProtection="1">
      <alignment horizontal="center" vertical="center"/>
      <protection locked="0"/>
    </xf>
    <xf numFmtId="0" fontId="5" fillId="0" borderId="3" xfId="0" applyFont="1" applyBorder="1" applyAlignment="1">
      <alignment vertical="center"/>
    </xf>
    <xf numFmtId="0" fontId="5" fillId="0" borderId="0" xfId="0" applyFont="1" applyAlignment="1">
      <alignment vertical="center"/>
    </xf>
    <xf numFmtId="0" fontId="1" fillId="2" borderId="0" xfId="0" applyFont="1" applyFill="1" applyAlignment="1">
      <alignment vertical="center" wrapText="1"/>
    </xf>
    <xf numFmtId="0" fontId="115" fillId="0" borderId="0" xfId="0" applyFont="1" applyAlignment="1">
      <alignment horizontal="center" vertical="center"/>
    </xf>
    <xf numFmtId="0" fontId="63" fillId="14" borderId="0" xfId="0" applyFont="1" applyFill="1" applyProtection="1">
      <protection locked="0"/>
    </xf>
    <xf numFmtId="0" fontId="1" fillId="14" borderId="0" xfId="0" applyFont="1" applyFill="1" applyAlignment="1">
      <alignment horizontal="justify" vertical="center" wrapText="1"/>
    </xf>
    <xf numFmtId="0" fontId="63" fillId="12" borderId="0" xfId="0" applyFont="1" applyFill="1" applyAlignment="1" applyProtection="1">
      <alignment vertical="top" wrapText="1"/>
      <protection locked="0"/>
    </xf>
    <xf numFmtId="0" fontId="69" fillId="34" borderId="0" xfId="0" applyFont="1" applyFill="1" applyAlignment="1">
      <alignment horizontal="center" vertical="center" wrapText="1"/>
    </xf>
    <xf numFmtId="0" fontId="38" fillId="0" borderId="0" xfId="0" applyFont="1" applyAlignment="1">
      <alignment horizontal="justify" vertical="center" wrapText="1"/>
    </xf>
    <xf numFmtId="0" fontId="72" fillId="0" borderId="0" xfId="0" applyFont="1" applyAlignment="1">
      <alignment horizontal="justify" vertical="center" wrapText="1"/>
    </xf>
    <xf numFmtId="0" fontId="71" fillId="14" borderId="0" xfId="0" applyFont="1" applyFill="1" applyAlignment="1">
      <alignment vertical="center" wrapText="1"/>
    </xf>
    <xf numFmtId="0" fontId="73" fillId="0" borderId="0" xfId="0" applyFont="1" applyAlignment="1">
      <alignment horizontal="center" vertical="top"/>
    </xf>
    <xf numFmtId="0" fontId="74" fillId="0" borderId="0" xfId="0" applyFont="1" applyAlignment="1">
      <alignment vertical="center"/>
    </xf>
    <xf numFmtId="0" fontId="74" fillId="14" borderId="0" xfId="0" applyFont="1" applyFill="1" applyAlignment="1">
      <alignment vertical="center"/>
    </xf>
    <xf numFmtId="0" fontId="38" fillId="0" borderId="0" xfId="0" applyFont="1" applyAlignment="1">
      <alignment vertical="center" wrapText="1"/>
    </xf>
    <xf numFmtId="0" fontId="71" fillId="0" borderId="0" xfId="0" applyFont="1" applyAlignment="1">
      <alignment vertical="center" wrapText="1"/>
    </xf>
    <xf numFmtId="0" fontId="67" fillId="0" borderId="0" xfId="0" applyFont="1" applyAlignment="1">
      <alignment horizontal="left" vertical="center"/>
    </xf>
    <xf numFmtId="0" fontId="63" fillId="7" borderId="7" xfId="0" applyFont="1" applyFill="1" applyBorder="1" applyAlignment="1" applyProtection="1">
      <alignment vertical="center"/>
      <protection locked="0"/>
    </xf>
    <xf numFmtId="0" fontId="63" fillId="7" borderId="8" xfId="0" applyFont="1" applyFill="1" applyBorder="1" applyAlignment="1" applyProtection="1">
      <alignment vertical="center"/>
      <protection locked="0"/>
    </xf>
    <xf numFmtId="0" fontId="63" fillId="7" borderId="9" xfId="0" applyFont="1" applyFill="1" applyBorder="1" applyAlignment="1" applyProtection="1">
      <alignment vertical="center"/>
      <protection locked="0"/>
    </xf>
    <xf numFmtId="0" fontId="38" fillId="0" borderId="0" xfId="0" applyFont="1" applyAlignment="1">
      <alignment wrapText="1"/>
    </xf>
    <xf numFmtId="0" fontId="75" fillId="0" borderId="0" xfId="0" applyFont="1" applyAlignment="1">
      <alignment horizontal="center" vertical="center" wrapText="1"/>
    </xf>
    <xf numFmtId="0" fontId="63" fillId="13" borderId="2" xfId="0" applyFont="1" applyFill="1" applyBorder="1" applyAlignment="1">
      <alignment horizontal="center" vertical="center"/>
    </xf>
    <xf numFmtId="0" fontId="63" fillId="13" borderId="4" xfId="0" applyFont="1" applyFill="1" applyBorder="1" applyAlignment="1">
      <alignment horizontal="center" vertical="center"/>
    </xf>
    <xf numFmtId="0" fontId="76" fillId="0" borderId="0" xfId="1" applyFont="1" applyAlignment="1" applyProtection="1">
      <alignment horizontal="center" vertical="center" wrapText="1"/>
      <protection locked="0"/>
    </xf>
    <xf numFmtId="0" fontId="76" fillId="0" borderId="0" xfId="1" applyFont="1" applyAlignment="1" applyProtection="1">
      <alignment horizontal="center" vertical="center"/>
      <protection locked="0"/>
    </xf>
    <xf numFmtId="0" fontId="72" fillId="13" borderId="0" xfId="0" applyFont="1" applyFill="1" applyAlignment="1">
      <alignment horizontal="justify" vertical="center" wrapText="1"/>
    </xf>
    <xf numFmtId="0" fontId="34" fillId="0" borderId="0" xfId="0" applyFont="1" applyAlignment="1">
      <alignment horizontal="center"/>
    </xf>
    <xf numFmtId="0" fontId="71" fillId="17" borderId="0" xfId="0" applyFont="1" applyFill="1" applyAlignment="1">
      <alignment vertical="center" wrapText="1"/>
    </xf>
    <xf numFmtId="0" fontId="74" fillId="17" borderId="0" xfId="0" applyFont="1" applyFill="1" applyAlignment="1">
      <alignment vertical="center"/>
    </xf>
    <xf numFmtId="0" fontId="67" fillId="0" borderId="0" xfId="0" applyFont="1" applyAlignment="1">
      <alignment vertical="center" wrapText="1"/>
    </xf>
    <xf numFmtId="0" fontId="67" fillId="0" borderId="0" xfId="0" applyFont="1" applyAlignment="1">
      <alignment wrapText="1"/>
    </xf>
    <xf numFmtId="0" fontId="63" fillId="0" borderId="0" xfId="0" applyFont="1" applyAlignment="1" applyProtection="1">
      <alignment horizontal="left" vertical="center"/>
      <protection locked="0"/>
    </xf>
    <xf numFmtId="166" fontId="63" fillId="14" borderId="0" xfId="0" applyNumberFormat="1" applyFont="1" applyFill="1" applyAlignment="1" applyProtection="1">
      <alignment horizontal="center" vertical="center"/>
      <protection locked="0"/>
    </xf>
    <xf numFmtId="0" fontId="78" fillId="0" borderId="0" xfId="0" applyFont="1" applyAlignment="1">
      <alignment vertical="top"/>
    </xf>
    <xf numFmtId="0" fontId="68" fillId="0" borderId="0" xfId="0" applyFont="1" applyAlignment="1">
      <alignment vertical="center" wrapText="1"/>
    </xf>
    <xf numFmtId="0" fontId="20" fillId="2" borderId="3" xfId="0" applyFont="1" applyFill="1" applyBorder="1" applyAlignment="1">
      <alignment horizontal="left" vertical="center" wrapText="1"/>
    </xf>
    <xf numFmtId="0" fontId="20" fillId="2" borderId="0" xfId="0" applyFont="1" applyFill="1" applyAlignment="1">
      <alignment horizontal="left" vertical="center" wrapText="1"/>
    </xf>
    <xf numFmtId="0" fontId="72" fillId="14" borderId="0" xfId="0" applyFont="1" applyFill="1" applyAlignment="1">
      <alignment horizontal="justify" vertical="center" wrapText="1"/>
    </xf>
    <xf numFmtId="0" fontId="66" fillId="0" borderId="0" xfId="0" applyFont="1"/>
    <xf numFmtId="0" fontId="78" fillId="0" borderId="0" xfId="0" applyFont="1" applyAlignment="1">
      <alignment vertical="center"/>
    </xf>
    <xf numFmtId="0" fontId="65" fillId="0" borderId="0" xfId="0" applyFont="1"/>
    <xf numFmtId="0" fontId="67" fillId="0" borderId="0" xfId="0" applyFont="1" applyAlignment="1">
      <alignment horizontal="center"/>
    </xf>
    <xf numFmtId="0" fontId="63" fillId="14" borderId="0" xfId="0" applyFont="1" applyFill="1" applyAlignment="1" applyProtection="1">
      <alignment horizontal="left" vertical="center" wrapText="1"/>
      <protection locked="0"/>
    </xf>
    <xf numFmtId="0" fontId="63" fillId="14" borderId="0" xfId="0" applyFont="1" applyFill="1" applyAlignment="1" applyProtection="1">
      <alignment horizontal="center" vertical="center"/>
      <protection locked="0"/>
    </xf>
    <xf numFmtId="0" fontId="2" fillId="0" borderId="0" xfId="0" applyFont="1" applyAlignment="1">
      <alignment vertical="center"/>
    </xf>
    <xf numFmtId="0" fontId="10" fillId="15" borderId="0" xfId="0" applyFont="1" applyFill="1" applyAlignment="1">
      <alignment vertical="center"/>
    </xf>
    <xf numFmtId="0" fontId="2" fillId="0" borderId="0" xfId="0" applyFont="1"/>
    <xf numFmtId="0" fontId="78" fillId="0" borderId="0" xfId="1" applyFont="1" applyAlignment="1" applyProtection="1">
      <alignment horizontal="center" vertical="center"/>
      <protection locked="0"/>
    </xf>
    <xf numFmtId="0" fontId="63" fillId="0" borderId="0" xfId="0" applyFont="1" applyAlignment="1" applyProtection="1">
      <alignment horizontal="center" vertical="center" wrapText="1"/>
      <protection locked="0"/>
    </xf>
    <xf numFmtId="0" fontId="79" fillId="0" borderId="0" xfId="0" applyFont="1" applyAlignment="1">
      <alignment horizontal="center" wrapText="1"/>
    </xf>
    <xf numFmtId="0" fontId="75" fillId="0" borderId="0" xfId="0" applyFont="1" applyAlignment="1">
      <alignment horizontal="center" wrapText="1"/>
    </xf>
    <xf numFmtId="0" fontId="63" fillId="14" borderId="0" xfId="0" applyFont="1" applyFill="1" applyAlignment="1" applyProtection="1">
      <alignment horizontal="left" vertical="top" wrapText="1"/>
      <protection locked="0"/>
    </xf>
    <xf numFmtId="0" fontId="63" fillId="12" borderId="7" xfId="0" applyFont="1" applyFill="1" applyBorder="1" applyAlignment="1" applyProtection="1">
      <alignment vertical="top" wrapText="1"/>
      <protection locked="0"/>
    </xf>
    <xf numFmtId="0" fontId="63" fillId="12" borderId="8" xfId="0" applyFont="1" applyFill="1" applyBorder="1" applyAlignment="1" applyProtection="1">
      <alignment vertical="top" wrapText="1"/>
      <protection locked="0"/>
    </xf>
    <xf numFmtId="0" fontId="63" fillId="12" borderId="9" xfId="0" applyFont="1" applyFill="1" applyBorder="1" applyAlignment="1" applyProtection="1">
      <alignment vertical="top" wrapText="1"/>
      <protection locked="0"/>
    </xf>
    <xf numFmtId="0" fontId="83" fillId="19" borderId="15" xfId="0" applyFont="1" applyFill="1" applyBorder="1" applyAlignment="1">
      <alignment horizontal="center" vertical="center" wrapText="1"/>
    </xf>
    <xf numFmtId="0" fontId="83" fillId="19" borderId="16" xfId="0" applyFont="1" applyFill="1" applyBorder="1" applyAlignment="1">
      <alignment horizontal="center" vertical="center" wrapText="1"/>
    </xf>
    <xf numFmtId="0" fontId="83" fillId="19" borderId="17" xfId="0" applyFont="1" applyFill="1" applyBorder="1" applyAlignment="1">
      <alignment horizontal="center" vertical="center" wrapText="1"/>
    </xf>
    <xf numFmtId="0" fontId="63" fillId="12" borderId="3" xfId="0" applyFont="1" applyFill="1" applyBorder="1" applyAlignment="1" applyProtection="1">
      <alignment vertical="top" wrapText="1"/>
      <protection locked="0"/>
    </xf>
    <xf numFmtId="0" fontId="63" fillId="12" borderId="12" xfId="0" applyFont="1" applyFill="1" applyBorder="1" applyAlignment="1" applyProtection="1">
      <alignment vertical="top" wrapText="1"/>
      <protection locked="0"/>
    </xf>
    <xf numFmtId="0" fontId="2" fillId="14" borderId="0" xfId="0" applyFont="1" applyFill="1" applyAlignment="1" applyProtection="1">
      <alignment horizontal="justify" vertical="center" wrapText="1"/>
      <protection locked="0"/>
    </xf>
    <xf numFmtId="0" fontId="63" fillId="14" borderId="0" xfId="0" applyFont="1" applyFill="1" applyAlignment="1" applyProtection="1">
      <alignment vertical="top" wrapText="1"/>
      <protection locked="0"/>
    </xf>
    <xf numFmtId="0" fontId="86" fillId="14" borderId="0" xfId="0" applyFont="1" applyFill="1" applyAlignment="1">
      <alignment horizontal="center" wrapText="1"/>
    </xf>
    <xf numFmtId="0" fontId="11" fillId="14" borderId="0" xfId="0" applyFont="1" applyFill="1" applyAlignment="1">
      <alignment horizontal="center" vertical="center" wrapText="1"/>
    </xf>
    <xf numFmtId="0" fontId="11" fillId="14" borderId="0" xfId="0" applyFont="1" applyFill="1" applyAlignment="1">
      <alignment horizontal="center" wrapText="1"/>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9" xfId="0" applyFont="1" applyBorder="1" applyAlignment="1">
      <alignment horizontal="justify"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9" xfId="0" applyFont="1" applyBorder="1" applyAlignment="1">
      <alignment horizontal="justify" vertical="center" wrapText="1"/>
    </xf>
    <xf numFmtId="0" fontId="63" fillId="12" borderId="1" xfId="0" applyFont="1" applyFill="1" applyBorder="1" applyAlignment="1" applyProtection="1">
      <alignment vertical="top" wrapText="1"/>
      <protection locked="0"/>
    </xf>
    <xf numFmtId="0" fontId="89" fillId="0" borderId="0" xfId="0" applyFont="1" applyAlignment="1">
      <alignment horizontal="center" vertical="center"/>
    </xf>
    <xf numFmtId="0" fontId="88" fillId="0" borderId="0" xfId="0" applyFont="1" applyAlignment="1">
      <alignment horizontal="center" vertical="center" wrapText="1"/>
    </xf>
    <xf numFmtId="0" fontId="71" fillId="0" borderId="0" xfId="1" applyFont="1" applyAlignment="1" applyProtection="1">
      <alignment horizontal="left"/>
    </xf>
    <xf numFmtId="0" fontId="81" fillId="0" borderId="0" xfId="0" applyFont="1" applyAlignment="1">
      <alignment vertical="center"/>
    </xf>
    <xf numFmtId="0" fontId="11" fillId="19" borderId="10" xfId="0" applyFont="1" applyFill="1" applyBorder="1" applyAlignment="1">
      <alignment horizontal="center" vertical="center" wrapText="1"/>
    </xf>
    <xf numFmtId="0" fontId="11" fillId="19" borderId="11" xfId="0" applyFont="1" applyFill="1" applyBorder="1" applyAlignment="1">
      <alignment horizontal="center" vertical="center" wrapText="1"/>
    </xf>
    <xf numFmtId="0" fontId="11" fillId="19" borderId="0" xfId="0" applyFont="1" applyFill="1" applyAlignment="1">
      <alignment horizontal="center"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14" xfId="0" applyFont="1" applyBorder="1" applyAlignment="1">
      <alignment horizontal="justify" vertical="center" wrapText="1"/>
    </xf>
    <xf numFmtId="0" fontId="82" fillId="19" borderId="18" xfId="0" applyFont="1" applyFill="1" applyBorder="1" applyAlignment="1">
      <alignment horizontal="center" vertical="center"/>
    </xf>
    <xf numFmtId="0" fontId="82" fillId="19" borderId="19" xfId="0" applyFont="1" applyFill="1" applyBorder="1" applyAlignment="1">
      <alignment horizontal="center" vertical="center"/>
    </xf>
    <xf numFmtId="0" fontId="82" fillId="19" borderId="20" xfId="0" applyFont="1" applyFill="1" applyBorder="1" applyAlignment="1">
      <alignment horizontal="center" vertical="center"/>
    </xf>
    <xf numFmtId="0" fontId="11" fillId="19" borderId="21" xfId="0" applyFont="1" applyFill="1" applyBorder="1" applyAlignment="1">
      <alignment horizontal="center" vertical="center"/>
    </xf>
    <xf numFmtId="0" fontId="11" fillId="19" borderId="22" xfId="0" applyFont="1" applyFill="1" applyBorder="1" applyAlignment="1">
      <alignment horizontal="center" vertical="center"/>
    </xf>
    <xf numFmtId="0" fontId="63" fillId="12" borderId="5" xfId="0" applyFont="1" applyFill="1" applyBorder="1" applyAlignment="1" applyProtection="1">
      <alignment vertical="top" wrapText="1"/>
      <protection locked="0"/>
    </xf>
    <xf numFmtId="0" fontId="63" fillId="12" borderId="6" xfId="0" applyFont="1" applyFill="1" applyBorder="1" applyAlignment="1" applyProtection="1">
      <alignment vertical="top" wrapText="1"/>
      <protection locked="0"/>
    </xf>
    <xf numFmtId="0" fontId="63" fillId="12" borderId="14" xfId="0" applyFont="1" applyFill="1" applyBorder="1" applyAlignment="1" applyProtection="1">
      <alignment vertical="top" wrapText="1"/>
      <protection locked="0"/>
    </xf>
    <xf numFmtId="0" fontId="79" fillId="14" borderId="6" xfId="0" applyFont="1" applyFill="1" applyBorder="1" applyAlignment="1">
      <alignment horizontal="center" vertical="center" wrapText="1"/>
    </xf>
    <xf numFmtId="0" fontId="38" fillId="0" borderId="6" xfId="0" applyFont="1" applyBorder="1" applyAlignment="1">
      <alignment wrapText="1"/>
    </xf>
    <xf numFmtId="0" fontId="79" fillId="0" borderId="6" xfId="0" applyFont="1" applyBorder="1" applyAlignment="1">
      <alignment horizontal="justify" vertical="center" wrapText="1"/>
    </xf>
    <xf numFmtId="0" fontId="76" fillId="0" borderId="0" xfId="1" applyFont="1" applyAlignment="1" applyProtection="1">
      <alignment vertical="center"/>
      <protection locked="0"/>
    </xf>
    <xf numFmtId="0" fontId="34" fillId="0" borderId="0" xfId="0" applyFont="1" applyAlignment="1">
      <alignment horizontal="center" vertical="top"/>
    </xf>
    <xf numFmtId="0" fontId="63" fillId="12" borderId="7" xfId="0" applyFont="1" applyFill="1" applyBorder="1" applyProtection="1">
      <protection locked="0"/>
    </xf>
    <xf numFmtId="0" fontId="63" fillId="12" borderId="8" xfId="0" applyFont="1" applyFill="1" applyBorder="1" applyProtection="1">
      <protection locked="0"/>
    </xf>
    <xf numFmtId="0" fontId="63" fillId="12" borderId="9" xfId="0" applyFont="1" applyFill="1" applyBorder="1" applyProtection="1">
      <protection locked="0"/>
    </xf>
    <xf numFmtId="0" fontId="87" fillId="2" borderId="0" xfId="0" applyFont="1" applyFill="1" applyAlignment="1">
      <alignment vertical="top"/>
    </xf>
    <xf numFmtId="0" fontId="63" fillId="12" borderId="7" xfId="0" applyFont="1" applyFill="1" applyBorder="1" applyAlignment="1" applyProtection="1">
      <alignment horizontal="center" vertical="center" wrapText="1"/>
      <protection locked="0"/>
    </xf>
    <xf numFmtId="0" fontId="63" fillId="12" borderId="9" xfId="0" applyFont="1" applyFill="1" applyBorder="1" applyAlignment="1" applyProtection="1">
      <alignment horizontal="center" vertical="center" wrapText="1"/>
      <protection locked="0"/>
    </xf>
    <xf numFmtId="0" fontId="63" fillId="12" borderId="7" xfId="0" applyFont="1" applyFill="1" applyBorder="1" applyAlignment="1" applyProtection="1">
      <alignment horizontal="left" vertical="center" wrapText="1"/>
      <protection locked="0"/>
    </xf>
    <xf numFmtId="0" fontId="63" fillId="12" borderId="8" xfId="0" applyFont="1" applyFill="1" applyBorder="1" applyAlignment="1" applyProtection="1">
      <alignment horizontal="left" vertical="center" wrapText="1"/>
      <protection locked="0"/>
    </xf>
    <xf numFmtId="0" fontId="63" fillId="12" borderId="9" xfId="0" applyFont="1" applyFill="1" applyBorder="1" applyAlignment="1" applyProtection="1">
      <alignment horizontal="left" vertical="center" wrapText="1"/>
      <protection locked="0"/>
    </xf>
    <xf numFmtId="0" fontId="76" fillId="0" borderId="0" xfId="1" applyFont="1" applyAlignment="1" applyProtection="1">
      <alignment vertical="center"/>
    </xf>
    <xf numFmtId="0" fontId="38" fillId="2" borderId="0" xfId="0" applyFont="1" applyFill="1" applyAlignment="1">
      <alignment vertical="center" wrapText="1"/>
    </xf>
    <xf numFmtId="0" fontId="2" fillId="2" borderId="0" xfId="0" applyFont="1" applyFill="1" applyAlignment="1">
      <alignment wrapText="1"/>
    </xf>
    <xf numFmtId="0" fontId="74" fillId="17" borderId="0" xfId="0" applyFont="1" applyFill="1" applyAlignment="1">
      <alignment vertical="center" wrapText="1"/>
    </xf>
    <xf numFmtId="0" fontId="11" fillId="13" borderId="7" xfId="0" applyFont="1" applyFill="1" applyBorder="1" applyAlignment="1">
      <alignment horizontal="left" vertical="center" wrapText="1"/>
    </xf>
    <xf numFmtId="0" fontId="11" fillId="13" borderId="8" xfId="0" applyFont="1" applyFill="1" applyBorder="1" applyAlignment="1">
      <alignment horizontal="left" vertical="center" wrapText="1"/>
    </xf>
    <xf numFmtId="0" fontId="11" fillId="13" borderId="9" xfId="0" applyFont="1" applyFill="1" applyBorder="1" applyAlignment="1">
      <alignment horizontal="left" vertical="center" wrapText="1"/>
    </xf>
    <xf numFmtId="0" fontId="2" fillId="5" borderId="4" xfId="0" applyFont="1" applyFill="1" applyBorder="1" applyAlignment="1">
      <alignment horizontal="center" wrapText="1"/>
    </xf>
    <xf numFmtId="0" fontId="18" fillId="14" borderId="0" xfId="0" applyFont="1" applyFill="1" applyAlignment="1">
      <alignment wrapText="1"/>
    </xf>
    <xf numFmtId="0" fontId="18" fillId="14" borderId="0" xfId="0" applyFont="1" applyFill="1"/>
    <xf numFmtId="0" fontId="63" fillId="0" borderId="0" xfId="0" applyFont="1" applyAlignment="1" applyProtection="1">
      <alignment horizontal="left" vertical="top" wrapText="1"/>
      <protection locked="0"/>
    </xf>
    <xf numFmtId="0" fontId="11" fillId="0" borderId="0" xfId="0" applyFont="1" applyAlignment="1">
      <alignment vertical="center" wrapText="1"/>
    </xf>
    <xf numFmtId="0" fontId="63" fillId="12" borderId="1" xfId="0" applyFont="1" applyFill="1" applyBorder="1" applyAlignment="1" applyProtection="1">
      <alignment horizontal="left" vertical="center" wrapText="1"/>
      <protection locked="0"/>
    </xf>
    <xf numFmtId="167" fontId="63" fillId="5" borderId="1" xfId="0" applyNumberFormat="1" applyFont="1" applyFill="1" applyBorder="1" applyAlignment="1">
      <alignment horizontal="center" vertical="center"/>
    </xf>
    <xf numFmtId="0" fontId="11" fillId="5" borderId="4" xfId="0" applyFont="1" applyFill="1" applyBorder="1" applyAlignment="1">
      <alignment horizontal="center" vertical="center"/>
    </xf>
    <xf numFmtId="0" fontId="94" fillId="13" borderId="7" xfId="0" applyFont="1" applyFill="1" applyBorder="1" applyAlignment="1">
      <alignment horizontal="center" vertical="center" wrapText="1"/>
    </xf>
    <xf numFmtId="0" fontId="94" fillId="13" borderId="8" xfId="0" applyFont="1" applyFill="1" applyBorder="1" applyAlignment="1">
      <alignment horizontal="center" vertical="center" wrapText="1"/>
    </xf>
    <xf numFmtId="0" fontId="94" fillId="13" borderId="9" xfId="0" applyFont="1" applyFill="1" applyBorder="1" applyAlignment="1">
      <alignment horizontal="center" vertical="center" wrapText="1"/>
    </xf>
    <xf numFmtId="0" fontId="75" fillId="0" borderId="0" xfId="0" applyFont="1"/>
    <xf numFmtId="0" fontId="79" fillId="0" borderId="0" xfId="0" applyFont="1" applyAlignment="1">
      <alignment horizontal="left" vertical="top" wrapText="1"/>
    </xf>
    <xf numFmtId="0" fontId="90" fillId="0" borderId="0" xfId="0" applyFont="1"/>
    <xf numFmtId="0" fontId="38" fillId="0" borderId="0" xfId="0" quotePrefix="1" applyFont="1" applyAlignment="1">
      <alignment horizontal="center" vertical="center"/>
    </xf>
    <xf numFmtId="0" fontId="38" fillId="0" borderId="0" xfId="0" applyFont="1" applyAlignment="1">
      <alignment horizontal="center" vertical="center"/>
    </xf>
    <xf numFmtId="0" fontId="90" fillId="0" borderId="0" xfId="0" applyFont="1" applyAlignment="1">
      <alignment vertical="center"/>
    </xf>
    <xf numFmtId="0" fontId="11" fillId="5" borderId="1" xfId="0" applyFont="1" applyFill="1" applyBorder="1" applyAlignment="1">
      <alignment horizontal="center" vertical="center"/>
    </xf>
    <xf numFmtId="0" fontId="2" fillId="13" borderId="7" xfId="0" applyFont="1" applyFill="1" applyBorder="1" applyAlignment="1">
      <alignment horizontal="center" vertical="center" wrapText="1"/>
    </xf>
    <xf numFmtId="0" fontId="2" fillId="13" borderId="8" xfId="0" applyFont="1" applyFill="1" applyBorder="1" applyAlignment="1">
      <alignment horizontal="center" vertical="center" wrapText="1"/>
    </xf>
    <xf numFmtId="0" fontId="2" fillId="13" borderId="9" xfId="0" applyFont="1" applyFill="1" applyBorder="1" applyAlignment="1">
      <alignment horizontal="center" vertical="center" wrapText="1"/>
    </xf>
    <xf numFmtId="0" fontId="96" fillId="8" borderId="7" xfId="0" applyFont="1" applyFill="1" applyBorder="1" applyAlignment="1">
      <alignment horizontal="right" vertical="center" wrapText="1"/>
    </xf>
    <xf numFmtId="0" fontId="96" fillId="8" borderId="8" xfId="0" applyFont="1" applyFill="1" applyBorder="1" applyAlignment="1">
      <alignment horizontal="right" vertical="center" wrapText="1"/>
    </xf>
    <xf numFmtId="0" fontId="96" fillId="8" borderId="9" xfId="0" applyFont="1" applyFill="1" applyBorder="1" applyAlignment="1">
      <alignment horizontal="right" vertical="center" wrapText="1"/>
    </xf>
    <xf numFmtId="0" fontId="11" fillId="5" borderId="1" xfId="0" applyFont="1" applyFill="1" applyBorder="1" applyAlignment="1">
      <alignment horizontal="center" vertical="center" wrapText="1"/>
    </xf>
    <xf numFmtId="0" fontId="63" fillId="12" borderId="7" xfId="0" applyFont="1" applyFill="1" applyBorder="1" applyAlignment="1" applyProtection="1">
      <alignment horizontal="left" vertical="top" wrapText="1"/>
      <protection locked="0"/>
    </xf>
    <xf numFmtId="0" fontId="63" fillId="12" borderId="8" xfId="0" applyFont="1" applyFill="1" applyBorder="1" applyAlignment="1" applyProtection="1">
      <alignment horizontal="left" vertical="top" wrapText="1"/>
      <protection locked="0"/>
    </xf>
    <xf numFmtId="0" fontId="63" fillId="12" borderId="9" xfId="0" applyFont="1" applyFill="1" applyBorder="1" applyAlignment="1" applyProtection="1">
      <alignment horizontal="left" vertical="top" wrapText="1"/>
      <protection locked="0"/>
    </xf>
    <xf numFmtId="0" fontId="71" fillId="17" borderId="0" xfId="1" applyFont="1" applyFill="1" applyAlignment="1" applyProtection="1">
      <alignment vertical="center"/>
      <protection locked="0"/>
    </xf>
    <xf numFmtId="0" fontId="95" fillId="0" borderId="0" xfId="0" applyFont="1" applyAlignment="1">
      <alignment horizontal="left" vertical="center" wrapText="1"/>
    </xf>
    <xf numFmtId="0" fontId="97" fillId="8" borderId="7" xfId="0" applyFont="1" applyFill="1" applyBorder="1" applyAlignment="1">
      <alignment horizontal="right" vertical="center" wrapText="1"/>
    </xf>
    <xf numFmtId="0" fontId="97" fillId="8" borderId="8" xfId="0" applyFont="1" applyFill="1" applyBorder="1" applyAlignment="1">
      <alignment horizontal="right" vertical="center" wrapText="1"/>
    </xf>
    <xf numFmtId="0" fontId="97" fillId="8" borderId="9" xfId="0" applyFont="1" applyFill="1" applyBorder="1" applyAlignment="1">
      <alignment horizontal="right" vertical="center" wrapText="1"/>
    </xf>
    <xf numFmtId="0" fontId="76" fillId="0" borderId="0" xfId="1" applyFont="1" applyAlignment="1" applyProtection="1">
      <alignment horizontal="left" vertical="center" wrapText="1"/>
      <protection locked="0"/>
    </xf>
    <xf numFmtId="0" fontId="49" fillId="22" borderId="0" xfId="0" applyFont="1" applyFill="1" applyAlignment="1">
      <alignment horizontal="center" vertical="center" wrapText="1"/>
    </xf>
    <xf numFmtId="0" fontId="2" fillId="2" borderId="0" xfId="0" applyFont="1" applyFill="1" applyAlignment="1">
      <alignment vertical="top" wrapText="1"/>
    </xf>
    <xf numFmtId="0" fontId="11" fillId="24" borderId="10" xfId="0" applyFont="1" applyFill="1" applyBorder="1" applyAlignment="1">
      <alignment horizontal="center" vertical="top" wrapText="1"/>
    </xf>
    <xf numFmtId="0" fontId="2" fillId="24" borderId="13" xfId="0" applyFont="1" applyFill="1" applyBorder="1" applyAlignment="1">
      <alignment horizontal="center" vertical="top" wrapText="1"/>
    </xf>
    <xf numFmtId="0" fontId="2" fillId="24" borderId="5" xfId="0" applyFont="1" applyFill="1" applyBorder="1" applyAlignment="1">
      <alignment horizontal="center" vertical="top" wrapText="1"/>
    </xf>
    <xf numFmtId="0" fontId="2" fillId="24" borderId="14" xfId="0" applyFont="1" applyFill="1" applyBorder="1" applyAlignment="1">
      <alignment horizontal="center" vertical="top" wrapText="1"/>
    </xf>
    <xf numFmtId="0" fontId="63" fillId="12" borderId="9" xfId="0" applyFont="1" applyFill="1" applyBorder="1" applyAlignment="1" applyProtection="1">
      <alignment horizontal="left" vertical="center"/>
      <protection locked="0"/>
    </xf>
    <xf numFmtId="0" fontId="63" fillId="12" borderId="7" xfId="0" applyFont="1" applyFill="1" applyBorder="1" applyAlignment="1" applyProtection="1">
      <alignment horizontal="left" vertical="center"/>
      <protection locked="0"/>
    </xf>
    <xf numFmtId="0" fontId="63" fillId="12" borderId="7" xfId="0" applyFont="1" applyFill="1" applyBorder="1" applyAlignment="1" applyProtection="1">
      <alignment horizontal="left"/>
      <protection locked="0"/>
    </xf>
    <xf numFmtId="0" fontId="63" fillId="12" borderId="9" xfId="0" applyFont="1" applyFill="1" applyBorder="1" applyAlignment="1" applyProtection="1">
      <alignment horizontal="left"/>
      <protection locked="0"/>
    </xf>
    <xf numFmtId="0" fontId="34" fillId="0" borderId="0" xfId="0" applyFont="1" applyAlignment="1">
      <alignment horizontal="center" vertical="top" wrapText="1"/>
    </xf>
    <xf numFmtId="0" fontId="97" fillId="30" borderId="7" xfId="0" applyFont="1" applyFill="1" applyBorder="1" applyAlignment="1">
      <alignment horizontal="center" vertical="center" wrapText="1"/>
    </xf>
    <xf numFmtId="0" fontId="97" fillId="30" borderId="8" xfId="0" applyFont="1" applyFill="1" applyBorder="1" applyAlignment="1">
      <alignment horizontal="center" vertical="center" wrapText="1"/>
    </xf>
    <xf numFmtId="0" fontId="97" fillId="30" borderId="9" xfId="0" applyFont="1" applyFill="1" applyBorder="1" applyAlignment="1">
      <alignment horizontal="center" vertical="center" wrapText="1"/>
    </xf>
    <xf numFmtId="0" fontId="11" fillId="10" borderId="0" xfId="0" applyFont="1" applyFill="1" applyAlignment="1">
      <alignment horizontal="center"/>
    </xf>
    <xf numFmtId="0" fontId="99" fillId="23" borderId="0" xfId="0" applyFont="1" applyFill="1" applyAlignment="1">
      <alignment horizontal="left" vertical="center"/>
    </xf>
    <xf numFmtId="0" fontId="78" fillId="0" borderId="0" xfId="1" applyFont="1" applyAlignment="1">
      <alignment horizontal="center" vertical="center" wrapText="1"/>
    </xf>
    <xf numFmtId="0" fontId="2" fillId="2" borderId="0" xfId="0" applyFont="1" applyFill="1" applyAlignment="1">
      <alignment vertical="center" wrapText="1"/>
    </xf>
    <xf numFmtId="0" fontId="65" fillId="0" borderId="0" xfId="0" applyFont="1" applyAlignment="1">
      <alignment vertical="center"/>
    </xf>
    <xf numFmtId="0" fontId="38" fillId="0" borderId="0" xfId="0" applyFont="1" applyAlignment="1">
      <alignment horizontal="left" vertical="top" wrapText="1"/>
    </xf>
    <xf numFmtId="0" fontId="38" fillId="2" borderId="0" xfId="0" applyFont="1" applyFill="1" applyAlignment="1">
      <alignment wrapText="1"/>
    </xf>
    <xf numFmtId="0" fontId="87" fillId="0" borderId="0" xfId="0" applyFont="1" applyAlignment="1">
      <alignment vertical="top" wrapText="1"/>
    </xf>
    <xf numFmtId="0" fontId="101" fillId="0" borderId="0" xfId="0" applyFont="1" applyAlignment="1">
      <alignment vertical="top" wrapText="1"/>
    </xf>
    <xf numFmtId="0" fontId="97" fillId="28" borderId="5" xfId="0" applyFont="1" applyFill="1" applyBorder="1" applyAlignment="1">
      <alignment horizontal="center" vertical="center" wrapText="1"/>
    </xf>
    <xf numFmtId="0" fontId="97" fillId="28" borderId="6" xfId="0" applyFont="1" applyFill="1" applyBorder="1" applyAlignment="1">
      <alignment horizontal="center" vertical="center" wrapText="1"/>
    </xf>
    <xf numFmtId="0" fontId="11" fillId="0" borderId="0" xfId="0" applyFont="1" applyAlignment="1">
      <alignment horizontal="right" vertical="center"/>
    </xf>
    <xf numFmtId="0" fontId="11" fillId="0" borderId="12" xfId="0" applyFont="1" applyBorder="1" applyAlignment="1">
      <alignment horizontal="righ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12" xfId="0" applyFont="1" applyBorder="1" applyAlignment="1">
      <alignment horizontal="center" vertical="center"/>
    </xf>
    <xf numFmtId="0" fontId="99" fillId="21" borderId="0" xfId="0" applyFont="1" applyFill="1" applyAlignment="1">
      <alignment horizontal="left" vertical="center"/>
    </xf>
    <xf numFmtId="0" fontId="11" fillId="0" borderId="0" xfId="0" applyFont="1"/>
    <xf numFmtId="0" fontId="63" fillId="12" borderId="7" xfId="0" applyFont="1" applyFill="1" applyBorder="1" applyAlignment="1" applyProtection="1">
      <alignment horizontal="left" wrapText="1"/>
      <protection locked="0"/>
    </xf>
    <xf numFmtId="0" fontId="110" fillId="0" borderId="0" xfId="0" applyFont="1" applyAlignment="1">
      <alignment horizontal="center" vertical="center" wrapText="1"/>
    </xf>
    <xf numFmtId="0" fontId="78" fillId="0" borderId="0" xfId="1" applyFont="1" applyAlignment="1" applyProtection="1">
      <alignment horizontal="center" vertical="center" wrapText="1"/>
      <protection locked="0"/>
    </xf>
    <xf numFmtId="0" fontId="12" fillId="29" borderId="10" xfId="0" applyFont="1" applyFill="1" applyBorder="1" applyAlignment="1">
      <alignment horizontal="center" vertical="top" wrapText="1"/>
    </xf>
    <xf numFmtId="0" fontId="12" fillId="29" borderId="13" xfId="0" applyFont="1" applyFill="1" applyBorder="1" applyAlignment="1">
      <alignment horizontal="center" vertical="top" wrapText="1"/>
    </xf>
    <xf numFmtId="0" fontId="12" fillId="29" borderId="5" xfId="0" applyFont="1" applyFill="1" applyBorder="1" applyAlignment="1">
      <alignment horizontal="center" vertical="top" wrapText="1"/>
    </xf>
    <xf numFmtId="0" fontId="12" fillId="29" borderId="14" xfId="0" applyFont="1" applyFill="1" applyBorder="1" applyAlignment="1">
      <alignment horizontal="center" vertical="top" wrapText="1"/>
    </xf>
    <xf numFmtId="0" fontId="71" fillId="0" borderId="0" xfId="1" applyFont="1" applyAlignment="1" applyProtection="1">
      <alignment horizontal="center" vertical="center" wrapText="1"/>
      <protection locked="0"/>
    </xf>
    <xf numFmtId="0" fontId="71" fillId="0" borderId="0" xfId="0" applyFont="1" applyAlignment="1">
      <alignment horizontal="center" vertical="center" wrapText="1"/>
    </xf>
    <xf numFmtId="0" fontId="11" fillId="0" borderId="0" xfId="0" applyFont="1" applyAlignment="1">
      <alignment horizontal="righ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69" fillId="0" borderId="0" xfId="0" applyFont="1" applyAlignment="1">
      <alignment horizontal="center" vertical="center" wrapText="1"/>
    </xf>
    <xf numFmtId="0" fontId="2" fillId="0" borderId="0" xfId="0" applyFont="1" applyAlignment="1">
      <alignment horizontal="right" vertical="center" wrapText="1"/>
    </xf>
    <xf numFmtId="0" fontId="2" fillId="0" borderId="0" xfId="0" applyFont="1" applyAlignment="1">
      <alignment horizontal="right" vertical="center"/>
    </xf>
    <xf numFmtId="0" fontId="63" fillId="14" borderId="0" xfId="0" applyFont="1" applyFill="1" applyAlignment="1" applyProtection="1">
      <alignment horizontal="center" vertical="center" wrapText="1"/>
      <protection locked="0"/>
    </xf>
    <xf numFmtId="0" fontId="1" fillId="0" borderId="0" xfId="0" applyFont="1" applyAlignment="1">
      <alignment vertical="center"/>
    </xf>
    <xf numFmtId="0" fontId="63" fillId="14" borderId="0" xfId="0" applyFont="1" applyFill="1" applyAlignment="1" applyProtection="1">
      <alignment vertical="center" wrapText="1"/>
      <protection locked="0"/>
    </xf>
    <xf numFmtId="0" fontId="95" fillId="0" borderId="0" xfId="0" applyFont="1" applyAlignment="1">
      <alignment horizontal="center" vertical="center" wrapText="1"/>
    </xf>
    <xf numFmtId="0" fontId="34" fillId="14" borderId="0" xfId="0" applyFont="1" applyFill="1" applyAlignment="1">
      <alignment horizontal="center" vertical="center"/>
    </xf>
    <xf numFmtId="0" fontId="1" fillId="0" borderId="0" xfId="0" applyFont="1" applyAlignment="1" applyProtection="1">
      <alignment horizontal="left" vertical="center" wrapText="1"/>
      <protection locked="0"/>
    </xf>
    <xf numFmtId="0" fontId="98" fillId="14" borderId="0" xfId="0" applyFont="1" applyFill="1" applyAlignment="1" applyProtection="1">
      <alignment horizontal="center" vertical="center"/>
      <protection locked="0"/>
    </xf>
    <xf numFmtId="14" fontId="98" fillId="14" borderId="0" xfId="0" applyNumberFormat="1" applyFont="1" applyFill="1" applyAlignment="1" applyProtection="1">
      <alignment horizontal="center" vertical="center"/>
      <protection locked="0"/>
    </xf>
    <xf numFmtId="0" fontId="1" fillId="0" borderId="0" xfId="0" applyFont="1" applyAlignment="1">
      <alignment horizontal="center" vertical="center" wrapText="1"/>
    </xf>
    <xf numFmtId="0" fontId="22" fillId="14" borderId="0" xfId="0" applyFont="1" applyFill="1" applyAlignment="1">
      <alignment horizontal="justify" vertical="center" wrapText="1"/>
    </xf>
    <xf numFmtId="0" fontId="12" fillId="0" borderId="0" xfId="0" applyFont="1" applyAlignment="1">
      <alignment horizontal="center" vertical="center" wrapText="1"/>
    </xf>
    <xf numFmtId="0" fontId="87" fillId="14" borderId="0" xfId="0" applyFont="1" applyFill="1" applyAlignment="1">
      <alignment horizontal="center" vertical="center" wrapText="1"/>
    </xf>
    <xf numFmtId="0" fontId="104" fillId="14" borderId="0" xfId="0" applyFont="1" applyFill="1" applyAlignment="1">
      <alignment horizontal="center" vertical="center" wrapText="1"/>
    </xf>
    <xf numFmtId="0" fontId="12" fillId="0" borderId="0" xfId="0" applyFont="1" applyAlignment="1">
      <alignment horizontal="right" vertical="center" wrapText="1"/>
    </xf>
    <xf numFmtId="0" fontId="12" fillId="0" borderId="0" xfId="0" applyFont="1" applyAlignment="1">
      <alignment vertical="center" wrapText="1"/>
    </xf>
    <xf numFmtId="0" fontId="63" fillId="0" borderId="0" xfId="0" applyFont="1" applyAlignment="1" applyProtection="1">
      <alignment horizontal="center" vertical="center"/>
      <protection locked="0"/>
    </xf>
    <xf numFmtId="0" fontId="104" fillId="0" borderId="0" xfId="0" applyFont="1" applyAlignment="1">
      <alignment horizontal="center" vertical="center" wrapText="1"/>
    </xf>
    <xf numFmtId="0" fontId="63" fillId="14" borderId="0" xfId="0" applyFont="1" applyFill="1" applyAlignment="1" applyProtection="1">
      <alignment horizontal="left"/>
      <protection locked="0"/>
    </xf>
    <xf numFmtId="0" fontId="95" fillId="0" borderId="0" xfId="0" applyFont="1" applyAlignment="1">
      <alignment horizontal="center" vertical="top" wrapText="1"/>
    </xf>
    <xf numFmtId="0" fontId="22" fillId="2" borderId="0" xfId="0" applyFont="1" applyFill="1" applyAlignment="1">
      <alignment vertical="center" wrapText="1"/>
    </xf>
    <xf numFmtId="0" fontId="22" fillId="2" borderId="0" xfId="0" applyFont="1" applyFill="1" applyAlignment="1">
      <alignment horizontal="left" vertical="center" wrapText="1"/>
    </xf>
    <xf numFmtId="0" fontId="95" fillId="0" borderId="0" xfId="2" applyFont="1" applyAlignment="1">
      <alignment horizontal="justify" vertical="center" wrapText="1"/>
    </xf>
    <xf numFmtId="0" fontId="95" fillId="13" borderId="0" xfId="2" applyFont="1" applyFill="1" applyAlignment="1">
      <alignment horizontal="justify" vertical="center" wrapText="1"/>
    </xf>
    <xf numFmtId="0" fontId="32" fillId="12" borderId="0" xfId="2" applyFont="1" applyFill="1" applyAlignment="1" applyProtection="1">
      <alignment horizontal="center" vertical="center" wrapText="1"/>
      <protection locked="0"/>
    </xf>
    <xf numFmtId="0" fontId="12" fillId="14" borderId="0" xfId="0" applyFont="1" applyFill="1" applyAlignment="1">
      <alignment horizontal="center" vertical="center" wrapText="1"/>
    </xf>
    <xf numFmtId="0" fontId="71" fillId="14" borderId="0" xfId="1" applyFont="1" applyFill="1" applyAlignment="1" applyProtection="1">
      <alignment horizontal="center" vertical="center" wrapText="1"/>
      <protection locked="0"/>
    </xf>
    <xf numFmtId="17" fontId="98" fillId="14" borderId="0" xfId="0" applyNumberFormat="1" applyFont="1" applyFill="1" applyAlignment="1" applyProtection="1">
      <alignment horizontal="center" vertical="center"/>
      <protection locked="0"/>
    </xf>
    <xf numFmtId="0" fontId="34" fillId="32" borderId="0" xfId="0" applyFont="1" applyFill="1" applyAlignment="1">
      <alignment horizontal="center" vertical="center"/>
    </xf>
    <xf numFmtId="0" fontId="1" fillId="0" borderId="0" xfId="0" quotePrefix="1" applyFont="1" applyAlignment="1">
      <alignment wrapText="1"/>
    </xf>
    <xf numFmtId="0" fontId="1" fillId="0" borderId="0" xfId="0" applyFont="1" applyAlignment="1">
      <alignment wrapText="1"/>
    </xf>
    <xf numFmtId="0" fontId="67" fillId="16" borderId="0" xfId="0" applyFont="1" applyFill="1" applyAlignment="1">
      <alignment vertical="center" wrapText="1"/>
    </xf>
    <xf numFmtId="0" fontId="63" fillId="2" borderId="0" xfId="0" applyFont="1" applyFill="1" applyAlignment="1">
      <alignment vertical="center" wrapText="1"/>
    </xf>
    <xf numFmtId="0" fontId="105" fillId="27" borderId="0" xfId="0" applyFont="1" applyFill="1" applyAlignment="1">
      <alignment horizontal="center" vertical="center" wrapText="1"/>
    </xf>
    <xf numFmtId="0" fontId="105" fillId="27" borderId="0" xfId="0" applyFont="1" applyFill="1" applyAlignment="1">
      <alignment horizontal="center" vertical="center"/>
    </xf>
    <xf numFmtId="0" fontId="79" fillId="26" borderId="0" xfId="0" applyFont="1" applyFill="1" applyAlignment="1">
      <alignment horizontal="center" vertical="center"/>
    </xf>
    <xf numFmtId="0" fontId="38" fillId="26" borderId="0" xfId="0" applyFont="1" applyFill="1" applyAlignment="1">
      <alignment horizontal="center" vertical="center"/>
    </xf>
    <xf numFmtId="0" fontId="38" fillId="26" borderId="0" xfId="0" applyFont="1" applyFill="1" applyAlignment="1">
      <alignment horizontal="center" vertical="center" wrapText="1"/>
    </xf>
    <xf numFmtId="0" fontId="63" fillId="2" borderId="23" xfId="0" applyFont="1" applyFill="1" applyBorder="1" applyAlignment="1">
      <alignment horizontal="justify" vertical="center" wrapText="1"/>
    </xf>
    <xf numFmtId="0" fontId="105" fillId="25" borderId="0" xfId="0" applyFont="1" applyFill="1" applyAlignment="1">
      <alignment horizontal="center" vertical="center" wrapText="1"/>
    </xf>
    <xf numFmtId="0" fontId="105" fillId="25" borderId="0" xfId="0" applyFont="1" applyFill="1" applyAlignment="1">
      <alignment horizontal="center" vertical="center"/>
    </xf>
    <xf numFmtId="0" fontId="79" fillId="35" borderId="0" xfId="0" applyFont="1" applyFill="1" applyAlignment="1">
      <alignment horizontal="center" vertical="center"/>
    </xf>
    <xf numFmtId="0" fontId="38" fillId="35" borderId="0" xfId="0" applyFont="1" applyFill="1" applyAlignment="1">
      <alignment horizontal="center" vertical="center"/>
    </xf>
    <xf numFmtId="0" fontId="38" fillId="35" borderId="0" xfId="0" applyFont="1" applyFill="1" applyAlignment="1">
      <alignment horizontal="center" vertical="center" wrapText="1"/>
    </xf>
    <xf numFmtId="0" fontId="75" fillId="0" borderId="0" xfId="0" applyFont="1" applyAlignment="1">
      <alignment horizontal="right" vertical="center" wrapText="1"/>
    </xf>
    <xf numFmtId="0" fontId="76" fillId="24" borderId="0" xfId="0" applyFont="1" applyFill="1" applyAlignment="1">
      <alignment vertical="center" wrapText="1"/>
    </xf>
    <xf numFmtId="0" fontId="2" fillId="0" borderId="0" xfId="0" applyFont="1" applyAlignment="1" applyProtection="1">
      <alignment horizontal="left" vertical="top"/>
      <protection locked="0"/>
    </xf>
    <xf numFmtId="0" fontId="61" fillId="0" borderId="1" xfId="0" applyFont="1" applyBorder="1" applyAlignment="1">
      <alignment horizontal="right" vertical="center" wrapText="1"/>
    </xf>
    <xf numFmtId="0" fontId="61" fillId="0" borderId="1" xfId="0" applyFont="1" applyBorder="1" applyAlignment="1">
      <alignment horizontal="right" vertical="center"/>
    </xf>
    <xf numFmtId="0" fontId="17" fillId="0" borderId="3" xfId="0" applyFont="1" applyBorder="1" applyAlignment="1">
      <alignment wrapText="1"/>
    </xf>
    <xf numFmtId="0" fontId="17" fillId="0" borderId="0" xfId="0" applyFont="1" applyAlignment="1">
      <alignment wrapText="1"/>
    </xf>
    <xf numFmtId="0" fontId="61" fillId="0" borderId="1" xfId="0" applyFont="1" applyBorder="1" applyAlignment="1">
      <alignment vertical="center" wrapText="1"/>
    </xf>
    <xf numFmtId="0" fontId="61" fillId="0" borderId="1" xfId="0" applyFont="1" applyBorder="1" applyAlignment="1">
      <alignment horizontal="left" vertical="center"/>
    </xf>
    <xf numFmtId="0" fontId="61" fillId="0" borderId="1" xfId="0" applyFont="1" applyBorder="1" applyAlignment="1">
      <alignment horizontal="left" vertical="center" wrapText="1"/>
    </xf>
    <xf numFmtId="0" fontId="61" fillId="0" borderId="7" xfId="0" applyFont="1" applyBorder="1" applyAlignment="1">
      <alignment horizontal="left" vertical="center"/>
    </xf>
    <xf numFmtId="0" fontId="61" fillId="0" borderId="8" xfId="0" applyFont="1" applyBorder="1" applyAlignment="1">
      <alignment horizontal="left" vertical="center"/>
    </xf>
    <xf numFmtId="0" fontId="61" fillId="0" borderId="9" xfId="0" applyFont="1" applyBorder="1" applyAlignment="1">
      <alignment horizontal="left" vertical="center"/>
    </xf>
    <xf numFmtId="0" fontId="61" fillId="0" borderId="1" xfId="0" applyFont="1" applyBorder="1" applyAlignment="1">
      <alignment vertical="center"/>
    </xf>
    <xf numFmtId="0" fontId="61" fillId="0" borderId="0" xfId="0" applyFont="1" applyAlignment="1">
      <alignment wrapText="1"/>
    </xf>
    <xf numFmtId="0" fontId="86" fillId="8" borderId="1" xfId="0" applyFont="1" applyFill="1" applyBorder="1" applyAlignment="1">
      <alignment horizontal="center" vertical="center"/>
    </xf>
    <xf numFmtId="0" fontId="86" fillId="8" borderId="1" xfId="0" applyFont="1" applyFill="1" applyBorder="1" applyAlignment="1">
      <alignment horizontal="center" vertical="center" wrapText="1"/>
    </xf>
    <xf numFmtId="0" fontId="63" fillId="0" borderId="1" xfId="0" applyFont="1" applyBorder="1" applyAlignment="1" applyProtection="1">
      <alignment horizontal="left" vertical="center" wrapText="1"/>
      <protection locked="0"/>
    </xf>
    <xf numFmtId="0" fontId="58" fillId="12" borderId="1" xfId="1" applyNumberFormat="1" applyFont="1" applyFill="1" applyBorder="1" applyAlignment="1" applyProtection="1">
      <alignment horizontal="left" vertical="center" wrapText="1"/>
      <protection locked="0"/>
    </xf>
    <xf numFmtId="0" fontId="38" fillId="0" borderId="0" xfId="0" applyFont="1" applyAlignment="1">
      <alignment horizontal="left" vertical="center" wrapText="1"/>
    </xf>
    <xf numFmtId="0" fontId="38" fillId="13" borderId="7" xfId="0" applyFont="1" applyFill="1" applyBorder="1" applyAlignment="1">
      <alignment vertical="center"/>
    </xf>
    <xf numFmtId="0" fontId="38" fillId="13" borderId="8" xfId="0" applyFont="1" applyFill="1" applyBorder="1" applyAlignment="1">
      <alignment vertical="center"/>
    </xf>
    <xf numFmtId="0" fontId="38" fillId="13" borderId="9" xfId="0" applyFont="1" applyFill="1" applyBorder="1" applyAlignment="1">
      <alignment vertical="center"/>
    </xf>
    <xf numFmtId="0" fontId="61" fillId="0" borderId="7" xfId="0" applyFont="1" applyBorder="1" applyAlignment="1">
      <alignment vertical="center" wrapText="1"/>
    </xf>
    <xf numFmtId="0" fontId="61" fillId="0" borderId="8" xfId="0" applyFont="1" applyBorder="1" applyAlignment="1">
      <alignment vertical="center" wrapText="1"/>
    </xf>
    <xf numFmtId="0" fontId="61" fillId="0" borderId="9" xfId="0" applyFont="1" applyBorder="1" applyAlignment="1">
      <alignment vertical="center" wrapText="1"/>
    </xf>
    <xf numFmtId="0" fontId="95" fillId="14" borderId="0" xfId="0" applyFont="1" applyFill="1" applyAlignment="1">
      <alignment horizontal="center" vertical="center" wrapText="1"/>
    </xf>
    <xf numFmtId="0" fontId="78" fillId="14" borderId="0" xfId="0" applyFont="1" applyFill="1" applyAlignment="1">
      <alignment vertical="center" wrapText="1"/>
    </xf>
    <xf numFmtId="0" fontId="71" fillId="0" borderId="0" xfId="1" applyFont="1" applyFill="1" applyAlignment="1" applyProtection="1">
      <alignment vertical="center"/>
      <protection locked="0"/>
    </xf>
    <xf numFmtId="0" fontId="15" fillId="14" borderId="0" xfId="0" applyFont="1" applyFill="1" applyAlignment="1">
      <alignment vertical="center" wrapText="1"/>
    </xf>
    <xf numFmtId="0" fontId="108" fillId="14" borderId="0" xfId="0" applyFont="1" applyFill="1" applyAlignment="1">
      <alignment horizontal="center" vertical="center" wrapText="1"/>
    </xf>
    <xf numFmtId="0" fontId="34" fillId="0" borderId="0" xfId="0" applyFont="1" applyAlignment="1">
      <alignment horizontal="center" vertical="center" wrapText="1"/>
    </xf>
    <xf numFmtId="0" fontId="47" fillId="0" borderId="0" xfId="0" applyFont="1" applyAlignment="1">
      <alignment horizontal="right" vertical="center" wrapText="1"/>
    </xf>
    <xf numFmtId="0" fontId="38" fillId="0" borderId="0" xfId="0" quotePrefix="1" applyFont="1" applyAlignment="1">
      <alignment horizontal="left" vertical="center" wrapText="1"/>
    </xf>
    <xf numFmtId="0" fontId="2" fillId="0" borderId="0" xfId="0" applyFont="1" applyAlignment="1" applyProtection="1">
      <alignment horizontal="left" vertical="center"/>
      <protection locked="0"/>
    </xf>
    <xf numFmtId="0" fontId="61" fillId="0" borderId="0" xfId="0" applyFont="1" applyAlignment="1">
      <alignment vertical="center" wrapText="1"/>
    </xf>
    <xf numFmtId="0" fontId="38" fillId="0" borderId="0" xfId="0" applyFont="1" applyAlignment="1">
      <alignment horizontal="left" wrapText="1"/>
    </xf>
    <xf numFmtId="0" fontId="38" fillId="0" borderId="12" xfId="0" applyFont="1" applyBorder="1" applyAlignment="1">
      <alignment horizontal="left" wrapText="1"/>
    </xf>
    <xf numFmtId="0" fontId="2" fillId="0" borderId="0" xfId="0" applyFont="1" applyAlignment="1">
      <alignment horizontal="left" vertical="center"/>
    </xf>
    <xf numFmtId="0" fontId="10" fillId="36" borderId="0" xfId="0" applyFont="1" applyFill="1" applyAlignment="1">
      <alignment vertical="center"/>
    </xf>
    <xf numFmtId="0" fontId="48" fillId="36" borderId="0" xfId="0" applyFont="1" applyFill="1" applyAlignment="1">
      <alignment vertical="center"/>
    </xf>
    <xf numFmtId="0" fontId="95" fillId="0" borderId="0" xfId="0" applyFont="1" applyAlignment="1">
      <alignment vertical="center" wrapText="1"/>
    </xf>
    <xf numFmtId="0" fontId="10" fillId="15" borderId="0" xfId="0" applyFont="1" applyFill="1" applyAlignment="1">
      <alignment vertical="center" wrapText="1"/>
    </xf>
    <xf numFmtId="0" fontId="47" fillId="2" borderId="0" xfId="0" applyFont="1" applyFill="1" applyAlignment="1">
      <alignment horizontal="justify" vertical="center" wrapText="1"/>
    </xf>
    <xf numFmtId="0" fontId="11" fillId="0" borderId="0" xfId="0" applyFont="1" applyAlignment="1">
      <alignment wrapText="1"/>
    </xf>
    <xf numFmtId="0" fontId="46" fillId="15" borderId="0" xfId="0" applyFont="1" applyFill="1" applyAlignment="1">
      <alignment horizontal="center" vertical="center"/>
    </xf>
    <xf numFmtId="0" fontId="64" fillId="0" borderId="0" xfId="0" applyFont="1" applyAlignment="1">
      <alignment horizontal="center" vertical="center" wrapText="1"/>
    </xf>
    <xf numFmtId="0" fontId="64" fillId="0" borderId="0" xfId="0" applyFont="1" applyFill="1" applyAlignment="1">
      <alignment horizontal="center" vertical="center" wrapText="1"/>
    </xf>
  </cellXfs>
  <cellStyles count="3">
    <cellStyle name="Hyperlink" xfId="1" builtinId="8" customBuiltin="1"/>
    <cellStyle name="Normal" xfId="0" builtinId="0"/>
    <cellStyle name="Normal 3" xfId="2" xr:uid="{00000000-0005-0000-0000-000002000000}"/>
  </cellStyles>
  <dxfs count="3946">
    <dxf>
      <fill>
        <patternFill>
          <bgColor theme="7" tint="0.79998168889431442"/>
        </patternFill>
      </fill>
    </dxf>
    <dxf>
      <fill>
        <patternFill>
          <bgColor theme="5" tint="0.79998168889431442"/>
        </patternFill>
      </fill>
      <border>
        <left style="thin">
          <color auto="1"/>
        </left>
        <right style="thin">
          <color auto="1"/>
        </right>
        <top style="thin">
          <color auto="1"/>
        </top>
        <bottom style="thin">
          <color auto="1"/>
        </bottom>
      </border>
    </dxf>
    <dxf>
      <fill>
        <patternFill>
          <bgColor theme="5" tint="0.79998168889431442"/>
        </patternFill>
      </fill>
      <border>
        <left style="thin">
          <color auto="1"/>
        </left>
        <right style="thin">
          <color auto="1"/>
        </right>
        <top style="thin">
          <color auto="1"/>
        </top>
        <bottom style="thin">
          <color auto="1"/>
        </bottom>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rgb="FFFEDD79"/>
        </patternFill>
      </fill>
    </dxf>
    <dxf>
      <fill>
        <patternFill>
          <bgColor rgb="FF76B7DF"/>
        </patternFill>
      </fill>
    </dxf>
    <dxf>
      <fill>
        <patternFill>
          <bgColor rgb="FFFEDD79"/>
        </patternFill>
      </fill>
    </dxf>
    <dxf>
      <fill>
        <patternFill>
          <bgColor rgb="FF76B7DF"/>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ont>
        <b/>
        <i val="0"/>
        <color theme="0"/>
      </font>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8" tint="-0.24994659260841701"/>
      </font>
      <fill>
        <patternFill>
          <bgColor rgb="FFEFF6FB"/>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7" tint="0.79998168889431442"/>
        </patternFill>
      </fill>
    </dxf>
    <dxf>
      <fill>
        <patternFill>
          <bgColor theme="7" tint="0.79998168889431442"/>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FC7C7"/>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EDDFF"/>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7" tint="0.79998168889431442"/>
        </patternFill>
      </fill>
    </dxf>
    <dxf>
      <fill>
        <patternFill>
          <bgColor rgb="FFFEDD79"/>
        </patternFill>
      </fill>
    </dxf>
    <dxf>
      <fill>
        <patternFill>
          <bgColor rgb="FF76B7DF"/>
        </patternFill>
      </fill>
    </dxf>
    <dxf>
      <fill>
        <patternFill>
          <bgColor rgb="FFFEDD79"/>
        </patternFill>
      </fill>
    </dxf>
    <dxf>
      <fill>
        <patternFill>
          <bgColor rgb="FF76B7DF"/>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theme="9" tint="-0.24994659260841701"/>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ont>
        <b/>
        <i val="0"/>
        <color auto="1"/>
      </font>
      <fill>
        <patternFill>
          <bgColor theme="9" tint="0.59996337778862885"/>
        </patternFill>
      </fill>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rgb="FFFEDD79"/>
        </patternFill>
      </fill>
    </dxf>
    <dxf>
      <fill>
        <patternFill>
          <bgColor rgb="FF76B7DF"/>
        </patternFill>
      </fill>
    </dxf>
    <dxf>
      <fill>
        <patternFill>
          <bgColor rgb="FFFEDD79"/>
        </patternFill>
      </fill>
    </dxf>
    <dxf>
      <fill>
        <patternFill>
          <bgColor rgb="FF76B7DF"/>
        </patternFill>
      </fill>
    </dxf>
    <dxf>
      <fill>
        <patternFill>
          <bgColor rgb="FFFFFF00"/>
        </patternFill>
      </fill>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theme="1"/>
        </patternFill>
      </fill>
    </dxf>
    <dxf>
      <fill>
        <patternFill>
          <bgColor theme="1"/>
        </patternFill>
      </fill>
    </dxf>
    <dxf>
      <fill>
        <patternFill>
          <bgColor theme="1"/>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rgb="FFFEDD79"/>
        </patternFill>
      </fill>
    </dxf>
    <dxf>
      <fill>
        <patternFill>
          <bgColor rgb="FF76B7DF"/>
        </patternFill>
      </fill>
    </dxf>
    <dxf>
      <fill>
        <patternFill>
          <bgColor rgb="FFFEDD79"/>
        </patternFill>
      </fill>
    </dxf>
    <dxf>
      <fill>
        <patternFill>
          <bgColor rgb="FF76B7DF"/>
        </patternFill>
      </fill>
    </dxf>
    <dxf>
      <font>
        <b/>
        <i val="0"/>
        <color rgb="FFC00000"/>
      </font>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right style="thin">
          <color auto="1"/>
        </right>
        <vertical/>
        <horizontal/>
      </border>
    </dxf>
    <dxf>
      <fill>
        <patternFill>
          <bgColor theme="7" tint="0.79998168889431442"/>
        </patternFill>
      </fill>
    </dxf>
    <dxf>
      <fill>
        <patternFill>
          <bgColor theme="6" tint="0.79998168889431442"/>
        </patternFill>
      </fill>
      <border>
        <left style="thin">
          <color auto="1"/>
        </left>
        <right style="thin">
          <color auto="1"/>
        </right>
        <top style="thin">
          <color auto="1"/>
        </top>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vertical/>
        <horizontal/>
      </border>
    </dxf>
    <dxf>
      <fill>
        <patternFill>
          <bgColor rgb="FFFEDD79"/>
        </patternFill>
      </fill>
    </dxf>
    <dxf>
      <fill>
        <patternFill>
          <bgColor rgb="FF76B7DF"/>
        </patternFill>
      </fill>
    </dxf>
    <dxf>
      <fill>
        <patternFill>
          <bgColor rgb="FFFEDD79"/>
        </patternFill>
      </fill>
    </dxf>
    <dxf>
      <fill>
        <patternFill>
          <bgColor rgb="FF76B7DF"/>
        </patternFill>
      </fill>
    </dxf>
    <dxf>
      <font>
        <b/>
        <i val="0"/>
        <color rgb="FFC00000"/>
      </font>
      <fill>
        <patternFill>
          <bgColor theme="7" tint="0.79998168889431442"/>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ont>
        <b/>
        <i val="0"/>
        <color rgb="FFC00000"/>
      </font>
    </dxf>
    <dxf>
      <fill>
        <patternFill>
          <bgColor rgb="FFEFF6FB"/>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ont>
        <b/>
        <i val="0"/>
        <color auto="1"/>
      </font>
      <fill>
        <patternFill>
          <bgColor rgb="FFFF8B8B"/>
        </patternFill>
      </fill>
    </dxf>
    <dxf>
      <font>
        <b/>
        <i val="0"/>
        <color rgb="FFC00000"/>
      </font>
    </dxf>
    <dxf>
      <font>
        <b/>
        <i val="0"/>
        <color auto="1"/>
      </font>
      <fill>
        <patternFill>
          <bgColor rgb="FFFF8B8B"/>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ont>
        <b/>
        <i val="0"/>
        <color rgb="FFFFFF00"/>
      </font>
      <fill>
        <patternFill>
          <bgColor rgb="FFFF2929"/>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theme="4" tint="0.59996337778862885"/>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dxf>
    <dxf>
      <font>
        <b/>
        <i val="0"/>
        <color rgb="FFC00000"/>
      </font>
    </dxf>
    <dxf>
      <fill>
        <patternFill>
          <bgColor theme="5" tint="-0.24994659260841701"/>
        </patternFill>
      </fill>
    </dxf>
    <dxf>
      <fill>
        <patternFill>
          <bgColor theme="4"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border>
        <left style="thin">
          <color auto="1"/>
        </left>
        <right style="thin">
          <color auto="1"/>
        </right>
        <top style="thin">
          <color auto="1"/>
        </top>
        <bottom style="thin">
          <color auto="1"/>
        </bottom>
        <vertical/>
        <horizontal/>
      </border>
    </dxf>
    <dxf>
      <font>
        <color rgb="FFC00000"/>
      </font>
      <fill>
        <patternFill>
          <bgColor theme="7" tint="0.79998168889431442"/>
        </patternFill>
      </fill>
    </dxf>
    <dxf>
      <fill>
        <patternFill>
          <bgColor theme="5" tint="0.79998168889431442"/>
        </patternFill>
      </fill>
      <border>
        <left style="thin">
          <color auto="1"/>
        </left>
        <right style="thin">
          <color auto="1"/>
        </right>
        <top style="thin">
          <color auto="1"/>
        </top>
        <bottom style="thin">
          <color auto="1"/>
        </bottom>
      </border>
    </dxf>
    <dxf>
      <fill>
        <patternFill>
          <bgColor theme="5" tint="0.79998168889431442"/>
        </patternFill>
      </fill>
      <border>
        <left style="thin">
          <color auto="1"/>
        </left>
        <right style="thin">
          <color auto="1"/>
        </right>
        <top style="thin">
          <color auto="1"/>
        </top>
        <bottom style="thin">
          <color auto="1"/>
        </bottom>
        <vertical/>
        <horizontal/>
      </border>
    </dxf>
    <dxf>
      <font>
        <b/>
        <i val="0"/>
        <color rgb="FFFFFF00"/>
      </font>
      <fill>
        <patternFill>
          <bgColor rgb="FFFF2929"/>
        </patternFill>
      </fill>
    </dxf>
    <dxf>
      <fill>
        <patternFill>
          <bgColor rgb="FFFEDD79"/>
        </patternFill>
      </fill>
    </dxf>
    <dxf>
      <fill>
        <patternFill>
          <bgColor rgb="FF76B7DF"/>
        </patternFill>
      </fill>
    </dxf>
    <dxf>
      <fill>
        <patternFill>
          <bgColor rgb="FFFEDD79"/>
        </patternFill>
      </fill>
    </dxf>
    <dxf>
      <fill>
        <patternFill>
          <bgColor rgb="FF76B7DF"/>
        </patternFill>
      </fill>
    </dxf>
    <dxf>
      <font>
        <b/>
        <i val="0"/>
        <color rgb="FFC00000"/>
      </font>
    </dxf>
    <dxf>
      <fill>
        <patternFill>
          <bgColor rgb="FFFEDD29"/>
        </patternFill>
      </fill>
    </dxf>
    <dxf>
      <fill>
        <patternFill>
          <bgColor rgb="FF76B7DF"/>
        </patternFill>
      </fill>
    </dxf>
    <dxf>
      <fill>
        <patternFill>
          <bgColor rgb="FFFEDD79"/>
        </patternFill>
      </fill>
    </dxf>
    <dxf>
      <fill>
        <patternFill>
          <bgColor rgb="FF76B7DF"/>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rgb="FFFEDD79"/>
        </patternFill>
      </fill>
    </dxf>
    <dxf>
      <fill>
        <patternFill>
          <bgColor rgb="FF76B7DF"/>
        </patternFill>
      </fill>
    </dxf>
    <dxf>
      <fill>
        <patternFill>
          <bgColor rgb="FFFEDD79"/>
        </patternFill>
      </fill>
    </dxf>
    <dxf>
      <fill>
        <patternFill>
          <bgColor rgb="FF76B7DF"/>
        </patternFill>
      </fill>
    </dxf>
    <dxf>
      <fill>
        <patternFill>
          <bgColor theme="0" tint="-0.14996795556505021"/>
        </patternFill>
      </fill>
      <border>
        <left style="thin">
          <color auto="1"/>
        </left>
        <right style="thin">
          <color auto="1"/>
        </right>
        <bottom style="thin">
          <color auto="1"/>
        </bottom>
        <vertical/>
        <horizontal/>
      </border>
    </dxf>
    <dxf>
      <fill>
        <patternFill>
          <bgColor theme="0" tint="-0.14996795556505021"/>
        </patternFill>
      </fill>
      <border>
        <left style="thin">
          <color auto="1"/>
        </left>
        <right style="thin">
          <color auto="1"/>
        </right>
        <top style="thin">
          <color auto="1"/>
        </top>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theme="0" tint="-0.14996795556505021"/>
        </patternFill>
      </fill>
      <border>
        <left style="thin">
          <color auto="1"/>
        </left>
        <right style="thin">
          <color auto="1"/>
        </right>
        <bottom style="thin">
          <color auto="1"/>
        </bottom>
        <vertical/>
        <horizontal/>
      </border>
    </dxf>
    <dxf>
      <fill>
        <patternFill>
          <bgColor theme="0" tint="-0.14996795556505021"/>
        </patternFill>
      </fill>
      <border>
        <left style="thin">
          <color auto="1"/>
        </left>
        <right style="thin">
          <color auto="1"/>
        </right>
        <top style="thin">
          <color auto="1"/>
        </top>
        <vertical/>
        <horizontal/>
      </border>
    </dxf>
    <dxf>
      <fill>
        <patternFill>
          <bgColor rgb="FFFFFF00"/>
        </patternFill>
      </fill>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theme="5" tint="-0.24994659260841701"/>
        </patternFill>
      </fill>
    </dxf>
    <dxf>
      <fill>
        <patternFill>
          <bgColor theme="7" tint="0.79998168889431442"/>
        </patternFill>
      </fill>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rgb="FFEEE1F7"/>
        </patternFill>
      </fill>
    </dxf>
    <dxf>
      <fill>
        <patternFill>
          <bgColor theme="9" tint="0.59996337778862885"/>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border>
    </dxf>
    <dxf>
      <fill>
        <patternFill>
          <bgColor rgb="FFECF4FA"/>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border>
    </dxf>
    <dxf>
      <fill>
        <patternFill>
          <bgColor theme="5"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theme="0"/>
      </font>
      <fill>
        <patternFill>
          <bgColor theme="8" tint="0.39994506668294322"/>
        </patternFill>
      </fill>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border>
    </dxf>
    <dxf>
      <fill>
        <patternFill>
          <bgColor rgb="FFECF4FA"/>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border>
    </dxf>
    <dxf>
      <fill>
        <patternFill>
          <bgColor theme="5"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theme="0"/>
      </font>
      <fill>
        <patternFill>
          <bgColor theme="8" tint="0.39994506668294322"/>
        </patternFill>
      </fill>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5" tint="0.79998168889431442"/>
        </patternFill>
      </fill>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style="thin">
          <color auto="1"/>
        </left>
        <right style="thin">
          <color auto="1"/>
        </right>
        <top style="thin">
          <color auto="1"/>
        </top>
        <bottom style="thin">
          <color auto="1"/>
        </bottom>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rgb="FFFEDD79"/>
        </patternFill>
      </fill>
    </dxf>
    <dxf>
      <fill>
        <patternFill>
          <bgColor rgb="FF76B7DF"/>
        </patternFill>
      </fill>
    </dxf>
    <dxf>
      <fill>
        <patternFill>
          <bgColor rgb="FFFEDD79"/>
        </patternFill>
      </fill>
    </dxf>
    <dxf>
      <fill>
        <patternFill>
          <bgColor rgb="FF76B7DF"/>
        </patternFill>
      </fill>
    </dxf>
    <dxf>
      <font>
        <b/>
        <i val="0"/>
        <color rgb="FFC00000"/>
      </font>
      <fill>
        <patternFill>
          <bgColor rgb="FFFFFF00"/>
        </patternFill>
      </fill>
    </dxf>
    <dxf>
      <fill>
        <patternFill>
          <bgColor theme="5" tint="-0.24994659260841701"/>
        </patternFill>
      </fill>
    </dxf>
    <dxf>
      <fill>
        <patternFill>
          <bgColor theme="4" tint="0.79998168889431442"/>
        </patternFill>
      </fill>
    </dxf>
    <dxf>
      <font>
        <b/>
        <i val="0"/>
        <color rgb="FFFFFF00"/>
      </font>
      <fill>
        <patternFill>
          <bgColor rgb="FFFF2929"/>
        </patternFill>
      </fill>
    </dxf>
    <dxf>
      <font>
        <b/>
        <i val="0"/>
        <color rgb="FFFFFF00"/>
      </font>
      <fill>
        <patternFill>
          <bgColor rgb="FFFF2929"/>
        </patternFill>
      </fill>
    </dxf>
    <dxf>
      <font>
        <b/>
        <i val="0"/>
        <color rgb="FFFFFF00"/>
      </font>
      <fill>
        <patternFill>
          <bgColor rgb="FFFF2929"/>
        </patternFill>
      </fill>
    </dxf>
    <dxf>
      <font>
        <b/>
        <i val="0"/>
        <color rgb="FFFFFF00"/>
      </font>
      <fill>
        <patternFill>
          <bgColor rgb="FFFF2929"/>
        </patternFill>
      </fill>
    </dxf>
    <dxf>
      <font>
        <b/>
        <i val="0"/>
        <color rgb="FFFFFF00"/>
      </font>
      <fill>
        <patternFill>
          <bgColor rgb="FFFF2929"/>
        </patternFill>
      </fill>
    </dxf>
    <dxf>
      <fill>
        <patternFill>
          <bgColor theme="5" tint="0.79998168889431442"/>
        </patternFill>
      </fill>
    </dxf>
    <dxf>
      <fill>
        <patternFill>
          <bgColor rgb="FFFEDD79"/>
        </patternFill>
      </fill>
    </dxf>
    <dxf>
      <fill>
        <patternFill>
          <bgColor rgb="FF76B7DF"/>
        </patternFill>
      </fill>
    </dxf>
    <dxf>
      <fill>
        <patternFill>
          <bgColor rgb="FFFEDD79"/>
        </patternFill>
      </fill>
    </dxf>
    <dxf>
      <fill>
        <patternFill>
          <bgColor rgb="FF76B7DF"/>
        </patternFill>
      </fill>
    </dxf>
    <dxf>
      <fill>
        <patternFill>
          <bgColor rgb="FFFEDD79"/>
        </patternFill>
      </fill>
    </dxf>
    <dxf>
      <fill>
        <patternFill>
          <bgColor rgb="FF76B7DF"/>
        </patternFill>
      </fill>
    </dxf>
    <dxf>
      <fill>
        <patternFill>
          <bgColor rgb="FFFEDD79"/>
        </patternFill>
      </fill>
    </dxf>
    <dxf>
      <fill>
        <patternFill>
          <bgColor rgb="FF76B7DF"/>
        </patternFill>
      </fill>
    </dxf>
    <dxf>
      <font>
        <b/>
        <i val="0"/>
        <color rgb="FFC00000"/>
      </font>
    </dxf>
  </dxfs>
  <tableStyles count="0" defaultTableStyle="TableStyleMedium2" defaultPivotStyle="PivotStyleLight16"/>
  <colors>
    <mruColors>
      <color rgb="FFFCE4D6"/>
      <color rgb="FF76B7DF"/>
      <color rgb="FFFEDD79"/>
      <color rgb="FFFEDD29"/>
      <color rgb="FFEFF6FB"/>
      <color rgb="FFFFC7C7"/>
      <color rgb="FF00CCFF"/>
      <color rgb="FFEEDDFF"/>
      <color rgb="FFEEFBE1"/>
      <color rgb="FFA86E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238125</xdr:colOff>
      <xdr:row>0</xdr:row>
      <xdr:rowOff>66675</xdr:rowOff>
    </xdr:from>
    <xdr:to>
      <xdr:col>2</xdr:col>
      <xdr:colOff>971550</xdr:colOff>
      <xdr:row>5</xdr:row>
      <xdr:rowOff>66174</xdr:rowOff>
    </xdr:to>
    <xdr:pic>
      <xdr:nvPicPr>
        <xdr:cNvPr id="5" name="Picture 4">
          <a:extLst>
            <a:ext uri="{FF2B5EF4-FFF2-40B4-BE49-F238E27FC236}">
              <a16:creationId xmlns:a16="http://schemas.microsoft.com/office/drawing/2014/main" id="{E1A65FBE-B099-554A-9E48-679DF94486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450" y="66675"/>
          <a:ext cx="1209675" cy="10948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311149</xdr:colOff>
      <xdr:row>54</xdr:row>
      <xdr:rowOff>311150</xdr:rowOff>
    </xdr:from>
    <xdr:to>
      <xdr:col>6</xdr:col>
      <xdr:colOff>612139</xdr:colOff>
      <xdr:row>81</xdr:row>
      <xdr:rowOff>82550</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311149" y="16579850"/>
          <a:ext cx="7111365" cy="5010150"/>
        </a:xfrm>
        <a:prstGeom prst="rect">
          <a:avLst/>
        </a:prstGeom>
        <a:solidFill>
          <a:schemeClr val="accent2">
            <a:lumMod val="20000"/>
            <a:lumOff val="80000"/>
          </a:schemeClr>
        </a:solidFill>
        <a:ln>
          <a:solidFill>
            <a:srgbClr val="008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rgbClr val="0070C0"/>
              </a:solidFill>
            </a:rPr>
            <a:t>[enter text here]</a:t>
          </a:r>
        </a:p>
        <a:p>
          <a:endParaRPr lang="en-US" sz="1100">
            <a:solidFill>
              <a:srgbClr val="0070C0"/>
            </a:solidFill>
          </a:endParaRPr>
        </a:p>
        <a:p>
          <a:endParaRPr lang="en-US" sz="1100">
            <a:solidFill>
              <a:srgbClr val="0070C0"/>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tandard_IV-Evaluation"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Standard_III-Preceptor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Lisa's%20Place/2015%20SSR/_Draft%20CSSR-2015%202016.11.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Standard_V-Fair_Practice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Title"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rogram_Info"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Standard_I-Sponsorship"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Standard_II-Goa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Standard_III-Resource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Standard_III-Personnel"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Standard_III-Affiliat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V-Evaluation"/>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I-Preceptor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itle Page"/>
      <sheetName val="General Information"/>
      <sheetName val="Brief History"/>
      <sheetName val="Program Info"/>
      <sheetName val="Standard I"/>
      <sheetName val="Standard II"/>
      <sheetName val="Standard III"/>
      <sheetName val="Standard IV"/>
      <sheetName val="Standard V"/>
      <sheetName val="Appendix A"/>
      <sheetName val="Appendix B"/>
      <sheetName val="Appendix C"/>
      <sheetName val="Appendix D"/>
      <sheetName val="Appendix E"/>
      <sheetName val="Appendix E Revised"/>
      <sheetName val="Appendix F"/>
      <sheetName val="Appendix G"/>
      <sheetName val="Appendices H - L"/>
      <sheetName val="Appendices M-N"/>
      <sheetName val="Appendix O"/>
      <sheetName val="Appendices P - Q"/>
      <sheetName val="Standard I (Proposed)"/>
    </sheetNames>
    <sheetDataSet>
      <sheetData sheetId="0"/>
      <sheetData sheetId="1">
        <row r="9">
          <cell r="D9"/>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V-Fair_Practi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_Info"/>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Sponsorship"/>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Goal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I-Resource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I-Personnel"/>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I-Affiliat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coaemsp.org/Self_Study_Reports.htm" TargetMode="External"/><Relationship Id="rId7" Type="http://schemas.openxmlformats.org/officeDocument/2006/relationships/vmlDrawing" Target="../drawings/vmlDrawing1.vml"/><Relationship Id="rId2" Type="http://schemas.openxmlformats.org/officeDocument/2006/relationships/hyperlink" Target="mailto:accounting@coaemsp.org" TargetMode="External"/><Relationship Id="rId1" Type="http://schemas.openxmlformats.org/officeDocument/2006/relationships/hyperlink" Target="http://coaemsp.org/Fees.ht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coaemsp.org/?mdocs-file=3003"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coaemsp.org/resource-library" TargetMode="External"/><Relationship Id="rId2" Type="http://schemas.openxmlformats.org/officeDocument/2006/relationships/hyperlink" Target="https://coaemsp.org/resource-library" TargetMode="External"/><Relationship Id="rId1" Type="http://schemas.openxmlformats.org/officeDocument/2006/relationships/hyperlink" Target="https://coaemsp.org/resource-library"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coaemsp.org/resource-library" TargetMode="External"/><Relationship Id="rId1" Type="http://schemas.openxmlformats.org/officeDocument/2006/relationships/hyperlink" Target="https://coaemsp.org/resource-library"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hyperlink" Target="https://coaemsp.org/resource-library" TargetMode="External"/><Relationship Id="rId7" Type="http://schemas.openxmlformats.org/officeDocument/2006/relationships/comments" Target="../comments4.xml"/><Relationship Id="rId2" Type="http://schemas.openxmlformats.org/officeDocument/2006/relationships/hyperlink" Target="https://coaemsp.org/resource-library" TargetMode="External"/><Relationship Id="rId1" Type="http://schemas.openxmlformats.org/officeDocument/2006/relationships/hyperlink" Target="https://coaemsp.org/Forms.htm" TargetMode="External"/><Relationship Id="rId6" Type="http://schemas.openxmlformats.org/officeDocument/2006/relationships/vmlDrawing" Target="../drawings/vmlDrawing4.vml"/><Relationship Id="rId5" Type="http://schemas.openxmlformats.org/officeDocument/2006/relationships/printerSettings" Target="../printerSettings/printerSettings4.bin"/><Relationship Id="rId4" Type="http://schemas.openxmlformats.org/officeDocument/2006/relationships/hyperlink" Target="https://coaemsp.org/resource-library"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coaemsp.org/resource-library" TargetMode="External"/><Relationship Id="rId7" Type="http://schemas.openxmlformats.org/officeDocument/2006/relationships/comments" Target="../comments5.xml"/><Relationship Id="rId2" Type="http://schemas.openxmlformats.org/officeDocument/2006/relationships/hyperlink" Target="https://coaemsp.org/Forms.htm" TargetMode="External"/><Relationship Id="rId1" Type="http://schemas.openxmlformats.org/officeDocument/2006/relationships/hyperlink" Target="https://coaemsp.org/resource-library" TargetMode="External"/><Relationship Id="rId6" Type="http://schemas.openxmlformats.org/officeDocument/2006/relationships/vmlDrawing" Target="../drawings/vmlDrawing5.vml"/><Relationship Id="rId5" Type="http://schemas.openxmlformats.org/officeDocument/2006/relationships/printerSettings" Target="../printerSettings/printerSettings5.bin"/><Relationship Id="rId4" Type="http://schemas.openxmlformats.org/officeDocument/2006/relationships/hyperlink" Target="https://coaemsp.org/resource-library"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file:///\\COA-AS\GoldMine\MailBox\Attach\2023\04\Documentation\14%20Syllabus%2018.pdf" TargetMode="External"/><Relationship Id="rId3" Type="http://schemas.openxmlformats.org/officeDocument/2006/relationships/hyperlink" Target="https://coaemsp.org/samples-accreditation-documents" TargetMode="External"/><Relationship Id="rId7" Type="http://schemas.openxmlformats.org/officeDocument/2006/relationships/hyperlink" Target="file:///\\COA-AS\GoldMine\MailBox\Attach\2023\04\Documentation\14%20Syllabus%2017.pdf" TargetMode="External"/><Relationship Id="rId12" Type="http://schemas.openxmlformats.org/officeDocument/2006/relationships/comments" Target="../comments6.xml"/><Relationship Id="rId2" Type="http://schemas.openxmlformats.org/officeDocument/2006/relationships/hyperlink" Target="https://coaemsp.org/resource-library" TargetMode="External"/><Relationship Id="rId1" Type="http://schemas.openxmlformats.org/officeDocument/2006/relationships/hyperlink" Target="https://coaemsp.org/resource-library" TargetMode="External"/><Relationship Id="rId6" Type="http://schemas.openxmlformats.org/officeDocument/2006/relationships/hyperlink" Target="file:///\\COA-AS\GoldMine\MailBox\Attach\2023\04\Documentation\14%20Syllabus%2018.pdf" TargetMode="External"/><Relationship Id="rId11" Type="http://schemas.openxmlformats.org/officeDocument/2006/relationships/vmlDrawing" Target="../drawings/vmlDrawing6.vml"/><Relationship Id="rId5" Type="http://schemas.openxmlformats.org/officeDocument/2006/relationships/hyperlink" Target="file:///\\COA-AS\GoldMine\MailBox\Attach\2023\04\Documentation\14%20Syllabus%2017.pdf" TargetMode="External"/><Relationship Id="rId10" Type="http://schemas.openxmlformats.org/officeDocument/2006/relationships/printerSettings" Target="../printerSettings/printerSettings6.bin"/><Relationship Id="rId4" Type="http://schemas.openxmlformats.org/officeDocument/2006/relationships/hyperlink" Target="file:///\\COA-AS\GoldMine\MailBox\Attach\2023\04\Documentation\14%20Syllabus%2018.pdf" TargetMode="External"/><Relationship Id="rId9" Type="http://schemas.openxmlformats.org/officeDocument/2006/relationships/hyperlink" Target="https://coaemsp.org/resource-library"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coaemsp.org/personnel" TargetMode="External"/><Relationship Id="rId2" Type="http://schemas.openxmlformats.org/officeDocument/2006/relationships/hyperlink" Target="https://coaemsp.org/resource-library" TargetMode="External"/><Relationship Id="rId1" Type="http://schemas.openxmlformats.org/officeDocument/2006/relationships/hyperlink" Target="https://coaemsp.org/resource-library"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79998168889431442"/>
  </sheetPr>
  <dimension ref="A1:T51"/>
  <sheetViews>
    <sheetView showGridLines="0" tabSelected="1" zoomScaleNormal="100" workbookViewId="0">
      <selection activeCell="B28" sqref="B28:F28"/>
    </sheetView>
  </sheetViews>
  <sheetFormatPr defaultRowHeight="15" x14ac:dyDescent="0.25"/>
  <cols>
    <col min="1" max="1" width="4.7109375" customWidth="1"/>
    <col min="2" max="2" width="7.140625" customWidth="1"/>
    <col min="3" max="3" width="21.5703125" customWidth="1"/>
    <col min="4" max="4" width="4.140625" customWidth="1"/>
    <col min="5" max="5" width="21.28515625" customWidth="1"/>
    <col min="6" max="6" width="91.28515625" customWidth="1"/>
  </cols>
  <sheetData>
    <row r="1" spans="1:20" s="41" customFormat="1" ht="14.25" x14ac:dyDescent="0.2">
      <c r="A1" s="62"/>
    </row>
    <row r="2" spans="1:20" s="41" customFormat="1" ht="18" x14ac:dyDescent="0.25">
      <c r="E2" s="292" t="s">
        <v>0</v>
      </c>
      <c r="F2" s="292"/>
      <c r="Q2" s="63"/>
      <c r="R2" s="63"/>
      <c r="S2" s="63"/>
      <c r="T2" s="63"/>
    </row>
    <row r="3" spans="1:20" s="41" customFormat="1" ht="18" x14ac:dyDescent="0.25">
      <c r="E3" s="292" t="s">
        <v>309</v>
      </c>
      <c r="F3" s="292"/>
      <c r="Q3" s="63"/>
      <c r="R3" s="63" t="s">
        <v>315</v>
      </c>
      <c r="S3" s="63">
        <v>7</v>
      </c>
      <c r="T3" s="63"/>
    </row>
    <row r="4" spans="1:20" s="41" customFormat="1" ht="18" x14ac:dyDescent="0.25">
      <c r="E4" s="292" t="s">
        <v>1</v>
      </c>
      <c r="F4" s="292"/>
      <c r="Q4" s="63"/>
      <c r="R4" s="63" t="s">
        <v>316</v>
      </c>
      <c r="S4" s="63">
        <v>9</v>
      </c>
      <c r="T4" s="63"/>
    </row>
    <row r="5" spans="1:20" s="41" customFormat="1" ht="18" x14ac:dyDescent="0.25">
      <c r="E5" s="292" t="s">
        <v>2</v>
      </c>
      <c r="F5" s="292"/>
      <c r="Q5" s="63"/>
      <c r="R5" s="63" t="s">
        <v>317</v>
      </c>
      <c r="S5" s="63">
        <v>10</v>
      </c>
      <c r="T5" s="63"/>
    </row>
    <row r="6" spans="1:20" s="41" customFormat="1" ht="14.25" x14ac:dyDescent="0.2">
      <c r="Q6" s="63"/>
      <c r="R6" s="63" t="s">
        <v>318</v>
      </c>
      <c r="S6" s="63">
        <v>61</v>
      </c>
      <c r="T6" s="63"/>
    </row>
    <row r="7" spans="1:20" s="41" customFormat="1" ht="14.25" x14ac:dyDescent="0.2">
      <c r="Q7" s="63"/>
      <c r="R7" s="63" t="s">
        <v>319</v>
      </c>
      <c r="S7" s="63">
        <v>15</v>
      </c>
      <c r="T7" s="63"/>
    </row>
    <row r="8" spans="1:20" s="41" customFormat="1" ht="45" x14ac:dyDescent="0.6">
      <c r="A8" s="293" t="s">
        <v>72</v>
      </c>
      <c r="B8" s="293"/>
      <c r="C8" s="293"/>
      <c r="D8" s="293"/>
      <c r="E8" s="293"/>
      <c r="F8" s="293"/>
      <c r="Q8" s="63"/>
      <c r="R8" s="63" t="s">
        <v>320</v>
      </c>
      <c r="S8" s="63">
        <v>15</v>
      </c>
      <c r="T8" s="63"/>
    </row>
    <row r="9" spans="1:20" s="41" customFormat="1" ht="14.25" x14ac:dyDescent="0.2">
      <c r="B9" s="14"/>
      <c r="C9" s="14"/>
      <c r="F9" s="14"/>
      <c r="Q9" s="63"/>
      <c r="R9" s="63" t="s">
        <v>322</v>
      </c>
      <c r="S9" s="63">
        <v>15</v>
      </c>
      <c r="T9" s="63"/>
    </row>
    <row r="10" spans="1:20" s="41" customFormat="1" ht="27.75" x14ac:dyDescent="0.4">
      <c r="A10" s="294" t="s">
        <v>535</v>
      </c>
      <c r="B10" s="294"/>
      <c r="C10" s="294"/>
      <c r="D10" s="294"/>
      <c r="E10" s="294"/>
      <c r="F10" s="294"/>
      <c r="Q10" s="63"/>
      <c r="R10" s="63" t="s">
        <v>321</v>
      </c>
      <c r="S10" s="63">
        <v>13</v>
      </c>
      <c r="T10" s="63"/>
    </row>
    <row r="11" spans="1:20" s="41" customFormat="1" ht="14.25" x14ac:dyDescent="0.2">
      <c r="B11" s="14"/>
      <c r="C11" s="14"/>
      <c r="F11" s="14"/>
      <c r="R11" s="63" t="s">
        <v>328</v>
      </c>
      <c r="S11" s="63">
        <v>15</v>
      </c>
    </row>
    <row r="12" spans="1:20" s="41" customFormat="1" ht="45" x14ac:dyDescent="0.6">
      <c r="A12" s="293" t="s">
        <v>550</v>
      </c>
      <c r="B12" s="293"/>
      <c r="C12" s="293"/>
      <c r="D12" s="293"/>
      <c r="E12" s="293"/>
      <c r="F12" s="293"/>
      <c r="R12" s="63" t="s">
        <v>329</v>
      </c>
      <c r="S12" s="63">
        <v>15</v>
      </c>
    </row>
    <row r="13" spans="1:20" s="41" customFormat="1" ht="14.25" x14ac:dyDescent="0.2">
      <c r="B13" s="14"/>
      <c r="C13" s="14"/>
      <c r="F13" s="14"/>
      <c r="R13" s="63" t="s">
        <v>330</v>
      </c>
      <c r="S13" s="63">
        <v>15</v>
      </c>
    </row>
    <row r="14" spans="1:20" s="41" customFormat="1" ht="25.5" x14ac:dyDescent="0.35">
      <c r="A14" s="295" t="str">
        <f>IF(A12="Letter of Review","(LSSR)",IF(A12="Initial Accreditation","(ISSR)","(CSSR)"))</f>
        <v>(LSSR)</v>
      </c>
      <c r="B14" s="295"/>
      <c r="C14" s="295"/>
      <c r="D14" s="295"/>
      <c r="E14" s="295"/>
      <c r="F14" s="295"/>
      <c r="R14" s="63" t="s">
        <v>331</v>
      </c>
      <c r="S14" s="63">
        <v>34</v>
      </c>
    </row>
    <row r="15" spans="1:20" s="41" customFormat="1" ht="14.25" x14ac:dyDescent="0.2">
      <c r="B15" s="14"/>
      <c r="C15" s="14"/>
      <c r="F15" s="14"/>
    </row>
    <row r="16" spans="1:20" s="41" customFormat="1" ht="30" x14ac:dyDescent="0.4">
      <c r="A16" s="296" t="s">
        <v>445</v>
      </c>
      <c r="B16" s="296"/>
      <c r="C16" s="296"/>
      <c r="D16" s="296"/>
      <c r="E16" s="296"/>
      <c r="F16" s="296"/>
    </row>
    <row r="17" spans="1:11" s="41" customFormat="1" ht="14.25" x14ac:dyDescent="0.2"/>
    <row r="18" spans="1:11" s="41" customFormat="1" ht="49.5" customHeight="1" x14ac:dyDescent="0.2">
      <c r="A18" s="290" t="s">
        <v>342</v>
      </c>
      <c r="B18" s="291"/>
      <c r="C18" s="291"/>
      <c r="D18" s="291"/>
      <c r="E18" s="291"/>
      <c r="F18" s="291"/>
    </row>
    <row r="19" spans="1:11" s="41" customFormat="1" x14ac:dyDescent="0.25">
      <c r="C19" s="64" t="s">
        <v>555</v>
      </c>
    </row>
    <row r="20" spans="1:11" s="41" customFormat="1" ht="15.75" x14ac:dyDescent="0.25">
      <c r="B20" s="301" t="s">
        <v>3</v>
      </c>
      <c r="C20" s="301"/>
      <c r="D20" s="301"/>
      <c r="E20" s="301"/>
      <c r="F20" s="301"/>
    </row>
    <row r="21" spans="1:11" s="41" customFormat="1" ht="6" customHeight="1" x14ac:dyDescent="0.2"/>
    <row r="22" spans="1:11" s="41" customFormat="1" ht="120.6" customHeight="1" x14ac:dyDescent="0.2">
      <c r="B22" s="302" t="str">
        <f>IF(A14="(LSSR)","Each program conducts an internal review culminating in the preparation of a Self-Study Report (SSR).  "&amp;"The CoAEMSP will use the report, and any additional information submitted, to assess the program’s degree of compliance with the Standards and Guidelines for the Accreditation of Educational Programs in the Emergency Medical"&amp;" Services Professions of the Commission on Accreditation of Allied Health Education Programs (CAAHEP) [www.caahep.org].  "&amp;"Programs should carefully read the CAAHEP Standards &amp; Guidelines as well as the CoAEMSP Interpretations to the Standards and Guidelines "&amp;"to fully understand and respond to the corresponding questions in the SSR and the future preparation for the site visit.  The CoAEMSP will review the SSR and any additional documentation for completeness."&amp;"  The SSR (electronic) must be received by the CoAEMSP, in addition, to the payment of fees for the submission to be complete.","Each program conducts an internal review culminating in the preparation of a Self-Study Report (SSR).  "&amp;"The CoAEMSP will use the report, and any additional information submitted, to assess the program’s degree of compliance with the Standards and Guidelines for the Accreditation of Educational Programs in the Emergency Medical"&amp;" Services Professions of the Commission on Accreditation of Allied Health Education Programs (CAAHEP) [www.caahep.org].  "&amp;"Programs should carefully read the CAAHEP Standards &amp; Guidelines as well as the CoAEMSP Interpretations to the Standards and Guidelines "&amp;"to fully understand and respond to the corresponding questions in the SSR and the future preparation for the site visit.  The CoAEMSP will review the SSR and any additional documentation for completeness."&amp;"  The SSR (electronic) must be received by the CoAEMSP, in addition, to the Student Questionnaires and the payment of fees for the submission to be complete.")</f>
        <v>Each program conducts an internal review culminating in the preparation of a Self-Study Report (SSR).  The CoAEMSP will use the report, and any additional information submitted, to assess the program’s degree of compliance with the Standards and Guidelines for the Accreditation of Educational Programs in the Emergency Medical Services Professions of the Commission on Accreditation of Allied Health Education Programs (CAAHEP) [www.caahep.org].  Programs should carefully read the CAAHEP Standards &amp; Guidelines as well as the CoAEMSP Interpretations to the Standards and Guidelines to fully understand and respond to the corresponding questions in the SSR and the future preparation for the site visit.  The CoAEMSP will review the SSR and any additional documentation for completeness.  The SSR (electronic) must be received by the CoAEMSP, in addition, to the payment of fees for the submission to be complete.</v>
      </c>
      <c r="C22" s="303"/>
      <c r="D22" s="303"/>
      <c r="E22" s="303"/>
      <c r="F22" s="303"/>
    </row>
    <row r="23" spans="1:11" s="41" customFormat="1" ht="36" customHeight="1" x14ac:dyDescent="0.25">
      <c r="B23" s="15" t="s">
        <v>501</v>
      </c>
    </row>
    <row r="24" spans="1:11" s="41" customFormat="1" ht="64.5" customHeight="1" x14ac:dyDescent="0.2">
      <c r="B24" s="302" t="str">
        <f>IF(A14="(CSSR)","CAAHEP accredited programs holding the status of Initial or Continuing Accreditation are required to submit the full Self Study Report (SSR) no later than 6 months from the time"&amp;" the CoAEMSP notifies the program of the due date of the SSR.  Comprehensive reviews occur approximately every five (5) years.",IF(A14="(ISSR)","CoAEMSP programs holding the status of Letter of Review (LoR) are required to submit the full Self Study Report (SSR) no later than 6 months after the on-time"&amp;" graduation date of the LoR cohort.",IF(A14="(LSSR)","Programs that are not yet CAAHEP accredited and do not hold the status of Letter of Review (LoR), are eligible "&amp;"to submit the full Self Study Report (SSR) once the LoR Application has been approved by the CoAEMSP, the Program Director has attended a Fundamentals of Accreditation Workshop, and all required fees have been received.","")))</f>
        <v>Programs that are not yet CAAHEP accredited and do not hold the status of Letter of Review (LoR), are eligible to submit the full Self Study Report (SSR) once the LoR Application has been approved by the CoAEMSP, the Program Director has attended a Fundamentals of Accreditation Workshop, and all required fees have been received.</v>
      </c>
      <c r="C24" s="302"/>
      <c r="D24" s="302"/>
      <c r="E24" s="302"/>
      <c r="F24" s="302"/>
    </row>
    <row r="25" spans="1:11" s="41" customFormat="1" ht="36" customHeight="1" x14ac:dyDescent="0.25">
      <c r="B25" s="15" t="s">
        <v>290</v>
      </c>
    </row>
    <row r="26" spans="1:11" s="41" customFormat="1" ht="120.75" customHeight="1" x14ac:dyDescent="0.2">
      <c r="B26" s="302" t="s">
        <v>502</v>
      </c>
      <c r="C26" s="302"/>
      <c r="D26" s="302"/>
      <c r="E26" s="302"/>
      <c r="F26" s="302"/>
    </row>
    <row r="27" spans="1:11" s="41" customFormat="1" ht="60" customHeight="1" x14ac:dyDescent="0.2">
      <c r="B27" s="308" t="s">
        <v>509</v>
      </c>
      <c r="C27" s="309"/>
      <c r="D27" s="309"/>
      <c r="E27" s="309"/>
      <c r="F27" s="309"/>
    </row>
    <row r="28" spans="1:11" s="41" customFormat="1" ht="65.25" customHeight="1" x14ac:dyDescent="0.2">
      <c r="B28" s="307" t="s">
        <v>340</v>
      </c>
      <c r="C28" s="307"/>
      <c r="D28" s="307"/>
      <c r="E28" s="307"/>
      <c r="F28" s="307"/>
    </row>
    <row r="29" spans="1:11" s="41" customFormat="1" ht="123.75" customHeight="1" x14ac:dyDescent="0.2">
      <c r="B29" s="304" t="s">
        <v>308</v>
      </c>
      <c r="C29" s="304"/>
      <c r="D29" s="304"/>
      <c r="E29" s="304"/>
      <c r="F29" s="304"/>
    </row>
    <row r="30" spans="1:11" s="41" customFormat="1" ht="14.45" customHeight="1" x14ac:dyDescent="0.2">
      <c r="D30" s="12"/>
      <c r="E30" s="12"/>
      <c r="G30" s="12"/>
      <c r="H30" s="12"/>
      <c r="I30" s="12"/>
      <c r="J30" s="12"/>
      <c r="K30" s="12"/>
    </row>
    <row r="31" spans="1:11" s="41" customFormat="1" ht="15" customHeight="1" x14ac:dyDescent="0.2">
      <c r="B31" s="13"/>
      <c r="C31" s="299" t="s">
        <v>77</v>
      </c>
      <c r="D31" s="300"/>
      <c r="E31" s="300"/>
      <c r="F31" s="300"/>
    </row>
    <row r="32" spans="1:11" s="41" customFormat="1" ht="14.25" x14ac:dyDescent="0.2"/>
    <row r="33" spans="2:6" s="41" customFormat="1" ht="14.25" x14ac:dyDescent="0.2"/>
    <row r="34" spans="2:6" s="41" customFormat="1" ht="14.25" x14ac:dyDescent="0.2"/>
    <row r="35" spans="2:6" s="41" customFormat="1" x14ac:dyDescent="0.25">
      <c r="B35" s="15" t="s">
        <v>79</v>
      </c>
    </row>
    <row r="36" spans="2:6" s="41" customFormat="1" ht="42.75" customHeight="1" x14ac:dyDescent="0.2">
      <c r="B36" s="298" t="str">
        <f>IF(OR(A14="(ISSR)",A14="(CSSR)"),"Approximately 60 days prior to the due date of the SSR, the CoAEMSP will send an invoice for the required fees, payable no later than the due date of the SSR.",IF(A14="(LSSR)","All CoAEMSP Letter of Review (LoR) fees are required before the LoR Application or the Letter of Review Self Study (LSSR) will be reviewed.",""))</f>
        <v>All CoAEMSP Letter of Review (LoR) fees are required before the LoR Application or the Letter of Review Self Study (LSSR) will be reviewed.</v>
      </c>
      <c r="C36" s="298"/>
      <c r="D36" s="298"/>
      <c r="E36" s="298"/>
      <c r="F36" s="298"/>
    </row>
    <row r="37" spans="2:6" s="41" customFormat="1" ht="15.75" x14ac:dyDescent="0.25">
      <c r="B37" s="3" t="s">
        <v>5</v>
      </c>
      <c r="C37" s="66" t="s">
        <v>354</v>
      </c>
      <c r="F37" s="14" t="s">
        <v>78</v>
      </c>
    </row>
    <row r="38" spans="2:6" s="41" customFormat="1" ht="14.25" x14ac:dyDescent="0.2">
      <c r="B38" s="2" t="s">
        <v>4</v>
      </c>
      <c r="C38" s="9" t="s">
        <v>6</v>
      </c>
    </row>
    <row r="39" spans="2:6" s="41" customFormat="1" ht="14.25" x14ac:dyDescent="0.2"/>
    <row r="40" spans="2:6" s="41" customFormat="1" ht="14.25" x14ac:dyDescent="0.2"/>
    <row r="41" spans="2:6" s="41" customFormat="1" ht="14.25" x14ac:dyDescent="0.2"/>
    <row r="42" spans="2:6" s="41" customFormat="1" ht="14.25" x14ac:dyDescent="0.2"/>
    <row r="43" spans="2:6" s="41" customFormat="1" x14ac:dyDescent="0.25">
      <c r="B43" s="15" t="s">
        <v>280</v>
      </c>
    </row>
    <row r="44" spans="2:6" s="41" customFormat="1" ht="29.45" customHeight="1" x14ac:dyDescent="0.2">
      <c r="B44" s="298" t="s">
        <v>503</v>
      </c>
      <c r="C44" s="298"/>
      <c r="D44" s="298"/>
      <c r="E44" s="298"/>
      <c r="F44" s="298"/>
    </row>
    <row r="45" spans="2:6" s="41" customFormat="1" ht="14.25" x14ac:dyDescent="0.2"/>
    <row r="46" spans="2:6" s="41" customFormat="1" ht="14.25" x14ac:dyDescent="0.2">
      <c r="B46" s="8"/>
    </row>
    <row r="47" spans="2:6" s="41" customFormat="1" ht="54" customHeight="1" x14ac:dyDescent="0.2">
      <c r="B47" s="58" t="s">
        <v>448</v>
      </c>
      <c r="C47" s="54" t="s">
        <v>447</v>
      </c>
      <c r="E47" s="67"/>
      <c r="F47" s="305" t="s">
        <v>446</v>
      </c>
    </row>
    <row r="48" spans="2:6" s="41" customFormat="1" ht="5.25" customHeight="1" x14ac:dyDescent="0.2">
      <c r="E48" s="67"/>
      <c r="F48" s="306"/>
    </row>
    <row r="49" spans="1:6" s="41" customFormat="1" ht="4.5" customHeight="1" x14ac:dyDescent="0.2">
      <c r="E49" s="67"/>
      <c r="F49" s="306"/>
    </row>
    <row r="50" spans="1:6" s="41" customFormat="1" ht="14.25" x14ac:dyDescent="0.2">
      <c r="A50" s="297"/>
      <c r="B50" s="297"/>
    </row>
    <row r="51" spans="1:6" s="41" customFormat="1" x14ac:dyDescent="0.25">
      <c r="C51" s="64" t="str">
        <f>C19</f>
        <v>SSR Revised 2025.02</v>
      </c>
    </row>
  </sheetData>
  <sheetProtection algorithmName="SHA-512" hashValue="UHemBiT1tUpgchgOtnnwELVX45ddb0ZuDWzvG+GlpR08ApRC4/3wCIREVw8SEhjc+GlrqFJU24zmf68TL+2/kw==" saltValue="Ovo+Ns7OwRx/+5LWXpkmYw==" spinCount="100000" sheet="1" selectLockedCells="1"/>
  <mergeCells count="22">
    <mergeCell ref="A50:B50"/>
    <mergeCell ref="B44:F44"/>
    <mergeCell ref="C31:F31"/>
    <mergeCell ref="B36:F36"/>
    <mergeCell ref="B20:F20"/>
    <mergeCell ref="B22:F22"/>
    <mergeCell ref="B29:F29"/>
    <mergeCell ref="F47:F49"/>
    <mergeCell ref="B24:F24"/>
    <mergeCell ref="B28:F28"/>
    <mergeCell ref="B26:F26"/>
    <mergeCell ref="B27:F27"/>
    <mergeCell ref="A18:F18"/>
    <mergeCell ref="E2:F2"/>
    <mergeCell ref="E3:F3"/>
    <mergeCell ref="E4:F4"/>
    <mergeCell ref="E5:F5"/>
    <mergeCell ref="A8:F8"/>
    <mergeCell ref="A10:F10"/>
    <mergeCell ref="A14:F14"/>
    <mergeCell ref="A16:F16"/>
    <mergeCell ref="A12:F12"/>
  </mergeCells>
  <conditionalFormatting sqref="A8:F11 A12 A13:F16">
    <cfRule type="expression" dxfId="3164" priority="3">
      <formula>$A$14="(LSSR)"</formula>
    </cfRule>
  </conditionalFormatting>
  <conditionalFormatting sqref="A8:F16">
    <cfRule type="expression" dxfId="3163" priority="1">
      <formula>$A$14="(CSSR)"</formula>
    </cfRule>
    <cfRule type="expression" dxfId="3162" priority="2">
      <formula>$A$14="(ISSR)"</formula>
    </cfRule>
  </conditionalFormatting>
  <dataValidations count="1">
    <dataValidation type="list" allowBlank="1" showInputMessage="1" showErrorMessage="1" sqref="A12" xr:uid="{00000000-0002-0000-0000-000000000000}">
      <formula1>"Continuing Accreditation, Initial Accreditation,       Letter of Review"</formula1>
    </dataValidation>
  </dataValidations>
  <hyperlinks>
    <hyperlink ref="C38" r:id="rId1" xr:uid="{00000000-0004-0000-0000-000000000000}"/>
    <hyperlink ref="C37" r:id="rId2" xr:uid="{00000000-0004-0000-0000-000001000000}"/>
    <hyperlink ref="B28" r:id="rId3" display="http://coaemsp.org/Self_Study_Reports.htm" xr:uid="{00000000-0004-0000-0000-000002000000}"/>
    <hyperlink ref="B28:F28" r:id="rId4" display="Click Here For Step By Step Instructions" xr:uid="{00000000-0004-0000-0000-000003000000}"/>
  </hyperlinks>
  <printOptions horizontalCentered="1" verticalCentered="1"/>
  <pageMargins left="0.25" right="0.25" top="0.25" bottom="0.25" header="0.3" footer="0.3"/>
  <pageSetup scale="84" fitToHeight="0" orientation="landscape" horizontalDpi="300" verticalDpi="300" r:id="rId5"/>
  <rowBreaks count="2" manualBreakCount="2">
    <brk id="19" max="6" man="1"/>
    <brk id="29" max="6" man="1"/>
  </rowBreaks>
  <colBreaks count="1" manualBreakCount="1">
    <brk id="7" max="1048575" man="1"/>
  </colBreaks>
  <drawing r:id="rId6"/>
  <legacyDrawing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5B8EA"/>
  </sheetPr>
  <dimension ref="B1:V54"/>
  <sheetViews>
    <sheetView showGridLines="0" zoomScaleNormal="100" workbookViewId="0">
      <selection activeCell="R20" sqref="R20:V20"/>
    </sheetView>
  </sheetViews>
  <sheetFormatPr defaultColWidth="9.140625" defaultRowHeight="15" x14ac:dyDescent="0.25"/>
  <cols>
    <col min="1" max="1" width="4.7109375" customWidth="1"/>
    <col min="2" max="2" width="12.85546875" customWidth="1"/>
    <col min="3" max="3" width="7.7109375" customWidth="1"/>
    <col min="4" max="4" width="15" customWidth="1"/>
    <col min="5" max="5" width="14" customWidth="1"/>
    <col min="6" max="6" width="15.42578125" customWidth="1"/>
    <col min="7" max="7" width="12.7109375" customWidth="1"/>
    <col min="8" max="8" width="14.28515625" customWidth="1"/>
    <col min="9" max="9" width="11.5703125" customWidth="1"/>
    <col min="12" max="12" width="13.5703125" customWidth="1"/>
  </cols>
  <sheetData>
    <row r="1" spans="2:22" s="41" customFormat="1" ht="45.95" customHeight="1" x14ac:dyDescent="0.25">
      <c r="B1" s="4" t="s">
        <v>55</v>
      </c>
      <c r="G1" s="64"/>
      <c r="I1" s="64" t="str">
        <f>Instructions!C19</f>
        <v>SSR Revised 2025.02</v>
      </c>
    </row>
    <row r="2" spans="2:22" s="41" customFormat="1" ht="21" customHeight="1" x14ac:dyDescent="0.2">
      <c r="B2" s="373">
        <f>'Title Page'!$D$10</f>
        <v>0</v>
      </c>
      <c r="C2" s="373"/>
      <c r="D2" s="373"/>
      <c r="E2" s="373"/>
      <c r="F2" s="373"/>
      <c r="G2" s="373"/>
    </row>
    <row r="3" spans="2:22" s="41" customFormat="1" ht="9.75" customHeight="1" x14ac:dyDescent="0.2">
      <c r="B3" s="86"/>
      <c r="C3" s="86"/>
      <c r="D3" s="86"/>
      <c r="E3" s="86"/>
      <c r="F3" s="86"/>
      <c r="G3" s="86"/>
    </row>
    <row r="4" spans="2:22" s="41" customFormat="1" ht="30.75" customHeight="1" x14ac:dyDescent="0.2">
      <c r="B4" s="310" t="str">
        <f>IF('Title Page'!D3&lt;&gt;"Please Select",'Title Page'!D3,"")</f>
        <v/>
      </c>
      <c r="C4" s="310"/>
      <c r="D4" s="310"/>
      <c r="E4" s="310"/>
      <c r="F4" s="310"/>
      <c r="G4" s="310"/>
      <c r="H4" s="310"/>
      <c r="I4" s="310"/>
      <c r="J4" s="310"/>
      <c r="K4" s="310"/>
      <c r="L4" s="310"/>
      <c r="M4" s="310"/>
      <c r="N4" s="310"/>
      <c r="O4" s="310"/>
    </row>
    <row r="5" spans="2:22" s="41" customFormat="1" ht="41.25" customHeight="1" x14ac:dyDescent="0.2">
      <c r="C5" s="29"/>
      <c r="D5" s="29"/>
      <c r="F5" s="165"/>
      <c r="O5" s="353" t="s">
        <v>312</v>
      </c>
      <c r="P5" s="353"/>
      <c r="Q5" s="353"/>
      <c r="R5" s="356" t="str">
        <f>IF(Instructions!A14="(LSSR)","CoAEMSP Frequency of 
High Stakes Exams Form","CoAEMSP High Stakes Analysis Form")</f>
        <v>CoAEMSP Frequency of 
High Stakes Exams Form</v>
      </c>
      <c r="S5" s="356"/>
      <c r="T5" s="356"/>
      <c r="U5" s="356"/>
      <c r="V5" s="356"/>
    </row>
    <row r="6" spans="2:22" s="41" customFormat="1" ht="82.5" customHeight="1" x14ac:dyDescent="0.2">
      <c r="B6" s="94" t="s">
        <v>128</v>
      </c>
      <c r="C6" s="113" t="s">
        <v>8</v>
      </c>
      <c r="D6" s="340" t="s">
        <v>407</v>
      </c>
      <c r="E6" s="340"/>
      <c r="F6" s="340"/>
      <c r="G6" s="340"/>
      <c r="H6" s="340"/>
      <c r="I6" s="340"/>
      <c r="J6" s="340"/>
      <c r="K6" s="340"/>
      <c r="L6" s="340"/>
      <c r="M6" s="340"/>
      <c r="N6" s="8"/>
      <c r="O6" s="458" t="s">
        <v>82</v>
      </c>
      <c r="P6" s="458"/>
      <c r="Q6" s="458"/>
      <c r="R6" s="8"/>
    </row>
    <row r="7" spans="2:22" s="41" customFormat="1" x14ac:dyDescent="0.25">
      <c r="D7" s="512" t="str">
        <f>IF(Instructions!A14="(LSSR)","Provide a brief explanation of how the program plans to conduct item analysis:","")</f>
        <v>Provide a brief explanation of how the program plans to conduct item analysis:</v>
      </c>
      <c r="E7" s="512"/>
      <c r="F7" s="512"/>
      <c r="G7" s="512"/>
      <c r="H7" s="512"/>
      <c r="I7" s="512"/>
      <c r="J7" s="512"/>
      <c r="K7" s="512"/>
      <c r="L7" s="512"/>
      <c r="M7" s="512"/>
    </row>
    <row r="8" spans="2:22" s="41" customFormat="1" ht="122.25" customHeight="1" x14ac:dyDescent="0.2">
      <c r="D8" s="573"/>
      <c r="E8" s="573"/>
      <c r="F8" s="573"/>
      <c r="G8" s="573"/>
      <c r="H8" s="573"/>
      <c r="I8" s="573"/>
      <c r="J8" s="573"/>
      <c r="K8" s="573"/>
      <c r="L8" s="573"/>
      <c r="M8" s="573"/>
      <c r="N8" s="573"/>
      <c r="O8" s="8"/>
      <c r="P8" s="8"/>
      <c r="Q8" s="8"/>
      <c r="R8" s="8"/>
    </row>
    <row r="9" spans="2:22" s="41" customFormat="1" ht="14.25" x14ac:dyDescent="0.2"/>
    <row r="10" spans="2:22" s="41" customFormat="1" ht="87" customHeight="1" x14ac:dyDescent="0.2">
      <c r="C10" s="88"/>
      <c r="D10" s="358" t="str">
        <f>IF(Instructions!A14&lt;&gt;"(LSSR)","Place a single completed CoAEMSP High Stakes Analysis Form and a graded summative, comprehensive (final) evaluation for each of the learning domains (cognitive, psychomotor, and affective) "&amp;"that is conducted at or near the conclusion of the capstone field internship for one (1) recent graduate in the Documentation folder.  Each document must be titled with the 'EXACT document name' and "&amp;"must be included as the type of file format listed below (not Word 97-2003 [.doc], Word 2013 [.docx], or Excel [.xlxs]).","Place a completed CoAEMSP Frequency of High Stakes Exam Form and a summative, comprehensive (final) evaluation for each of the learning domains (cognitive, psychomotor, and affective) "&amp;"that will be conducted at or near the conclusion of the capstone field internship in the Documentation folder.  Each document must be titled with the 'EXACT document name' and must be included as the type of file "&amp;"format listed below (not Word 97-2003 [.doc], Word 2013 [.docx], or Excel [.xlxs]).")</f>
        <v>Place a completed CoAEMSP Frequency of High Stakes Exam Form and a summative, comprehensive (final) evaluation for each of the learning domains (cognitive, psychomotor, and affective) that will be conducted at or near the conclusion of the capstone field internship in the Documentation folder.  Each document must be titled with the 'EXACT document name' and must be included as the type of file format listed below (not Word 97-2003 [.doc], Word 2013 [.docx], or Excel [.xlxs]).</v>
      </c>
      <c r="E10" s="358"/>
      <c r="F10" s="358"/>
      <c r="G10" s="358"/>
      <c r="H10" s="358"/>
      <c r="I10" s="358"/>
      <c r="J10" s="358"/>
      <c r="K10" s="358"/>
      <c r="L10" s="358"/>
      <c r="M10" s="358"/>
      <c r="N10" s="358"/>
      <c r="O10" s="358"/>
      <c r="S10" s="63"/>
    </row>
    <row r="11" spans="2:22" s="41" customFormat="1" ht="27" customHeight="1" x14ac:dyDescent="0.2">
      <c r="C11" s="88"/>
      <c r="H11" s="360" t="s">
        <v>115</v>
      </c>
      <c r="I11" s="360"/>
      <c r="J11" s="360"/>
      <c r="K11" s="360"/>
      <c r="L11" s="360"/>
      <c r="M11" s="360"/>
      <c r="N11" s="360"/>
      <c r="S11" s="63"/>
    </row>
    <row r="12" spans="2:22" s="41" customFormat="1" ht="30.75" customHeight="1" x14ac:dyDescent="0.2">
      <c r="C12" s="88"/>
      <c r="H12" s="360" t="str">
        <f>IF(Instructions!A14="(LSSR)","                                            26 Frequency of High Stakes Exams","                                            26 Item Analysis")</f>
        <v xml:space="preserve">                                            26 Frequency of High Stakes Exams</v>
      </c>
      <c r="I12" s="360"/>
      <c r="J12" s="360"/>
      <c r="K12" s="360"/>
      <c r="L12" s="360"/>
      <c r="M12" s="360"/>
      <c r="N12" s="360"/>
      <c r="S12" s="63"/>
    </row>
    <row r="13" spans="2:22" s="41" customFormat="1" ht="29.25" customHeight="1" x14ac:dyDescent="0.2">
      <c r="C13" s="88"/>
      <c r="E13" s="118"/>
      <c r="F13" s="118"/>
      <c r="G13" s="118"/>
      <c r="H13" s="360" t="s">
        <v>419</v>
      </c>
      <c r="I13" s="360"/>
      <c r="J13" s="360"/>
      <c r="K13" s="360"/>
      <c r="L13" s="360"/>
      <c r="M13" s="360"/>
      <c r="N13" s="360"/>
      <c r="S13" s="63"/>
    </row>
    <row r="14" spans="2:22" s="41" customFormat="1" ht="27.75" customHeight="1" x14ac:dyDescent="0.2">
      <c r="C14" s="88"/>
      <c r="H14" s="361" t="s">
        <v>281</v>
      </c>
      <c r="I14" s="361"/>
      <c r="J14" s="361"/>
      <c r="K14" s="361"/>
      <c r="L14" s="361"/>
      <c r="M14" s="361"/>
      <c r="N14" s="361"/>
      <c r="S14" s="63"/>
    </row>
    <row r="15" spans="2:22" s="41" customFormat="1" ht="14.25" x14ac:dyDescent="0.2">
      <c r="C15" s="27"/>
    </row>
    <row r="16" spans="2:22" s="41" customFormat="1" ht="14.25" x14ac:dyDescent="0.2"/>
    <row r="17" spans="2:22" s="41" customFormat="1" ht="14.25" x14ac:dyDescent="0.2">
      <c r="C17" s="28"/>
      <c r="F17" s="6"/>
    </row>
    <row r="18" spans="2:22" s="41" customFormat="1" x14ac:dyDescent="0.25">
      <c r="C18" s="64"/>
    </row>
    <row r="19" spans="2:22" s="41" customFormat="1" ht="14.25" x14ac:dyDescent="0.2"/>
    <row r="20" spans="2:22" s="41" customFormat="1" ht="41.25" customHeight="1" x14ac:dyDescent="0.2">
      <c r="C20" s="29"/>
      <c r="D20" s="29"/>
      <c r="F20" s="165"/>
      <c r="O20" s="353" t="s">
        <v>312</v>
      </c>
      <c r="P20" s="353"/>
      <c r="Q20" s="353"/>
      <c r="R20" s="356" t="s">
        <v>76</v>
      </c>
      <c r="S20" s="356"/>
      <c r="T20" s="356"/>
      <c r="U20" s="356"/>
      <c r="V20" s="356"/>
    </row>
    <row r="21" spans="2:22" s="41" customFormat="1" ht="101.25" customHeight="1" x14ac:dyDescent="0.2">
      <c r="B21" s="94" t="s">
        <v>408</v>
      </c>
      <c r="C21" s="113" t="s">
        <v>9</v>
      </c>
      <c r="D21" s="340" t="str">
        <f>"The program must document that EACH graduate has reached terminal competence as an entry-level " &amp;'Program Info'!B3&amp;" in all three (3) learning domains through a system of evaluation from novice to entry-level competence and through scenario-based activities or patient encounters (e.g., portfolio).  "&amp;"A Terminal Competency Form must be signed by the Program Director and the program Medical Director attesting to the competency of each graduate in the cognitive, psychomotor, and affective learning domains and kept on file."</f>
        <v>The program must document that EACH graduate has reached terminal competence as an entry-level  in all three (3) learning domains through a system of evaluation from novice to entry-level competence and through scenario-based activities or patient encounters (e.g., portfolio).  A Terminal Competency Form must be signed by the Program Director and the program Medical Director attesting to the competency of each graduate in the cognitive, psychomotor, and affective learning domains and kept on file.</v>
      </c>
      <c r="E21" s="340"/>
      <c r="F21" s="340"/>
      <c r="G21" s="340"/>
      <c r="H21" s="340"/>
      <c r="I21" s="340"/>
      <c r="J21" s="340"/>
      <c r="K21" s="340"/>
      <c r="L21" s="340"/>
      <c r="M21" s="340"/>
      <c r="N21" s="8"/>
      <c r="O21" s="8"/>
      <c r="P21" s="8"/>
      <c r="Q21" s="8"/>
      <c r="R21" s="8"/>
    </row>
    <row r="22" spans="2:22" s="41" customFormat="1" ht="26.25" customHeight="1" x14ac:dyDescent="0.2">
      <c r="B22" s="110"/>
      <c r="D22" s="372" t="s">
        <v>204</v>
      </c>
      <c r="E22" s="372"/>
      <c r="F22" s="372"/>
      <c r="G22" s="372"/>
      <c r="H22" s="372"/>
      <c r="I22" s="372"/>
      <c r="J22" s="372"/>
      <c r="K22" s="165" t="s">
        <v>75</v>
      </c>
    </row>
    <row r="23" spans="2:22" s="41" customFormat="1" ht="14.25" x14ac:dyDescent="0.2">
      <c r="I23" s="8"/>
      <c r="J23" s="8"/>
      <c r="K23" s="8"/>
      <c r="L23" s="8"/>
      <c r="M23" s="8"/>
      <c r="N23" s="8"/>
      <c r="O23" s="8"/>
      <c r="P23" s="8"/>
      <c r="Q23" s="8"/>
      <c r="R23" s="8"/>
    </row>
    <row r="24" spans="2:22" s="41" customFormat="1" ht="65.25" customHeight="1" x14ac:dyDescent="0.2">
      <c r="C24" s="88"/>
      <c r="D24" s="358" t="str">
        <f>IF(Instructions!A14&lt;&gt;"(LSSR)","Place a copy of a single completed and signed Terminal Competency Form from the most recent graduating cohort in the Documentation folder.  "&amp;"This document must be titled with the 'EXACT document name' and must be included as the type of file format listed below (not Word 97-2003 [.doc], Word 2013 [.docx], or Excel [.xls]).","Place a copy of the Terminal Competency Form that will be used in the Documentation folder.  "&amp;"This document must be titled with the 'EXACT document name' and must be included as the type of file format listed below (not Word 97-2003 [.doc], Word 2013 [.docx], or Excel [.xls]).")</f>
        <v>Place a copy of the Terminal Competency Form that will be used in the Documentation folder.  This document must be titled with the 'EXACT document name' and must be included as the type of file format listed below (not Word 97-2003 [.doc], Word 2013 [.docx], or Excel [.xls]).</v>
      </c>
      <c r="E24" s="358"/>
      <c r="F24" s="358"/>
      <c r="G24" s="358"/>
      <c r="H24" s="358"/>
      <c r="I24" s="358"/>
      <c r="J24" s="358"/>
      <c r="K24" s="358"/>
      <c r="L24" s="358"/>
      <c r="M24" s="358"/>
      <c r="N24" s="358"/>
      <c r="O24" s="358"/>
      <c r="S24" s="63"/>
    </row>
    <row r="25" spans="2:22" s="41" customFormat="1" ht="27" customHeight="1" x14ac:dyDescent="0.2">
      <c r="C25" s="88"/>
      <c r="H25" s="360" t="s">
        <v>174</v>
      </c>
      <c r="I25" s="360"/>
      <c r="J25" s="360"/>
      <c r="K25" s="360"/>
      <c r="L25" s="360"/>
      <c r="M25" s="360"/>
      <c r="N25" s="360"/>
      <c r="S25" s="63"/>
    </row>
    <row r="26" spans="2:22" s="41" customFormat="1" ht="29.25" customHeight="1" x14ac:dyDescent="0.2">
      <c r="C26" s="88"/>
      <c r="E26" s="118"/>
      <c r="F26" s="118"/>
      <c r="G26" s="118"/>
      <c r="H26" s="360" t="s">
        <v>420</v>
      </c>
      <c r="I26" s="360"/>
      <c r="J26" s="360"/>
      <c r="K26" s="360"/>
      <c r="L26" s="360"/>
      <c r="M26" s="360"/>
      <c r="N26" s="360"/>
      <c r="S26" s="63"/>
    </row>
    <row r="27" spans="2:22" s="41" customFormat="1" ht="27.75" customHeight="1" x14ac:dyDescent="0.2">
      <c r="C27" s="88"/>
      <c r="H27" s="361" t="s">
        <v>116</v>
      </c>
      <c r="I27" s="361"/>
      <c r="J27" s="361"/>
      <c r="K27" s="361"/>
      <c r="L27" s="361"/>
      <c r="M27" s="361"/>
      <c r="N27" s="361"/>
      <c r="S27" s="63"/>
    </row>
    <row r="28" spans="2:22" s="41" customFormat="1" ht="21" customHeight="1" x14ac:dyDescent="0.2">
      <c r="C28" s="83"/>
      <c r="D28" s="21"/>
      <c r="E28" s="21"/>
      <c r="F28" s="21"/>
      <c r="G28" s="21"/>
    </row>
    <row r="29" spans="2:22" s="41" customFormat="1" ht="14.25" x14ac:dyDescent="0.2">
      <c r="C29" s="117"/>
    </row>
    <row r="30" spans="2:22" s="41" customFormat="1" ht="14.25" x14ac:dyDescent="0.2"/>
    <row r="31" spans="2:22" s="41" customFormat="1" ht="14.25" x14ac:dyDescent="0.2"/>
    <row r="32" spans="2:22" s="41" customFormat="1" ht="72" customHeight="1" x14ac:dyDescent="0.2">
      <c r="O32" s="571" t="s">
        <v>410</v>
      </c>
      <c r="P32" s="571"/>
      <c r="Q32" s="571"/>
      <c r="R32" s="356" t="s">
        <v>467</v>
      </c>
      <c r="S32" s="356"/>
      <c r="T32" s="356"/>
      <c r="U32" s="356"/>
      <c r="V32" s="356"/>
    </row>
    <row r="33" spans="2:19" s="41" customFormat="1" ht="169.5" customHeight="1" x14ac:dyDescent="0.2">
      <c r="B33" s="94" t="s">
        <v>409</v>
      </c>
      <c r="C33" s="109" t="s">
        <v>468</v>
      </c>
      <c r="D33" s="346" t="s">
        <v>525</v>
      </c>
      <c r="E33" s="346"/>
      <c r="F33" s="346"/>
      <c r="G33" s="346"/>
      <c r="H33" s="346"/>
      <c r="I33" s="346"/>
      <c r="J33" s="346"/>
      <c r="K33" s="346"/>
      <c r="L33" s="346"/>
      <c r="M33" s="8"/>
      <c r="N33" s="8"/>
      <c r="R33" s="8"/>
    </row>
    <row r="34" spans="2:19" s="41" customFormat="1" ht="26.25" customHeight="1" x14ac:dyDescent="0.2">
      <c r="B34" s="110"/>
      <c r="D34" s="372" t="s">
        <v>204</v>
      </c>
      <c r="E34" s="372"/>
      <c r="F34" s="372"/>
      <c r="G34" s="372"/>
      <c r="H34" s="372"/>
      <c r="I34" s="372"/>
      <c r="J34" s="372"/>
    </row>
    <row r="35" spans="2:19" s="41" customFormat="1" ht="14.25" x14ac:dyDescent="0.2">
      <c r="C35" s="27"/>
    </row>
    <row r="36" spans="2:19" s="41" customFormat="1" ht="65.25" customHeight="1" x14ac:dyDescent="0.2">
      <c r="C36" s="88"/>
      <c r="D36" s="358" t="str">
        <f>IF(Instructions!A14&lt;&gt;"(LSSR)","Place the CoAEMSP SMC summary tracking documentation which includes ONLY graduates from the most recent cohort in the Documentation folder. "&amp;" This document must be titled with the 'EXACT document name' and must be included as the type of file format listed below (not Word 97-2003 [.doc], Word 2013 [.docx], or Adobe Portable Document [.pdf]).","Place the CoAEMSP SMC summary tracking documentation which includes ONLY graduates from the most recent cohort (if any) in the Documentation folder.  "&amp;"This document must be titled with the 'EXACT document name' and must be included as the type of file format listed below (not Word 97-2003 [.doc], Word 2013 [.docx], or Adobe Portable Document [.pdf]).")</f>
        <v>Place the CoAEMSP SMC summary tracking documentation which includes ONLY graduates from the most recent cohort (if any) in the Documentation folder.  This document must be titled with the 'EXACT document name' and must be included as the type of file format listed below (not Word 97-2003 [.doc], Word 2013 [.docx], or Adobe Portable Document [.pdf]).</v>
      </c>
      <c r="E36" s="358"/>
      <c r="F36" s="358"/>
      <c r="G36" s="358"/>
      <c r="H36" s="358"/>
      <c r="I36" s="358"/>
      <c r="J36" s="358"/>
      <c r="K36" s="358"/>
      <c r="L36" s="358"/>
      <c r="M36" s="358"/>
      <c r="N36" s="358"/>
      <c r="O36" s="358"/>
      <c r="S36" s="63"/>
    </row>
    <row r="37" spans="2:19" s="41" customFormat="1" ht="27" customHeight="1" x14ac:dyDescent="0.2">
      <c r="C37" s="88"/>
      <c r="H37" s="360" t="s">
        <v>117</v>
      </c>
      <c r="I37" s="360"/>
      <c r="J37" s="360"/>
      <c r="K37" s="360"/>
      <c r="L37" s="360"/>
      <c r="M37" s="360"/>
      <c r="N37" s="360"/>
      <c r="S37" s="63"/>
    </row>
    <row r="38" spans="2:19" s="41" customFormat="1" ht="29.25" customHeight="1" x14ac:dyDescent="0.2">
      <c r="C38" s="88"/>
      <c r="E38" s="430" t="s">
        <v>111</v>
      </c>
      <c r="F38" s="430"/>
      <c r="G38" s="430"/>
      <c r="H38" s="360" t="s">
        <v>421</v>
      </c>
      <c r="I38" s="360"/>
      <c r="J38" s="360"/>
      <c r="K38" s="360"/>
      <c r="L38" s="360"/>
      <c r="M38" s="360"/>
      <c r="N38" s="360"/>
      <c r="S38" s="63"/>
    </row>
    <row r="39" spans="2:19" s="41" customFormat="1" ht="27.75" customHeight="1" x14ac:dyDescent="0.2">
      <c r="C39" s="88"/>
      <c r="H39" s="361" t="s">
        <v>411</v>
      </c>
      <c r="I39" s="361"/>
      <c r="J39" s="361"/>
      <c r="K39" s="361"/>
      <c r="L39" s="361"/>
      <c r="M39" s="361"/>
      <c r="N39" s="361"/>
      <c r="S39" s="63"/>
    </row>
    <row r="40" spans="2:19" s="41" customFormat="1" ht="14.25" x14ac:dyDescent="0.2"/>
    <row r="41" spans="2:19" s="41" customFormat="1" ht="14.25" x14ac:dyDescent="0.2"/>
    <row r="42" spans="2:19" s="41" customFormat="1" ht="55.5" customHeight="1" x14ac:dyDescent="0.2">
      <c r="C42" s="103" t="s">
        <v>11</v>
      </c>
      <c r="D42" s="346" t="s">
        <v>306</v>
      </c>
      <c r="E42" s="346"/>
      <c r="F42" s="346"/>
      <c r="G42" s="346"/>
      <c r="H42" s="346"/>
      <c r="I42" s="346"/>
      <c r="J42" s="346"/>
      <c r="K42" s="346"/>
      <c r="L42" s="346"/>
      <c r="M42" s="8"/>
      <c r="N42" s="8"/>
      <c r="O42" s="458" t="s">
        <v>82</v>
      </c>
      <c r="P42" s="458"/>
      <c r="Q42" s="458"/>
      <c r="R42" s="8"/>
    </row>
    <row r="43" spans="2:19" s="41" customFormat="1" ht="275.64999999999998" customHeight="1" x14ac:dyDescent="0.2">
      <c r="D43" s="572" t="s">
        <v>526</v>
      </c>
      <c r="E43" s="572"/>
      <c r="F43" s="572"/>
      <c r="G43" s="572"/>
      <c r="H43" s="572"/>
      <c r="I43" s="572"/>
      <c r="J43" s="572"/>
      <c r="K43" s="572"/>
      <c r="Q43" s="87"/>
    </row>
    <row r="44" spans="2:19" s="41" customFormat="1" ht="14.25" x14ac:dyDescent="0.2">
      <c r="C44" s="27"/>
    </row>
    <row r="45" spans="2:19" s="41" customFormat="1" ht="14.25" x14ac:dyDescent="0.2"/>
    <row r="46" spans="2:19" s="41" customFormat="1" ht="14.25" x14ac:dyDescent="0.2"/>
    <row r="47" spans="2:19" s="41" customFormat="1" ht="14.25" x14ac:dyDescent="0.2"/>
    <row r="48" spans="2:19" s="41" customFormat="1" ht="14.25" x14ac:dyDescent="0.2"/>
    <row r="49" spans="2:15" s="41" customFormat="1" ht="14.25" x14ac:dyDescent="0.2"/>
    <row r="50" spans="2:15" s="41" customFormat="1" ht="14.25" x14ac:dyDescent="0.2"/>
    <row r="51" spans="2:15" s="41" customFormat="1" ht="24" customHeight="1" x14ac:dyDescent="0.25">
      <c r="B51" s="378" t="s">
        <v>277</v>
      </c>
      <c r="C51" s="378"/>
      <c r="D51" s="378"/>
      <c r="E51" s="378"/>
      <c r="F51" s="378"/>
      <c r="G51" s="378"/>
      <c r="K51" s="64"/>
    </row>
    <row r="54" spans="2:15" ht="27" customHeight="1" x14ac:dyDescent="0.25">
      <c r="B54" s="310" t="str">
        <f>IF('Title Page'!D3&lt;&gt;"Please Select",'Title Page'!D3,"")</f>
        <v/>
      </c>
      <c r="C54" s="310"/>
      <c r="D54" s="310"/>
      <c r="E54" s="310"/>
      <c r="F54" s="310"/>
      <c r="G54" s="310"/>
      <c r="H54" s="310"/>
      <c r="I54" s="310"/>
      <c r="J54" s="310"/>
      <c r="K54" s="310"/>
      <c r="L54" s="310"/>
      <c r="M54" s="310"/>
      <c r="N54" s="310"/>
      <c r="O54" s="310"/>
    </row>
  </sheetData>
  <sheetProtection algorithmName="SHA-512" hashValue="UouHTEYKgYSffrC7beSCtnX4PGYGWOeNHLn+CZlZRnduq7P0gFuwutGmQK5c28mNKecxaKZsnZrS8RR45ZyGeg==" saltValue="7dcv7lUAYVDyDS4+vbVo8A==" spinCount="100000" sheet="1" formatRows="0" selectLockedCells="1"/>
  <mergeCells count="35">
    <mergeCell ref="B54:O54"/>
    <mergeCell ref="B2:G2"/>
    <mergeCell ref="R32:V32"/>
    <mergeCell ref="D33:L33"/>
    <mergeCell ref="D36:O36"/>
    <mergeCell ref="H37:N37"/>
    <mergeCell ref="R20:V20"/>
    <mergeCell ref="H26:N26"/>
    <mergeCell ref="H27:N27"/>
    <mergeCell ref="D22:J22"/>
    <mergeCell ref="O5:Q5"/>
    <mergeCell ref="R5:V5"/>
    <mergeCell ref="B4:O4"/>
    <mergeCell ref="D43:K43"/>
    <mergeCell ref="D8:N8"/>
    <mergeCell ref="D7:M7"/>
    <mergeCell ref="B51:G51"/>
    <mergeCell ref="D6:M6"/>
    <mergeCell ref="H38:N38"/>
    <mergeCell ref="H39:N39"/>
    <mergeCell ref="D42:L42"/>
    <mergeCell ref="E38:G38"/>
    <mergeCell ref="D21:M21"/>
    <mergeCell ref="O42:Q42"/>
    <mergeCell ref="O6:Q6"/>
    <mergeCell ref="D10:O10"/>
    <mergeCell ref="H11:N11"/>
    <mergeCell ref="H14:N14"/>
    <mergeCell ref="H13:N13"/>
    <mergeCell ref="H12:N12"/>
    <mergeCell ref="O32:Q32"/>
    <mergeCell ref="D34:J34"/>
    <mergeCell ref="O20:Q20"/>
    <mergeCell ref="D24:O24"/>
    <mergeCell ref="H25:N25"/>
  </mergeCells>
  <conditionalFormatting sqref="B4:O4">
    <cfRule type="expression" dxfId="3940" priority="3">
      <formula>$B$4="Paramedic"</formula>
    </cfRule>
    <cfRule type="expression" dxfId="3939" priority="5">
      <formula>$B$4="AEMT"</formula>
    </cfRule>
  </conditionalFormatting>
  <conditionalFormatting sqref="B54:O54">
    <cfRule type="expression" dxfId="3938" priority="2">
      <formula>$B$54="Paramedic"</formula>
    </cfRule>
    <cfRule type="expression" dxfId="3937" priority="4">
      <formula>$B$54="AEMT"</formula>
    </cfRule>
  </conditionalFormatting>
  <conditionalFormatting sqref="D8:N8">
    <cfRule type="expression" dxfId="3936" priority="1">
      <formula>$D$7&lt;&gt;""</formula>
    </cfRule>
  </conditionalFormatting>
  <dataValidations count="1">
    <dataValidation type="list" allowBlank="1" showInputMessage="1" showErrorMessage="1" sqref="E17" xr:uid="{00000000-0002-0000-0900-000000000000}">
      <formula1>"Yes, No"</formula1>
    </dataValidation>
  </dataValidations>
  <hyperlinks>
    <hyperlink ref="R32:V32" r:id="rId1" display="Patient Encounters Summary Tracking" xr:uid="{00000000-0004-0000-0900-000000000000}"/>
    <hyperlink ref="R20:V20" r:id="rId2" display="Terminal Competency Form" xr:uid="{00000000-0004-0000-0900-000001000000}"/>
    <hyperlink ref="R5:V5" r:id="rId3" display="CoAEMSP High Stakes Analysis Form" xr:uid="{00000000-0004-0000-0900-000002000000}"/>
  </hyperlinks>
  <printOptions horizontalCentered="1" verticalCentered="1"/>
  <pageMargins left="0.25" right="0.25" top="0.25" bottom="0.25" header="0.3" footer="0.3"/>
  <pageSetup scale="81" fitToHeight="0" orientation="landscape" horizontalDpi="300" verticalDpi="300" r:id="rId4"/>
  <rowBreaks count="1" manualBreakCount="1">
    <brk id="41" max="14" man="1"/>
  </rowBreaks>
  <colBreaks count="1" manualBreakCount="1">
    <brk id="15" max="1048575" man="1"/>
  </colBreaks>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D5B8EA"/>
  </sheetPr>
  <dimension ref="B1:X141"/>
  <sheetViews>
    <sheetView showGridLines="0" topLeftCell="B1" zoomScaleNormal="100" workbookViewId="0">
      <selection activeCell="H26" sqref="H26:J26"/>
    </sheetView>
  </sheetViews>
  <sheetFormatPr defaultColWidth="9.140625" defaultRowHeight="15" x14ac:dyDescent="0.25"/>
  <cols>
    <col min="1" max="1" width="4.7109375" customWidth="1"/>
    <col min="2" max="2" width="16.42578125" customWidth="1"/>
    <col min="3" max="3" width="7.7109375" customWidth="1"/>
    <col min="4" max="4" width="15" customWidth="1"/>
    <col min="5" max="5" width="14" customWidth="1"/>
    <col min="6" max="6" width="15.42578125" customWidth="1"/>
    <col min="7" max="7" width="13.5703125" customWidth="1"/>
    <col min="8" max="8" width="14.28515625" customWidth="1"/>
    <col min="9" max="9" width="11.5703125" customWidth="1"/>
    <col min="11" max="11" width="9.28515625" customWidth="1"/>
    <col min="12" max="12" width="12.42578125" customWidth="1"/>
    <col min="13" max="13" width="12.85546875" customWidth="1"/>
  </cols>
  <sheetData>
    <row r="1" spans="2:24" s="41" customFormat="1" ht="45.95" customHeight="1" x14ac:dyDescent="0.25">
      <c r="B1" s="4" t="s">
        <v>56</v>
      </c>
      <c r="K1" s="64" t="str">
        <f>Instructions!C19</f>
        <v>SSR Revised 2025.02</v>
      </c>
    </row>
    <row r="2" spans="2:24" s="41" customFormat="1" ht="30" customHeight="1" x14ac:dyDescent="0.2">
      <c r="B2" s="499">
        <f>'Title Page'!$D$10</f>
        <v>0</v>
      </c>
      <c r="C2" s="499"/>
      <c r="D2" s="499"/>
      <c r="E2" s="499"/>
      <c r="F2" s="499"/>
      <c r="G2" s="499"/>
      <c r="H2" s="499"/>
    </row>
    <row r="3" spans="2:24" s="41" customFormat="1" ht="27" customHeight="1" x14ac:dyDescent="0.2">
      <c r="B3" s="335" t="str">
        <f>IF('Title Page'!D3&lt;&gt;"Please Select",'Title Page'!D3,"")</f>
        <v/>
      </c>
      <c r="C3" s="335"/>
      <c r="D3" s="335"/>
      <c r="E3" s="335"/>
      <c r="F3" s="335"/>
      <c r="G3" s="335"/>
      <c r="H3" s="335"/>
      <c r="I3" s="335"/>
      <c r="J3" s="335"/>
      <c r="K3" s="335"/>
      <c r="L3" s="335"/>
      <c r="M3" s="335"/>
      <c r="N3" s="335"/>
      <c r="O3" s="335"/>
    </row>
    <row r="4" spans="2:24" s="41" customFormat="1" ht="14.25" x14ac:dyDescent="0.2">
      <c r="B4" s="86"/>
      <c r="C4" s="86"/>
      <c r="D4" s="86"/>
      <c r="E4" s="86"/>
      <c r="F4" s="86"/>
      <c r="G4" s="86"/>
      <c r="H4" s="86"/>
      <c r="I4" s="86"/>
      <c r="J4" s="86"/>
      <c r="K4" s="86"/>
      <c r="L4" s="86"/>
      <c r="M4" s="86"/>
      <c r="N4" s="86"/>
      <c r="O4" s="86"/>
    </row>
    <row r="5" spans="2:24" s="41" customFormat="1" ht="14.25" x14ac:dyDescent="0.2"/>
    <row r="6" spans="2:24" s="41" customFormat="1" ht="51" customHeight="1" x14ac:dyDescent="0.2">
      <c r="B6" s="94" t="s">
        <v>135</v>
      </c>
      <c r="C6" s="113" t="s">
        <v>8</v>
      </c>
      <c r="D6" s="340" t="str">
        <f>"Program information must be published in at least one of the " &amp;'Program Info'!B3&amp;" program's publications."</f>
        <v>Program information must be published in at least one of the  program's publications.</v>
      </c>
      <c r="E6" s="340"/>
      <c r="F6" s="340"/>
      <c r="G6" s="340"/>
      <c r="H6" s="340"/>
      <c r="I6" s="340"/>
      <c r="J6" s="340"/>
      <c r="K6" s="340"/>
      <c r="L6" s="340"/>
      <c r="M6" s="8"/>
      <c r="N6" s="8"/>
      <c r="O6" s="458" t="s">
        <v>82</v>
      </c>
      <c r="P6" s="458"/>
      <c r="Q6" s="458"/>
      <c r="R6" s="8"/>
    </row>
    <row r="7" spans="2:24" s="41" customFormat="1" ht="18" customHeight="1" x14ac:dyDescent="0.25">
      <c r="C7" s="91"/>
      <c r="D7" s="585" t="s">
        <v>136</v>
      </c>
      <c r="E7" s="585"/>
      <c r="F7" s="585"/>
      <c r="G7" s="585"/>
      <c r="H7" s="585"/>
      <c r="I7" s="585"/>
      <c r="J7" s="585"/>
      <c r="K7" s="585"/>
      <c r="L7" s="585"/>
      <c r="S7" s="87"/>
      <c r="T7" s="87"/>
      <c r="U7" s="87"/>
      <c r="V7" s="87"/>
      <c r="W7" s="87"/>
      <c r="X7" s="87"/>
    </row>
    <row r="8" spans="2:24" s="41" customFormat="1" ht="6.75" customHeight="1" x14ac:dyDescent="0.2">
      <c r="C8" s="115"/>
      <c r="K8" s="63"/>
      <c r="L8" s="63"/>
      <c r="S8" s="87"/>
      <c r="T8" s="87"/>
      <c r="U8" s="87"/>
      <c r="V8" s="87"/>
      <c r="W8" s="87"/>
      <c r="X8" s="87"/>
    </row>
    <row r="9" spans="2:24" s="41" customFormat="1" ht="18" customHeight="1" x14ac:dyDescent="0.2">
      <c r="C9" s="88"/>
      <c r="D9" s="92" t="s">
        <v>95</v>
      </c>
      <c r="E9" s="43" t="s">
        <v>137</v>
      </c>
      <c r="G9" s="92" t="s">
        <v>95</v>
      </c>
      <c r="H9" s="43" t="s">
        <v>139</v>
      </c>
      <c r="J9" s="112"/>
      <c r="K9" s="63"/>
      <c r="L9" s="63"/>
      <c r="S9" s="87"/>
      <c r="T9" s="87"/>
      <c r="U9" s="87"/>
      <c r="V9" s="87"/>
      <c r="W9" s="87"/>
      <c r="X9" s="87"/>
    </row>
    <row r="10" spans="2:24" s="41" customFormat="1" ht="19.5" customHeight="1" x14ac:dyDescent="0.2">
      <c r="C10" s="88"/>
      <c r="D10" s="92" t="s">
        <v>95</v>
      </c>
      <c r="E10" s="116" t="s">
        <v>138</v>
      </c>
      <c r="G10" s="92" t="s">
        <v>95</v>
      </c>
      <c r="H10" s="43" t="s">
        <v>140</v>
      </c>
      <c r="J10" s="112"/>
      <c r="K10" s="117"/>
      <c r="L10" s="117"/>
      <c r="S10" s="87"/>
      <c r="T10" s="87"/>
      <c r="U10" s="87"/>
      <c r="V10" s="87"/>
      <c r="W10" s="87"/>
      <c r="X10" s="87"/>
    </row>
    <row r="11" spans="2:24" s="41" customFormat="1" ht="19.5" customHeight="1" x14ac:dyDescent="0.2">
      <c r="C11" s="88"/>
      <c r="D11" s="92" t="s">
        <v>95</v>
      </c>
      <c r="E11" s="116" t="s">
        <v>146</v>
      </c>
      <c r="G11" s="43"/>
      <c r="H11" s="43"/>
      <c r="J11" s="112"/>
      <c r="K11" s="117"/>
      <c r="L11" s="117"/>
      <c r="S11" s="87"/>
      <c r="T11" s="87"/>
      <c r="U11" s="87"/>
      <c r="V11" s="87"/>
      <c r="W11" s="87"/>
      <c r="X11" s="87"/>
    </row>
    <row r="12" spans="2:24" s="41" customFormat="1" ht="14.25" x14ac:dyDescent="0.2">
      <c r="C12" s="27"/>
    </row>
    <row r="13" spans="2:24" s="41" customFormat="1" ht="56.45" customHeight="1" x14ac:dyDescent="0.2">
      <c r="C13" s="88"/>
      <c r="D13" s="370" t="str">
        <f>IF(OR(D10="Yes",G9="Yes",G10="Yes"),"Place a copy of each of the program documents identified above in the Documentation folder.  Each document must be titled with the 'EXACT document name' and "&amp;"must be included as the type of file format listed below (not Word 97-2003 [.doc], Word 2013 [.docx], or Excel (.xlsx).", "")</f>
        <v/>
      </c>
      <c r="E13" s="370"/>
      <c r="F13" s="370"/>
      <c r="G13" s="370"/>
      <c r="H13" s="370"/>
      <c r="I13" s="370"/>
      <c r="J13" s="370"/>
      <c r="K13" s="370"/>
      <c r="L13" s="370"/>
      <c r="M13" s="370"/>
      <c r="N13" s="370"/>
      <c r="O13" s="370"/>
      <c r="S13" s="63"/>
    </row>
    <row r="14" spans="2:24" s="41" customFormat="1" ht="27" customHeight="1" x14ac:dyDescent="0.2">
      <c r="C14" s="88"/>
      <c r="H14" s="342" t="str">
        <f>IF(D13&lt;&gt;"","                   Exact Document Name (for each):","")</f>
        <v/>
      </c>
      <c r="I14" s="342"/>
      <c r="J14" s="342"/>
      <c r="K14" s="342"/>
      <c r="L14" s="342"/>
      <c r="M14" s="342"/>
      <c r="N14" s="342"/>
      <c r="S14" s="63"/>
    </row>
    <row r="15" spans="2:24" s="41" customFormat="1" ht="30.75" customHeight="1" x14ac:dyDescent="0.2">
      <c r="C15" s="88"/>
      <c r="H15" s="342" t="str">
        <f>IF(AND(D10="Yes",D13&lt;&gt;""),"                                            30a Catalog","")</f>
        <v/>
      </c>
      <c r="I15" s="342"/>
      <c r="J15" s="342"/>
      <c r="K15" s="342"/>
      <c r="L15" s="342"/>
      <c r="M15" s="342"/>
      <c r="N15" s="342"/>
      <c r="S15" s="63"/>
    </row>
    <row r="16" spans="2:24" s="41" customFormat="1" ht="29.25" customHeight="1" x14ac:dyDescent="0.2">
      <c r="C16" s="88"/>
      <c r="E16" s="343"/>
      <c r="F16" s="343"/>
      <c r="G16" s="343"/>
      <c r="H16" s="342" t="str">
        <f>IF(AND(G9="Yes",D13&lt;&gt;""),"                                            30b Student Handbook","")</f>
        <v/>
      </c>
      <c r="I16" s="342"/>
      <c r="J16" s="342"/>
      <c r="K16" s="342"/>
      <c r="L16" s="342"/>
      <c r="M16" s="342"/>
      <c r="N16" s="342"/>
      <c r="S16" s="63"/>
    </row>
    <row r="17" spans="2:20" s="41" customFormat="1" ht="27" customHeight="1" x14ac:dyDescent="0.2">
      <c r="C17" s="88"/>
      <c r="H17" s="342" t="str">
        <f>IF(AND(G10="Yes",D13&lt;&gt;""),"                                            30c Policy  Manual","")</f>
        <v/>
      </c>
      <c r="I17" s="342"/>
      <c r="J17" s="342"/>
      <c r="K17" s="342"/>
      <c r="L17" s="342"/>
      <c r="M17" s="342"/>
      <c r="N17" s="342"/>
      <c r="S17" s="63"/>
    </row>
    <row r="18" spans="2:20" s="41" customFormat="1" ht="27.75" customHeight="1" x14ac:dyDescent="0.2">
      <c r="C18" s="88"/>
      <c r="H18" s="345" t="str">
        <f>IF(D13&lt;&gt;"","                   Type of File(s):    Adobe Portable Document (.pdf)","")</f>
        <v/>
      </c>
      <c r="I18" s="345"/>
      <c r="J18" s="345"/>
      <c r="K18" s="345"/>
      <c r="L18" s="345"/>
      <c r="M18" s="345"/>
      <c r="N18" s="345"/>
      <c r="S18" s="63"/>
    </row>
    <row r="19" spans="2:20" s="41" customFormat="1" ht="14.25" x14ac:dyDescent="0.2">
      <c r="C19" s="1"/>
      <c r="J19" s="87"/>
    </row>
    <row r="20" spans="2:20" s="41" customFormat="1" ht="21" customHeight="1" x14ac:dyDescent="0.2">
      <c r="B20" s="68"/>
      <c r="C20" s="37"/>
      <c r="D20" s="43"/>
      <c r="E20" s="43"/>
      <c r="F20" s="43"/>
      <c r="G20" s="43"/>
    </row>
    <row r="21" spans="2:20" s="41" customFormat="1" ht="63" customHeight="1" x14ac:dyDescent="0.2">
      <c r="B21" s="94" t="s">
        <v>141</v>
      </c>
      <c r="C21" s="113" t="s">
        <v>9</v>
      </c>
      <c r="D21" s="340" t="s">
        <v>145</v>
      </c>
      <c r="E21" s="340"/>
      <c r="F21" s="340"/>
      <c r="G21" s="340"/>
      <c r="H21" s="340"/>
      <c r="I21" s="340"/>
      <c r="J21" s="340"/>
      <c r="K21" s="340"/>
      <c r="L21" s="340"/>
      <c r="M21" s="8"/>
      <c r="N21" s="8"/>
      <c r="O21" s="458" t="s">
        <v>82</v>
      </c>
      <c r="P21" s="458"/>
      <c r="Q21" s="458"/>
      <c r="R21" s="8"/>
    </row>
    <row r="22" spans="2:20" s="41" customFormat="1" ht="7.5" customHeight="1" x14ac:dyDescent="0.2"/>
    <row r="23" spans="2:20" s="41" customFormat="1" ht="43.5" customHeight="1" x14ac:dyDescent="0.2">
      <c r="D23" s="586" t="s">
        <v>57</v>
      </c>
      <c r="E23" s="586"/>
      <c r="F23" s="586"/>
      <c r="G23" s="586"/>
      <c r="H23" s="587" t="s">
        <v>144</v>
      </c>
      <c r="I23" s="586"/>
      <c r="J23" s="586"/>
      <c r="K23" s="223" t="s">
        <v>58</v>
      </c>
    </row>
    <row r="24" spans="2:20" s="41" customFormat="1" ht="31.5" customHeight="1" x14ac:dyDescent="0.2">
      <c r="B24" s="224"/>
      <c r="D24" s="579" t="s">
        <v>142</v>
      </c>
      <c r="E24" s="579"/>
      <c r="F24" s="579"/>
      <c r="G24" s="579"/>
      <c r="H24" s="452"/>
      <c r="I24" s="452"/>
      <c r="J24" s="452"/>
      <c r="K24" s="225"/>
    </row>
    <row r="25" spans="2:20" s="117" customFormat="1" ht="39" customHeight="1" x14ac:dyDescent="0.2">
      <c r="D25" s="578" t="str">
        <f>IF(Instructions!A14&lt;&gt;"(LSSR)","b.  Programmatic accreditation status statement  
     (see CoAEMSP Policy IV.A.4. for language)","b.  Programmatic accreditation status statement
     (see CoAMESP Policy I.D.2.)")</f>
        <v>b.  Programmatic accreditation status statement
     (see CoAMESP Policy I.D.2.)</v>
      </c>
      <c r="E25" s="578"/>
      <c r="F25" s="578"/>
      <c r="G25" s="578"/>
      <c r="H25" s="588"/>
      <c r="I25" s="588"/>
      <c r="J25" s="588"/>
      <c r="K25" s="253"/>
      <c r="L25" s="576" t="str">
        <f>IF(Instructions!A14&lt;&gt;"(LSSR)","","Prior to CoAEMSP issuing a Letter of Review (LoR), no mention of the CoAEMSP Letter of Review or the CAAHEP "&amp;"accreditation process may be made by or for the Paramedic education program. Once the LoR is issued, the sponsor must use the language outlined in Policy I.D.2")</f>
        <v>Prior to CoAEMSP issuing a Letter of Review (LoR), no mention of the CoAEMSP Letter of Review or the CAAHEP accreditation process may be made by or for the Paramedic education program. Once the LoR is issued, the sponsor must use the language outlined in Policy I.D.2</v>
      </c>
      <c r="M25" s="577"/>
      <c r="N25" s="577"/>
      <c r="O25" s="577"/>
      <c r="P25" s="577"/>
      <c r="Q25" s="577"/>
      <c r="R25" s="577"/>
      <c r="S25" s="577"/>
      <c r="T25" s="577"/>
    </row>
    <row r="26" spans="2:20" s="41" customFormat="1" ht="29.25" customHeight="1" x14ac:dyDescent="0.2">
      <c r="D26" s="579" t="s">
        <v>143</v>
      </c>
      <c r="E26" s="579"/>
      <c r="F26" s="579"/>
      <c r="G26" s="579"/>
      <c r="H26" s="452"/>
      <c r="I26" s="452"/>
      <c r="J26" s="452"/>
      <c r="K26" s="225"/>
    </row>
    <row r="27" spans="2:20" s="41" customFormat="1" ht="36" customHeight="1" x14ac:dyDescent="0.2">
      <c r="D27" s="581" t="s">
        <v>323</v>
      </c>
      <c r="E27" s="582"/>
      <c r="F27" s="582"/>
      <c r="G27" s="583"/>
      <c r="H27" s="437"/>
      <c r="I27" s="438"/>
      <c r="J27" s="439"/>
      <c r="K27" s="225"/>
    </row>
    <row r="28" spans="2:20" s="41" customFormat="1" ht="33.75" customHeight="1" x14ac:dyDescent="0.2">
      <c r="D28" s="581" t="s">
        <v>427</v>
      </c>
      <c r="E28" s="582"/>
      <c r="F28" s="582"/>
      <c r="G28" s="583"/>
      <c r="H28" s="437"/>
      <c r="I28" s="438"/>
      <c r="J28" s="439"/>
      <c r="K28" s="225"/>
    </row>
    <row r="29" spans="2:20" s="41" customFormat="1" ht="42" customHeight="1" x14ac:dyDescent="0.2">
      <c r="D29" s="580" t="str">
        <f>"f.   " &amp;'Program Info'!B3&amp;" program specific policy on advanced 
    placement"</f>
        <v>f.    program specific policy on advanced 
    placement</v>
      </c>
      <c r="E29" s="580"/>
      <c r="F29" s="580"/>
      <c r="G29" s="580"/>
      <c r="H29" s="452"/>
      <c r="I29" s="452"/>
      <c r="J29" s="452"/>
      <c r="K29" s="225"/>
    </row>
    <row r="30" spans="2:20" s="41" customFormat="1" ht="33.75" customHeight="1" x14ac:dyDescent="0.2">
      <c r="D30" s="579" t="s">
        <v>449</v>
      </c>
      <c r="E30" s="579"/>
      <c r="F30" s="579"/>
      <c r="G30" s="579"/>
      <c r="H30" s="452"/>
      <c r="I30" s="452"/>
      <c r="J30" s="452"/>
      <c r="K30" s="225"/>
    </row>
    <row r="31" spans="2:20" s="41" customFormat="1" ht="30.75" customHeight="1" x14ac:dyDescent="0.2">
      <c r="D31" s="579" t="str">
        <f>"h.   Policy on " &amp; IF('Program Info'!D5="No", "hours", "credits") &amp; " for experiential learning"</f>
        <v>h.   Policy on credits for experiential learning</v>
      </c>
      <c r="E31" s="579"/>
      <c r="F31" s="579"/>
      <c r="G31" s="579"/>
      <c r="H31" s="452"/>
      <c r="I31" s="452"/>
      <c r="J31" s="452"/>
      <c r="K31" s="225"/>
    </row>
    <row r="32" spans="2:20" s="41" customFormat="1" ht="33.75" customHeight="1" x14ac:dyDescent="0.2">
      <c r="D32" s="579" t="str">
        <f>"i.   Number of " &amp; IF('Program Info'!D5="No", "contact hours", "credits") &amp; " required for program completion"</f>
        <v>i.   Number of credits required for program completion</v>
      </c>
      <c r="E32" s="579"/>
      <c r="F32" s="579"/>
      <c r="G32" s="579"/>
      <c r="H32" s="452"/>
      <c r="I32" s="452"/>
      <c r="J32" s="452"/>
      <c r="K32" s="225"/>
    </row>
    <row r="33" spans="3:19" s="41" customFormat="1" ht="37.5" customHeight="1" x14ac:dyDescent="0.2">
      <c r="D33" s="580" t="s">
        <v>549</v>
      </c>
      <c r="E33" s="579"/>
      <c r="F33" s="579"/>
      <c r="G33" s="579"/>
      <c r="H33" s="452"/>
      <c r="I33" s="452"/>
      <c r="J33" s="452"/>
      <c r="K33" s="225"/>
    </row>
    <row r="34" spans="3:19" s="41" customFormat="1" ht="37.5" customHeight="1" x14ac:dyDescent="0.25">
      <c r="D34" s="574" t="s">
        <v>552</v>
      </c>
      <c r="E34" s="575"/>
      <c r="F34" s="575"/>
      <c r="G34" s="575"/>
      <c r="H34" s="288"/>
      <c r="I34" s="287"/>
      <c r="J34" s="287"/>
      <c r="K34" s="287"/>
    </row>
    <row r="35" spans="3:19" s="41" customFormat="1" ht="37.5" customHeight="1" x14ac:dyDescent="0.2">
      <c r="D35" s="579" t="s">
        <v>450</v>
      </c>
      <c r="E35" s="579"/>
      <c r="F35" s="579"/>
      <c r="G35" s="579"/>
      <c r="H35" s="452"/>
      <c r="I35" s="452"/>
      <c r="J35" s="452"/>
      <c r="K35" s="225"/>
    </row>
    <row r="36" spans="3:19" s="41" customFormat="1" ht="39.75" customHeight="1" x14ac:dyDescent="0.2">
      <c r="D36" s="580" t="s">
        <v>544</v>
      </c>
      <c r="E36" s="580"/>
      <c r="F36" s="580"/>
      <c r="G36" s="580"/>
      <c r="H36" s="452"/>
      <c r="I36" s="452"/>
      <c r="J36" s="452"/>
      <c r="K36" s="225"/>
    </row>
    <row r="37" spans="3:19" s="41" customFormat="1" ht="41.25" customHeight="1" x14ac:dyDescent="0.2">
      <c r="D37" s="580" t="s">
        <v>527</v>
      </c>
      <c r="E37" s="580"/>
      <c r="F37" s="580"/>
      <c r="G37" s="580"/>
      <c r="H37" s="452"/>
      <c r="I37" s="452"/>
      <c r="J37" s="452"/>
      <c r="K37" s="225"/>
    </row>
    <row r="38" spans="3:19" s="41" customFormat="1" ht="14.45" customHeight="1" x14ac:dyDescent="0.2">
      <c r="C38" s="19"/>
      <c r="D38" s="43"/>
      <c r="E38" s="43"/>
      <c r="F38" s="43"/>
      <c r="G38" s="43"/>
      <c r="J38" s="87"/>
    </row>
    <row r="39" spans="3:19" s="41" customFormat="1" ht="65.25" customHeight="1" x14ac:dyDescent="0.2">
      <c r="C39" s="88"/>
      <c r="D39" s="358" t="s">
        <v>488</v>
      </c>
      <c r="E39" s="358"/>
      <c r="F39" s="358"/>
      <c r="G39" s="358"/>
      <c r="H39" s="358"/>
      <c r="I39" s="358"/>
      <c r="J39" s="358"/>
      <c r="K39" s="358"/>
      <c r="L39" s="358"/>
      <c r="M39" s="358"/>
      <c r="N39" s="358"/>
      <c r="O39" s="358"/>
      <c r="S39" s="63"/>
    </row>
    <row r="40" spans="3:19" s="41" customFormat="1" ht="27" customHeight="1" x14ac:dyDescent="0.2">
      <c r="C40" s="88"/>
      <c r="H40" s="360" t="s">
        <v>124</v>
      </c>
      <c r="I40" s="360"/>
      <c r="J40" s="360"/>
      <c r="K40" s="360"/>
      <c r="L40" s="360"/>
      <c r="M40" s="360"/>
      <c r="N40" s="360"/>
      <c r="S40" s="63"/>
    </row>
    <row r="41" spans="3:19" s="41" customFormat="1" ht="30.75" customHeight="1" x14ac:dyDescent="0.2">
      <c r="C41" s="88"/>
      <c r="H41" s="360" t="s">
        <v>454</v>
      </c>
      <c r="I41" s="360"/>
      <c r="J41" s="360"/>
      <c r="K41" s="360"/>
      <c r="L41" s="360"/>
      <c r="M41" s="360"/>
      <c r="N41" s="360"/>
      <c r="S41" s="63"/>
    </row>
    <row r="42" spans="3:19" s="41" customFormat="1" ht="29.25" customHeight="1" x14ac:dyDescent="0.2">
      <c r="C42" s="88"/>
      <c r="E42" s="343"/>
      <c r="F42" s="343"/>
      <c r="G42" s="343"/>
      <c r="H42" s="360" t="s">
        <v>455</v>
      </c>
      <c r="I42" s="360"/>
      <c r="J42" s="360"/>
      <c r="K42" s="360"/>
      <c r="L42" s="360"/>
      <c r="M42" s="360"/>
      <c r="N42" s="360"/>
      <c r="S42" s="63"/>
    </row>
    <row r="43" spans="3:19" s="41" customFormat="1" ht="27" customHeight="1" x14ac:dyDescent="0.2">
      <c r="C43" s="88"/>
      <c r="H43" s="360" t="s">
        <v>456</v>
      </c>
      <c r="I43" s="360"/>
      <c r="J43" s="360"/>
      <c r="K43" s="360"/>
      <c r="L43" s="360"/>
      <c r="M43" s="360"/>
      <c r="N43" s="360"/>
      <c r="S43" s="63"/>
    </row>
    <row r="44" spans="3:19" s="41" customFormat="1" ht="27" customHeight="1" x14ac:dyDescent="0.2">
      <c r="C44" s="88"/>
      <c r="H44" s="360" t="s">
        <v>457</v>
      </c>
      <c r="I44" s="360"/>
      <c r="J44" s="360"/>
      <c r="K44" s="360"/>
      <c r="L44" s="360"/>
      <c r="M44" s="360"/>
      <c r="N44" s="360"/>
      <c r="S44" s="63"/>
    </row>
    <row r="45" spans="3:19" s="41" customFormat="1" ht="27" customHeight="1" x14ac:dyDescent="0.2">
      <c r="C45" s="88"/>
      <c r="H45" s="360" t="s">
        <v>458</v>
      </c>
      <c r="I45" s="360"/>
      <c r="J45" s="360"/>
      <c r="K45" s="360"/>
      <c r="L45" s="360"/>
      <c r="M45" s="360"/>
      <c r="N45" s="360"/>
      <c r="S45" s="63"/>
    </row>
    <row r="46" spans="3:19" s="41" customFormat="1" ht="27" customHeight="1" x14ac:dyDescent="0.2">
      <c r="C46" s="88"/>
      <c r="H46" s="360" t="s">
        <v>459</v>
      </c>
      <c r="I46" s="360"/>
      <c r="J46" s="360"/>
      <c r="K46" s="360"/>
      <c r="L46" s="360"/>
      <c r="M46" s="360"/>
      <c r="N46" s="360"/>
      <c r="S46" s="63"/>
    </row>
    <row r="47" spans="3:19" s="41" customFormat="1" ht="27" customHeight="1" x14ac:dyDescent="0.2">
      <c r="C47" s="88"/>
      <c r="E47" s="430" t="s">
        <v>125</v>
      </c>
      <c r="F47" s="430"/>
      <c r="G47" s="430"/>
      <c r="H47" s="360" t="s">
        <v>460</v>
      </c>
      <c r="I47" s="360"/>
      <c r="J47" s="360"/>
      <c r="K47" s="360"/>
      <c r="L47" s="360"/>
      <c r="M47" s="360"/>
      <c r="N47" s="360"/>
      <c r="S47" s="63"/>
    </row>
    <row r="48" spans="3:19" s="41" customFormat="1" ht="27" customHeight="1" x14ac:dyDescent="0.2">
      <c r="C48" s="88"/>
      <c r="H48" s="360" t="s">
        <v>461</v>
      </c>
      <c r="I48" s="360"/>
      <c r="J48" s="360"/>
      <c r="K48" s="360"/>
      <c r="L48" s="360"/>
      <c r="M48" s="360"/>
      <c r="N48" s="360"/>
      <c r="S48" s="63"/>
    </row>
    <row r="49" spans="2:19" s="41" customFormat="1" ht="27" customHeight="1" x14ac:dyDescent="0.2">
      <c r="C49" s="88"/>
      <c r="H49" s="360" t="str">
        <f>IF('Program Info'!D5="No","                                            31i Contact Hours Required","                                            31i Credits Required")</f>
        <v xml:space="preserve">                                            31i Credits Required</v>
      </c>
      <c r="I49" s="360"/>
      <c r="J49" s="360"/>
      <c r="K49" s="360"/>
      <c r="L49" s="360"/>
      <c r="M49" s="360"/>
      <c r="N49" s="360"/>
      <c r="S49" s="63"/>
    </row>
    <row r="50" spans="2:19" s="41" customFormat="1" ht="27" customHeight="1" x14ac:dyDescent="0.2">
      <c r="C50" s="88"/>
      <c r="H50" s="360" t="s">
        <v>462</v>
      </c>
      <c r="I50" s="360"/>
      <c r="J50" s="360"/>
      <c r="K50" s="360"/>
      <c r="L50" s="360"/>
      <c r="M50" s="360"/>
      <c r="N50" s="360"/>
      <c r="S50" s="63"/>
    </row>
    <row r="51" spans="2:19" s="41" customFormat="1" ht="27" customHeight="1" x14ac:dyDescent="0.2">
      <c r="C51" s="88"/>
      <c r="E51" s="343"/>
      <c r="F51" s="343"/>
      <c r="G51" s="343"/>
      <c r="H51" s="360" t="s">
        <v>463</v>
      </c>
      <c r="I51" s="360"/>
      <c r="J51" s="360"/>
      <c r="K51" s="360"/>
      <c r="L51" s="360"/>
      <c r="M51" s="360"/>
      <c r="N51" s="360"/>
      <c r="S51" s="63"/>
    </row>
    <row r="52" spans="2:19" s="41" customFormat="1" ht="27" customHeight="1" x14ac:dyDescent="0.2">
      <c r="C52" s="88"/>
      <c r="H52" s="360" t="s">
        <v>464</v>
      </c>
      <c r="I52" s="360"/>
      <c r="J52" s="360"/>
      <c r="K52" s="360"/>
      <c r="L52" s="360"/>
      <c r="M52" s="360"/>
      <c r="N52" s="360"/>
      <c r="S52" s="63"/>
    </row>
    <row r="53" spans="2:19" s="41" customFormat="1" ht="27" customHeight="1" x14ac:dyDescent="0.2">
      <c r="C53" s="88"/>
      <c r="H53" s="360" t="s">
        <v>465</v>
      </c>
      <c r="I53" s="360"/>
      <c r="J53" s="360"/>
      <c r="K53" s="360"/>
      <c r="L53" s="360"/>
      <c r="M53" s="360"/>
      <c r="N53" s="360"/>
      <c r="S53" s="63"/>
    </row>
    <row r="54" spans="2:19" s="41" customFormat="1" ht="27.75" customHeight="1" x14ac:dyDescent="0.2">
      <c r="C54" s="88"/>
      <c r="H54" s="361" t="s">
        <v>116</v>
      </c>
      <c r="I54" s="361"/>
      <c r="J54" s="361"/>
      <c r="K54" s="361"/>
      <c r="L54" s="361"/>
      <c r="M54" s="361"/>
      <c r="N54" s="361"/>
      <c r="S54" s="63"/>
    </row>
    <row r="55" spans="2:19" s="41" customFormat="1" ht="14.45" customHeight="1" x14ac:dyDescent="0.2">
      <c r="C55" s="19"/>
      <c r="D55" s="43"/>
      <c r="E55" s="43"/>
      <c r="F55" s="43"/>
      <c r="G55" s="43"/>
      <c r="J55" s="87"/>
    </row>
    <row r="56" spans="2:19" s="41" customFormat="1" ht="14.25" x14ac:dyDescent="0.2">
      <c r="C56" s="1"/>
      <c r="J56" s="87"/>
    </row>
    <row r="57" spans="2:19" s="41" customFormat="1" ht="21" customHeight="1" x14ac:dyDescent="0.2">
      <c r="B57" s="68"/>
      <c r="C57" s="37"/>
      <c r="D57" s="43"/>
      <c r="E57" s="43"/>
      <c r="F57" s="43"/>
      <c r="G57" s="43"/>
    </row>
    <row r="58" spans="2:19" s="41" customFormat="1" ht="63" customHeight="1" x14ac:dyDescent="0.2">
      <c r="B58" s="94" t="s">
        <v>147</v>
      </c>
      <c r="C58" s="113" t="s">
        <v>10</v>
      </c>
      <c r="D58" s="340" t="s">
        <v>148</v>
      </c>
      <c r="E58" s="340"/>
      <c r="F58" s="340"/>
      <c r="G58" s="340"/>
      <c r="H58" s="340"/>
      <c r="I58" s="340"/>
      <c r="J58" s="340"/>
      <c r="K58" s="340"/>
      <c r="L58" s="340"/>
      <c r="M58" s="8"/>
      <c r="N58" s="8"/>
      <c r="O58" s="458" t="s">
        <v>82</v>
      </c>
      <c r="P58" s="458"/>
      <c r="Q58" s="458"/>
      <c r="R58" s="8"/>
    </row>
    <row r="59" spans="2:19" s="41" customFormat="1" ht="7.5" customHeight="1" x14ac:dyDescent="0.2"/>
    <row r="60" spans="2:19" s="41" customFormat="1" ht="43.5" customHeight="1" x14ac:dyDescent="0.2">
      <c r="D60" s="586" t="s">
        <v>57</v>
      </c>
      <c r="E60" s="586"/>
      <c r="F60" s="586"/>
      <c r="G60" s="586"/>
      <c r="H60" s="587" t="s">
        <v>144</v>
      </c>
      <c r="I60" s="586"/>
      <c r="J60" s="586"/>
      <c r="K60" s="223" t="s">
        <v>58</v>
      </c>
    </row>
    <row r="61" spans="2:19" s="41" customFormat="1" ht="22.5" customHeight="1" x14ac:dyDescent="0.2">
      <c r="B61" s="224"/>
      <c r="D61" s="579" t="s">
        <v>291</v>
      </c>
      <c r="E61" s="579"/>
      <c r="F61" s="579"/>
      <c r="G61" s="579"/>
      <c r="H61" s="452"/>
      <c r="I61" s="452"/>
      <c r="J61" s="452"/>
      <c r="K61" s="225"/>
    </row>
    <row r="62" spans="2:19" s="41" customFormat="1" ht="24" customHeight="1" x14ac:dyDescent="0.2">
      <c r="D62" s="584" t="s">
        <v>149</v>
      </c>
      <c r="E62" s="584"/>
      <c r="F62" s="584"/>
      <c r="G62" s="584"/>
      <c r="H62" s="452"/>
      <c r="I62" s="452"/>
      <c r="J62" s="452"/>
      <c r="K62" s="225"/>
    </row>
    <row r="63" spans="2:19" s="41" customFormat="1" ht="34.5" customHeight="1" x14ac:dyDescent="0.2">
      <c r="D63" s="580" t="s">
        <v>444</v>
      </c>
      <c r="E63" s="580"/>
      <c r="F63" s="580"/>
      <c r="G63" s="580"/>
      <c r="H63" s="452"/>
      <c r="I63" s="452"/>
      <c r="J63" s="452"/>
      <c r="K63" s="225"/>
    </row>
    <row r="64" spans="2:19" s="41" customFormat="1" ht="33" customHeight="1" x14ac:dyDescent="0.2">
      <c r="D64" s="580" t="s">
        <v>528</v>
      </c>
      <c r="E64" s="580"/>
      <c r="F64" s="580"/>
      <c r="G64" s="580"/>
      <c r="H64" s="452"/>
      <c r="I64" s="452"/>
      <c r="J64" s="452"/>
      <c r="K64" s="225"/>
    </row>
    <row r="65" spans="2:19" s="41" customFormat="1" ht="14.45" customHeight="1" x14ac:dyDescent="0.2">
      <c r="C65" s="19"/>
      <c r="D65" s="43"/>
      <c r="E65" s="43"/>
      <c r="F65" s="43"/>
      <c r="G65" s="43"/>
      <c r="J65" s="87"/>
    </row>
    <row r="66" spans="2:19" s="41" customFormat="1" ht="65.25" customHeight="1" x14ac:dyDescent="0.2">
      <c r="C66" s="88"/>
      <c r="D66" s="358" t="s">
        <v>488</v>
      </c>
      <c r="E66" s="358"/>
      <c r="F66" s="358"/>
      <c r="G66" s="358"/>
      <c r="H66" s="358"/>
      <c r="I66" s="358"/>
      <c r="J66" s="358"/>
      <c r="K66" s="358"/>
      <c r="L66" s="358"/>
      <c r="M66" s="358"/>
      <c r="N66" s="358"/>
      <c r="O66" s="358"/>
      <c r="S66" s="63"/>
    </row>
    <row r="67" spans="2:19" s="41" customFormat="1" ht="27" customHeight="1" x14ac:dyDescent="0.2">
      <c r="C67" s="88"/>
      <c r="H67" s="360" t="s">
        <v>124</v>
      </c>
      <c r="I67" s="360"/>
      <c r="J67" s="360"/>
      <c r="K67" s="360"/>
      <c r="L67" s="360"/>
      <c r="M67" s="360"/>
      <c r="N67" s="360"/>
      <c r="S67" s="63"/>
    </row>
    <row r="68" spans="2:19" s="41" customFormat="1" ht="30.75" customHeight="1" x14ac:dyDescent="0.2">
      <c r="C68" s="88"/>
      <c r="H68" s="360" t="s">
        <v>492</v>
      </c>
      <c r="I68" s="360"/>
      <c r="J68" s="360"/>
      <c r="K68" s="360"/>
      <c r="L68" s="360"/>
      <c r="M68" s="360"/>
      <c r="N68" s="360"/>
      <c r="S68" s="63"/>
    </row>
    <row r="69" spans="2:19" s="41" customFormat="1" ht="29.25" customHeight="1" x14ac:dyDescent="0.2">
      <c r="C69" s="88"/>
      <c r="E69" s="226"/>
      <c r="F69" s="226"/>
      <c r="G69" s="226"/>
      <c r="H69" s="360" t="s">
        <v>493</v>
      </c>
      <c r="I69" s="360"/>
      <c r="J69" s="360"/>
      <c r="K69" s="360"/>
      <c r="L69" s="360"/>
      <c r="M69" s="360"/>
      <c r="N69" s="360"/>
      <c r="S69" s="63"/>
    </row>
    <row r="70" spans="2:19" s="41" customFormat="1" ht="27" customHeight="1" x14ac:dyDescent="0.2">
      <c r="C70" s="88"/>
      <c r="E70" s="118"/>
      <c r="F70" s="118"/>
      <c r="G70" s="118"/>
      <c r="H70" s="360" t="s">
        <v>494</v>
      </c>
      <c r="I70" s="360"/>
      <c r="J70" s="360"/>
      <c r="K70" s="360"/>
      <c r="L70" s="360"/>
      <c r="M70" s="360"/>
      <c r="N70" s="360"/>
      <c r="S70" s="63"/>
    </row>
    <row r="71" spans="2:19" s="41" customFormat="1" ht="27" customHeight="1" x14ac:dyDescent="0.2">
      <c r="C71" s="88"/>
      <c r="E71" s="343"/>
      <c r="F71" s="343"/>
      <c r="G71" s="343"/>
      <c r="H71" s="360" t="s">
        <v>495</v>
      </c>
      <c r="I71" s="360"/>
      <c r="J71" s="360"/>
      <c r="K71" s="360"/>
      <c r="L71" s="360"/>
      <c r="M71" s="360"/>
      <c r="N71" s="360"/>
      <c r="S71" s="63"/>
    </row>
    <row r="72" spans="2:19" s="41" customFormat="1" ht="27.75" customHeight="1" x14ac:dyDescent="0.2">
      <c r="C72" s="88"/>
      <c r="H72" s="361" t="s">
        <v>116</v>
      </c>
      <c r="I72" s="361"/>
      <c r="J72" s="361"/>
      <c r="K72" s="361"/>
      <c r="L72" s="361"/>
      <c r="M72" s="361"/>
      <c r="N72" s="361"/>
      <c r="S72" s="63"/>
    </row>
    <row r="73" spans="2:19" s="41" customFormat="1" ht="14.45" customHeight="1" x14ac:dyDescent="0.2">
      <c r="C73" s="19"/>
      <c r="D73" s="43"/>
      <c r="E73" s="43"/>
      <c r="F73" s="43"/>
      <c r="G73" s="43"/>
      <c r="J73" s="87"/>
    </row>
    <row r="74" spans="2:19" s="41" customFormat="1" ht="14.25" x14ac:dyDescent="0.2">
      <c r="C74" s="1"/>
      <c r="J74" s="87"/>
    </row>
    <row r="75" spans="2:19" s="41" customFormat="1" ht="21" customHeight="1" x14ac:dyDescent="0.2">
      <c r="B75" s="68"/>
      <c r="C75" s="37"/>
      <c r="D75" s="43"/>
      <c r="E75" s="43"/>
      <c r="F75" s="43"/>
      <c r="G75" s="43"/>
    </row>
    <row r="76" spans="2:19" s="41" customFormat="1" ht="63" customHeight="1" x14ac:dyDescent="0.2">
      <c r="B76" s="94" t="s">
        <v>151</v>
      </c>
      <c r="C76" s="113" t="s">
        <v>11</v>
      </c>
      <c r="D76" s="340" t="s">
        <v>451</v>
      </c>
      <c r="E76" s="340"/>
      <c r="F76" s="340"/>
      <c r="G76" s="340"/>
      <c r="H76" s="340"/>
      <c r="I76" s="340"/>
      <c r="J76" s="340"/>
      <c r="K76" s="340"/>
      <c r="L76" s="340"/>
      <c r="M76" s="8"/>
      <c r="N76" s="8"/>
      <c r="O76" s="458" t="s">
        <v>82</v>
      </c>
      <c r="P76" s="458"/>
      <c r="Q76" s="458"/>
      <c r="R76" s="8"/>
    </row>
    <row r="77" spans="2:19" s="41" customFormat="1" ht="14.45" customHeight="1" x14ac:dyDescent="0.2">
      <c r="C77" s="19"/>
      <c r="D77" s="43"/>
      <c r="E77" s="43"/>
      <c r="F77" s="43"/>
      <c r="G77" s="43"/>
      <c r="J77" s="87"/>
    </row>
    <row r="78" spans="2:19" s="41" customFormat="1" ht="17.25" customHeight="1" x14ac:dyDescent="0.2">
      <c r="C78" s="1"/>
      <c r="D78" s="377" t="str">
        <f>IF(Instructions!A14&lt;&gt;"(LSSR)","Place the direct Website URL (Link) to the " &amp;'Program Info'!B3&amp;" program's homepage listing the published outcomes in the box below.","Place the direct Website URL (Link) to the " &amp;'Program Info'!B3&amp;" program's homepage where the outcomes will be published in the box below.")</f>
        <v>Place the direct Website URL (Link) to the  program's homepage where the outcomes will be published in the box below.</v>
      </c>
      <c r="E78" s="377"/>
      <c r="F78" s="377"/>
      <c r="G78" s="377"/>
      <c r="H78" s="377"/>
      <c r="I78" s="377"/>
      <c r="J78" s="377"/>
      <c r="K78" s="377"/>
      <c r="L78" s="377"/>
      <c r="M78" s="377"/>
      <c r="N78" s="377"/>
      <c r="O78" s="377"/>
    </row>
    <row r="79" spans="2:19" s="41" customFormat="1" ht="14.25" x14ac:dyDescent="0.2">
      <c r="C79" s="1"/>
      <c r="D79" s="589"/>
      <c r="E79" s="452"/>
      <c r="F79" s="452"/>
      <c r="G79" s="452"/>
      <c r="H79" s="452"/>
      <c r="I79" s="452"/>
      <c r="J79" s="452"/>
      <c r="K79" s="452"/>
      <c r="L79" s="452"/>
    </row>
    <row r="80" spans="2:19" s="41" customFormat="1" ht="14.25" x14ac:dyDescent="0.2">
      <c r="C80" s="1"/>
      <c r="D80" s="452"/>
      <c r="E80" s="452"/>
      <c r="F80" s="452"/>
      <c r="G80" s="452"/>
      <c r="H80" s="452"/>
      <c r="I80" s="452"/>
      <c r="J80" s="452"/>
      <c r="K80" s="452"/>
      <c r="L80" s="452"/>
    </row>
    <row r="81" spans="2:19" s="41" customFormat="1" ht="14.25" x14ac:dyDescent="0.2">
      <c r="C81" s="1"/>
      <c r="J81" s="87"/>
    </row>
    <row r="82" spans="2:19" s="41" customFormat="1" ht="65.25" customHeight="1" x14ac:dyDescent="0.2">
      <c r="C82" s="88"/>
      <c r="D82" s="358" t="str">
        <f>IF(Instructions!A14&lt;&gt;"(LSSR)","Place a screenshot of the published outcomes data from the most recent CoAEMSP Annual Report in the Documentation folder.  "&amp;"This document must be titled with the 'EXACT document name' and must be included as the type of file format listed below (not Word 97-2003 [.doc], Word 2013 [.docx], or Excel (.xlsx).","Place a screenshot of where the published outcomes data will be posed in the Documentation folder.  "&amp;"This document must be titled with the 'EXACT document name' and must be included as the type of file format listed below (not Word 97-2003 [.doc], Word 2013 [.docx], or Excel (.xlsx).")</f>
        <v>Place a screenshot of where the published outcomes data will be posed in the Documentation folder.  This document must be titled with the 'EXACT document name' and must be included as the type of file format listed below (not Word 97-2003 [.doc], Word 2013 [.docx], or Excel (.xlsx).</v>
      </c>
      <c r="E82" s="358"/>
      <c r="F82" s="358"/>
      <c r="G82" s="358"/>
      <c r="H82" s="358"/>
      <c r="I82" s="358"/>
      <c r="J82" s="358"/>
      <c r="K82" s="358"/>
      <c r="L82" s="358"/>
      <c r="M82" s="358"/>
      <c r="N82" s="358"/>
      <c r="O82" s="358"/>
      <c r="S82" s="63"/>
    </row>
    <row r="83" spans="2:19" s="41" customFormat="1" ht="27" customHeight="1" x14ac:dyDescent="0.2">
      <c r="C83" s="88"/>
      <c r="H83" s="360" t="s">
        <v>117</v>
      </c>
      <c r="I83" s="360"/>
      <c r="J83" s="360"/>
      <c r="K83" s="360"/>
      <c r="L83" s="360"/>
      <c r="M83" s="360"/>
      <c r="N83" s="360"/>
      <c r="S83" s="63"/>
    </row>
    <row r="84" spans="2:19" s="41" customFormat="1" ht="29.25" customHeight="1" x14ac:dyDescent="0.2">
      <c r="C84" s="88"/>
      <c r="E84" s="430" t="s">
        <v>111</v>
      </c>
      <c r="F84" s="430"/>
      <c r="G84" s="430"/>
      <c r="H84" s="360" t="s">
        <v>496</v>
      </c>
      <c r="I84" s="360"/>
      <c r="J84" s="360"/>
      <c r="K84" s="360"/>
      <c r="L84" s="360"/>
      <c r="M84" s="360"/>
      <c r="N84" s="360"/>
      <c r="S84" s="63"/>
    </row>
    <row r="85" spans="2:19" s="41" customFormat="1" ht="27.75" customHeight="1" x14ac:dyDescent="0.2">
      <c r="C85" s="88"/>
      <c r="H85" s="361" t="s">
        <v>116</v>
      </c>
      <c r="I85" s="361"/>
      <c r="J85" s="361"/>
      <c r="K85" s="361"/>
      <c r="L85" s="361"/>
      <c r="M85" s="361"/>
      <c r="N85" s="361"/>
      <c r="S85" s="63"/>
    </row>
    <row r="86" spans="2:19" s="41" customFormat="1" ht="14.25" x14ac:dyDescent="0.2">
      <c r="C86" s="1"/>
      <c r="J86" s="87"/>
    </row>
    <row r="87" spans="2:19" s="41" customFormat="1" ht="14.25" x14ac:dyDescent="0.2">
      <c r="C87" s="1"/>
      <c r="J87" s="87"/>
    </row>
    <row r="88" spans="2:19" s="41" customFormat="1" ht="21" customHeight="1" x14ac:dyDescent="0.2">
      <c r="B88" s="68"/>
      <c r="C88" s="37"/>
      <c r="D88" s="43"/>
      <c r="E88" s="43"/>
      <c r="F88" s="43"/>
      <c r="G88" s="43"/>
    </row>
    <row r="89" spans="2:19" s="41" customFormat="1" ht="63" customHeight="1" x14ac:dyDescent="0.2">
      <c r="B89" s="94" t="s">
        <v>296</v>
      </c>
      <c r="C89" s="113" t="s">
        <v>12</v>
      </c>
      <c r="D89" s="340" t="s">
        <v>152</v>
      </c>
      <c r="E89" s="340"/>
      <c r="F89" s="340"/>
      <c r="G89" s="340"/>
      <c r="H89" s="340"/>
      <c r="I89" s="340"/>
      <c r="J89" s="340"/>
      <c r="K89" s="340"/>
      <c r="L89" s="340"/>
      <c r="M89" s="8"/>
      <c r="N89" s="8"/>
      <c r="O89" s="458" t="s">
        <v>82</v>
      </c>
      <c r="P89" s="458"/>
      <c r="Q89" s="458"/>
      <c r="R89" s="8"/>
    </row>
    <row r="90" spans="2:19" s="41" customFormat="1" ht="7.5" customHeight="1" x14ac:dyDescent="0.2"/>
    <row r="91" spans="2:19" s="41" customFormat="1" ht="43.5" customHeight="1" x14ac:dyDescent="0.2">
      <c r="D91" s="586" t="s">
        <v>57</v>
      </c>
      <c r="E91" s="586"/>
      <c r="F91" s="586"/>
      <c r="G91" s="586"/>
      <c r="H91" s="587" t="s">
        <v>144</v>
      </c>
      <c r="I91" s="586"/>
      <c r="J91" s="586"/>
      <c r="K91" s="223" t="s">
        <v>58</v>
      </c>
    </row>
    <row r="92" spans="2:19" s="41" customFormat="1" ht="22.5" customHeight="1" x14ac:dyDescent="0.2">
      <c r="D92" s="579" t="s">
        <v>154</v>
      </c>
      <c r="E92" s="579"/>
      <c r="F92" s="579"/>
      <c r="G92" s="579"/>
      <c r="H92" s="452"/>
      <c r="I92" s="452"/>
      <c r="J92" s="452"/>
      <c r="K92" s="225"/>
    </row>
    <row r="93" spans="2:19" s="41" customFormat="1" ht="22.5" customHeight="1" x14ac:dyDescent="0.2">
      <c r="D93" s="579" t="s">
        <v>153</v>
      </c>
      <c r="E93" s="579"/>
      <c r="F93" s="579"/>
      <c r="G93" s="579"/>
      <c r="H93" s="452"/>
      <c r="I93" s="452"/>
      <c r="J93" s="452"/>
      <c r="K93" s="225"/>
    </row>
    <row r="94" spans="2:19" s="41" customFormat="1" ht="14.45" customHeight="1" x14ac:dyDescent="0.2">
      <c r="C94" s="19"/>
      <c r="D94" s="43"/>
      <c r="E94" s="43"/>
      <c r="F94" s="43"/>
      <c r="G94" s="43"/>
      <c r="J94" s="87"/>
    </row>
    <row r="95" spans="2:19" s="41" customFormat="1" ht="65.25" customHeight="1" x14ac:dyDescent="0.2">
      <c r="C95" s="88"/>
      <c r="D95" s="358" t="s">
        <v>313</v>
      </c>
      <c r="E95" s="358"/>
      <c r="F95" s="358"/>
      <c r="G95" s="358"/>
      <c r="H95" s="358"/>
      <c r="I95" s="358"/>
      <c r="J95" s="358"/>
      <c r="K95" s="358"/>
      <c r="L95" s="358"/>
      <c r="M95" s="358"/>
      <c r="N95" s="358"/>
      <c r="O95" s="358"/>
      <c r="S95" s="63"/>
    </row>
    <row r="96" spans="2:19" s="41" customFormat="1" ht="27" customHeight="1" x14ac:dyDescent="0.2">
      <c r="C96" s="88"/>
      <c r="H96" s="360" t="s">
        <v>124</v>
      </c>
      <c r="I96" s="360"/>
      <c r="J96" s="360"/>
      <c r="K96" s="360"/>
      <c r="L96" s="360"/>
      <c r="M96" s="360"/>
      <c r="N96" s="360"/>
      <c r="S96" s="63"/>
    </row>
    <row r="97" spans="2:19" s="41" customFormat="1" ht="30.75" customHeight="1" x14ac:dyDescent="0.2">
      <c r="C97" s="88"/>
      <c r="H97" s="360" t="s">
        <v>497</v>
      </c>
      <c r="I97" s="360"/>
      <c r="J97" s="360"/>
      <c r="K97" s="360"/>
      <c r="L97" s="360"/>
      <c r="M97" s="360"/>
      <c r="N97" s="360"/>
      <c r="S97" s="63"/>
    </row>
    <row r="98" spans="2:19" s="41" customFormat="1" ht="29.25" customHeight="1" x14ac:dyDescent="0.2">
      <c r="C98" s="88"/>
      <c r="E98" s="430" t="s">
        <v>125</v>
      </c>
      <c r="F98" s="430"/>
      <c r="G98" s="430"/>
      <c r="H98" s="360" t="s">
        <v>498</v>
      </c>
      <c r="I98" s="360"/>
      <c r="J98" s="360"/>
      <c r="K98" s="360"/>
      <c r="L98" s="360"/>
      <c r="M98" s="360"/>
      <c r="N98" s="360"/>
      <c r="S98" s="63"/>
    </row>
    <row r="99" spans="2:19" s="41" customFormat="1" ht="27.75" customHeight="1" x14ac:dyDescent="0.2">
      <c r="C99" s="88"/>
      <c r="H99" s="361" t="s">
        <v>116</v>
      </c>
      <c r="I99" s="361"/>
      <c r="J99" s="361"/>
      <c r="K99" s="361"/>
      <c r="L99" s="361"/>
      <c r="M99" s="361"/>
      <c r="N99" s="361"/>
      <c r="S99" s="63"/>
    </row>
    <row r="100" spans="2:19" s="41" customFormat="1" ht="14.45" customHeight="1" x14ac:dyDescent="0.2">
      <c r="C100" s="19"/>
      <c r="D100" s="43"/>
      <c r="E100" s="43"/>
      <c r="F100" s="43"/>
      <c r="G100" s="43"/>
      <c r="J100" s="87"/>
    </row>
    <row r="101" spans="2:19" s="41" customFormat="1" ht="14.25" x14ac:dyDescent="0.2">
      <c r="C101" s="1"/>
      <c r="J101" s="87"/>
    </row>
    <row r="102" spans="2:19" s="41" customFormat="1" ht="21" customHeight="1" x14ac:dyDescent="0.2">
      <c r="B102" s="68"/>
      <c r="C102" s="37"/>
      <c r="D102" s="43"/>
      <c r="E102" s="43"/>
      <c r="F102" s="43"/>
      <c r="G102" s="43"/>
    </row>
    <row r="103" spans="2:19" s="41" customFormat="1" ht="63" customHeight="1" x14ac:dyDescent="0.2">
      <c r="B103" s="94" t="s">
        <v>150</v>
      </c>
      <c r="C103" s="113" t="s">
        <v>13</v>
      </c>
      <c r="D103" s="340" t="s">
        <v>155</v>
      </c>
      <c r="E103" s="340"/>
      <c r="F103" s="340"/>
      <c r="G103" s="340"/>
      <c r="H103" s="340"/>
      <c r="I103" s="340"/>
      <c r="J103" s="340"/>
      <c r="K103" s="340"/>
      <c r="L103" s="340"/>
      <c r="M103" s="8"/>
      <c r="N103" s="8"/>
      <c r="O103" s="458" t="s">
        <v>82</v>
      </c>
      <c r="P103" s="458"/>
      <c r="Q103" s="458"/>
      <c r="R103" s="8"/>
    </row>
    <row r="104" spans="2:19" s="41" customFormat="1" ht="7.5" customHeight="1" x14ac:dyDescent="0.2"/>
    <row r="105" spans="2:19" s="41" customFormat="1" ht="43.5" customHeight="1" x14ac:dyDescent="0.2">
      <c r="D105" s="586" t="s">
        <v>57</v>
      </c>
      <c r="E105" s="586"/>
      <c r="F105" s="586"/>
      <c r="G105" s="586"/>
      <c r="H105" s="587" t="s">
        <v>144</v>
      </c>
      <c r="I105" s="586"/>
      <c r="J105" s="586"/>
      <c r="K105" s="223" t="s">
        <v>58</v>
      </c>
    </row>
    <row r="106" spans="2:19" s="41" customFormat="1" ht="53.25" customHeight="1" x14ac:dyDescent="0.2">
      <c r="B106" s="224"/>
      <c r="D106" s="580" t="s">
        <v>156</v>
      </c>
      <c r="E106" s="580"/>
      <c r="F106" s="580"/>
      <c r="G106" s="580"/>
      <c r="H106" s="452"/>
      <c r="I106" s="452"/>
      <c r="J106" s="452"/>
      <c r="K106" s="225"/>
    </row>
    <row r="107" spans="2:19" s="41" customFormat="1" ht="28.5" customHeight="1" x14ac:dyDescent="0.2"/>
    <row r="108" spans="2:19" s="41" customFormat="1" ht="14.45" customHeight="1" x14ac:dyDescent="0.2">
      <c r="C108" s="19"/>
      <c r="D108" s="43"/>
      <c r="E108" s="43"/>
      <c r="F108" s="43"/>
      <c r="G108" s="43"/>
      <c r="J108" s="87"/>
    </row>
    <row r="109" spans="2:19" s="41" customFormat="1" ht="65.25" customHeight="1" x14ac:dyDescent="0.2">
      <c r="C109" s="88"/>
      <c r="D109" s="358" t="s">
        <v>489</v>
      </c>
      <c r="E109" s="358"/>
      <c r="F109" s="358"/>
      <c r="G109" s="358"/>
      <c r="H109" s="358"/>
      <c r="I109" s="358"/>
      <c r="J109" s="358"/>
      <c r="K109" s="358"/>
      <c r="L109" s="358"/>
      <c r="M109" s="358"/>
      <c r="N109" s="358"/>
      <c r="O109" s="358"/>
      <c r="S109" s="63"/>
    </row>
    <row r="110" spans="2:19" s="41" customFormat="1" ht="27" customHeight="1" x14ac:dyDescent="0.2">
      <c r="C110" s="88"/>
      <c r="H110" s="360" t="s">
        <v>124</v>
      </c>
      <c r="I110" s="360"/>
      <c r="J110" s="360"/>
      <c r="K110" s="360"/>
      <c r="L110" s="360"/>
      <c r="M110" s="360"/>
      <c r="N110" s="360"/>
      <c r="S110" s="63"/>
    </row>
    <row r="111" spans="2:19" s="41" customFormat="1" ht="30.75" customHeight="1" x14ac:dyDescent="0.2">
      <c r="C111" s="88"/>
      <c r="H111" s="360" t="s">
        <v>499</v>
      </c>
      <c r="I111" s="360"/>
      <c r="J111" s="360"/>
      <c r="K111" s="360"/>
      <c r="L111" s="360"/>
      <c r="M111" s="360"/>
      <c r="N111" s="360"/>
      <c r="S111" s="63"/>
    </row>
    <row r="112" spans="2:19" s="41" customFormat="1" ht="27.75" customHeight="1" x14ac:dyDescent="0.2">
      <c r="C112" s="88"/>
      <c r="H112" s="361" t="s">
        <v>116</v>
      </c>
      <c r="I112" s="361"/>
      <c r="J112" s="361"/>
      <c r="K112" s="361"/>
      <c r="L112" s="361"/>
      <c r="M112" s="361"/>
      <c r="N112" s="361"/>
      <c r="S112" s="63"/>
    </row>
    <row r="113" spans="2:19" s="41" customFormat="1" ht="14.45" customHeight="1" x14ac:dyDescent="0.2">
      <c r="C113" s="19"/>
      <c r="D113" s="43"/>
      <c r="E113" s="43"/>
      <c r="F113" s="43"/>
      <c r="G113" s="43"/>
      <c r="J113" s="87"/>
    </row>
    <row r="114" spans="2:19" s="41" customFormat="1" ht="14.25" x14ac:dyDescent="0.2">
      <c r="C114" s="1"/>
      <c r="J114" s="87"/>
    </row>
    <row r="115" spans="2:19" s="41" customFormat="1" ht="21" customHeight="1" x14ac:dyDescent="0.2">
      <c r="B115" s="68"/>
      <c r="C115" s="37"/>
      <c r="D115" s="43"/>
      <c r="E115" s="43"/>
      <c r="F115" s="43"/>
      <c r="G115" s="43"/>
    </row>
    <row r="116" spans="2:19" s="41" customFormat="1" ht="80.25" customHeight="1" x14ac:dyDescent="0.2">
      <c r="B116" s="94" t="s">
        <v>157</v>
      </c>
      <c r="C116" s="113" t="s">
        <v>14</v>
      </c>
      <c r="D116" s="340" t="s">
        <v>158</v>
      </c>
      <c r="E116" s="340"/>
      <c r="F116" s="340"/>
      <c r="G116" s="340"/>
      <c r="H116" s="340"/>
      <c r="I116" s="340"/>
      <c r="J116" s="340"/>
      <c r="K116" s="340"/>
      <c r="L116" s="340"/>
      <c r="M116" s="8"/>
      <c r="N116" s="8"/>
      <c r="O116" s="458" t="s">
        <v>82</v>
      </c>
      <c r="P116" s="458"/>
      <c r="Q116" s="458"/>
      <c r="R116" s="8"/>
    </row>
    <row r="117" spans="2:19" s="41" customFormat="1" ht="14.45" customHeight="1" x14ac:dyDescent="0.2">
      <c r="C117" s="19"/>
      <c r="D117" s="43"/>
      <c r="E117" s="43"/>
      <c r="F117" s="43"/>
      <c r="G117" s="43"/>
      <c r="J117" s="87"/>
    </row>
    <row r="118" spans="2:19" s="41" customFormat="1" ht="275.64999999999998" customHeight="1" x14ac:dyDescent="0.2">
      <c r="D118" s="572" t="s">
        <v>545</v>
      </c>
      <c r="E118" s="572"/>
      <c r="F118" s="572"/>
      <c r="G118" s="572"/>
      <c r="H118" s="572"/>
      <c r="I118" s="572"/>
      <c r="J118" s="572"/>
      <c r="K118" s="572"/>
    </row>
    <row r="119" spans="2:19" s="41" customFormat="1" ht="28.5" customHeight="1" x14ac:dyDescent="0.2">
      <c r="D119" s="591" t="s">
        <v>159</v>
      </c>
      <c r="E119" s="592"/>
      <c r="F119" s="592"/>
      <c r="G119" s="592"/>
      <c r="H119" s="592"/>
      <c r="I119" s="592"/>
      <c r="J119" s="592"/>
      <c r="K119" s="593"/>
    </row>
    <row r="120" spans="2:19" s="41" customFormat="1" ht="52.5" customHeight="1" x14ac:dyDescent="0.2">
      <c r="D120" s="594" t="s">
        <v>294</v>
      </c>
      <c r="E120" s="595"/>
      <c r="F120" s="595"/>
      <c r="G120" s="595"/>
      <c r="H120" s="595"/>
      <c r="I120" s="595"/>
      <c r="J120" s="595"/>
      <c r="K120" s="596"/>
    </row>
    <row r="121" spans="2:19" s="41" customFormat="1" ht="14.25" x14ac:dyDescent="0.2">
      <c r="C121" s="1"/>
      <c r="J121" s="87"/>
    </row>
    <row r="122" spans="2:19" s="41" customFormat="1" ht="14.25" x14ac:dyDescent="0.2">
      <c r="C122" s="1"/>
      <c r="J122" s="87"/>
    </row>
    <row r="123" spans="2:19" s="41" customFormat="1" ht="57" customHeight="1" x14ac:dyDescent="0.2">
      <c r="C123" s="88"/>
      <c r="D123" s="358" t="s">
        <v>490</v>
      </c>
      <c r="E123" s="358"/>
      <c r="F123" s="358"/>
      <c r="G123" s="358"/>
      <c r="H123" s="358"/>
      <c r="I123" s="358"/>
      <c r="J123" s="358"/>
      <c r="K123" s="358"/>
      <c r="L123" s="358"/>
      <c r="M123" s="358"/>
      <c r="N123" s="358"/>
      <c r="O123" s="358"/>
      <c r="S123" s="63"/>
    </row>
    <row r="124" spans="2:19" s="41" customFormat="1" ht="27" customHeight="1" x14ac:dyDescent="0.2">
      <c r="C124" s="88"/>
      <c r="H124" s="360" t="s">
        <v>295</v>
      </c>
      <c r="I124" s="360"/>
      <c r="J124" s="360"/>
      <c r="K124" s="360"/>
      <c r="L124" s="360"/>
      <c r="M124" s="360"/>
      <c r="N124" s="360"/>
      <c r="S124" s="63"/>
    </row>
    <row r="125" spans="2:19" s="41" customFormat="1" ht="27" customHeight="1" x14ac:dyDescent="0.2">
      <c r="C125" s="88"/>
      <c r="E125" s="430" t="s">
        <v>111</v>
      </c>
      <c r="F125" s="430"/>
      <c r="G125" s="430"/>
      <c r="H125" s="360" t="s">
        <v>500</v>
      </c>
      <c r="I125" s="360"/>
      <c r="J125" s="360"/>
      <c r="K125" s="360"/>
      <c r="L125" s="360"/>
      <c r="M125" s="360"/>
      <c r="N125" s="360"/>
      <c r="S125" s="63"/>
    </row>
    <row r="126" spans="2:19" s="41" customFormat="1" ht="27.75" customHeight="1" x14ac:dyDescent="0.2">
      <c r="C126" s="88"/>
      <c r="H126" s="361" t="s">
        <v>116</v>
      </c>
      <c r="I126" s="361"/>
      <c r="J126" s="361"/>
      <c r="K126" s="361"/>
      <c r="L126" s="361"/>
      <c r="M126" s="361"/>
      <c r="N126" s="361"/>
      <c r="S126" s="63"/>
    </row>
    <row r="127" spans="2:19" s="41" customFormat="1" ht="14.25" x14ac:dyDescent="0.2">
      <c r="C127" s="1"/>
      <c r="J127" s="87"/>
    </row>
    <row r="128" spans="2:19" s="41" customFormat="1" ht="14.25" x14ac:dyDescent="0.2">
      <c r="C128" s="1"/>
    </row>
    <row r="129" spans="2:18" s="41" customFormat="1" ht="14.25" x14ac:dyDescent="0.2">
      <c r="C129" s="1"/>
    </row>
    <row r="130" spans="2:18" s="41" customFormat="1" ht="76.5" customHeight="1" x14ac:dyDescent="0.2">
      <c r="B130" s="227" t="s">
        <v>200</v>
      </c>
      <c r="C130" s="113" t="s">
        <v>15</v>
      </c>
      <c r="D130" s="590" t="s">
        <v>529</v>
      </c>
      <c r="E130" s="590"/>
      <c r="F130" s="590"/>
      <c r="G130" s="590"/>
      <c r="H130" s="590"/>
      <c r="I130" s="590"/>
      <c r="J130" s="590"/>
      <c r="K130" s="590"/>
      <c r="L130" s="590"/>
      <c r="M130" s="8"/>
      <c r="N130" s="8"/>
      <c r="O130" s="458" t="s">
        <v>82</v>
      </c>
      <c r="P130" s="458"/>
      <c r="Q130" s="458"/>
      <c r="R130" s="8"/>
    </row>
    <row r="131" spans="2:18" s="41" customFormat="1" ht="14.45" customHeight="1" x14ac:dyDescent="0.2">
      <c r="C131" s="19"/>
      <c r="D131" s="43"/>
      <c r="E131" s="43"/>
      <c r="F131" s="43"/>
      <c r="G131" s="43"/>
      <c r="J131" s="87"/>
    </row>
    <row r="132" spans="2:18" s="41" customFormat="1" ht="15" customHeight="1" x14ac:dyDescent="0.2">
      <c r="D132" s="481" t="s">
        <v>310</v>
      </c>
      <c r="E132" s="481"/>
      <c r="F132" s="481"/>
      <c r="G132" s="481"/>
      <c r="H132" s="481"/>
      <c r="I132" s="481"/>
      <c r="J132" s="481"/>
      <c r="K132" s="481"/>
    </row>
    <row r="133" spans="2:18" s="41" customFormat="1" ht="14.25" x14ac:dyDescent="0.2">
      <c r="D133" s="481"/>
      <c r="E133" s="481"/>
      <c r="F133" s="481"/>
      <c r="G133" s="481"/>
      <c r="H133" s="481"/>
      <c r="I133" s="481"/>
      <c r="J133" s="481"/>
      <c r="K133" s="481"/>
    </row>
    <row r="134" spans="2:18" s="41" customFormat="1" ht="14.25" x14ac:dyDescent="0.2">
      <c r="C134" s="1"/>
      <c r="J134" s="87"/>
    </row>
    <row r="135" spans="2:18" s="41" customFormat="1" ht="14.25" x14ac:dyDescent="0.2"/>
    <row r="136" spans="2:18" s="41" customFormat="1" ht="14.25" x14ac:dyDescent="0.2"/>
    <row r="137" spans="2:18" s="41" customFormat="1" ht="14.25" x14ac:dyDescent="0.2"/>
    <row r="138" spans="2:18" s="41" customFormat="1" ht="24" customHeight="1" x14ac:dyDescent="0.25">
      <c r="B138" s="378" t="s">
        <v>278</v>
      </c>
      <c r="C138" s="378"/>
      <c r="D138" s="378"/>
      <c r="E138" s="378"/>
      <c r="F138" s="378"/>
      <c r="G138" s="378"/>
      <c r="K138" s="64"/>
    </row>
    <row r="141" spans="2:18" ht="27" customHeight="1" x14ac:dyDescent="0.25">
      <c r="B141" s="335" t="str">
        <f>IF('Title Page'!D3&lt;&gt;"Please Select",'Title Page'!D3,"")</f>
        <v/>
      </c>
      <c r="C141" s="335"/>
      <c r="D141" s="335"/>
      <c r="E141" s="335"/>
      <c r="F141" s="335"/>
      <c r="G141" s="335"/>
      <c r="H141" s="335"/>
      <c r="I141" s="335"/>
      <c r="J141" s="335"/>
      <c r="K141" s="335"/>
      <c r="L141" s="335"/>
      <c r="M141" s="335"/>
      <c r="N141" s="335"/>
      <c r="O141" s="335"/>
    </row>
  </sheetData>
  <sheetProtection algorithmName="SHA-512" hashValue="/w4/OxMfhU5Ut6j6h22J3TWtOqbUYaZLU+YZyX2vHWKP4T9OpXqLS7VJ2bf03YPxYch17LXtgByCqaZDEUoeQw==" saltValue="NWt611Y3R6RaM58TSrKzvw==" spinCount="100000" sheet="1" formatRows="0" selectLockedCells="1"/>
  <mergeCells count="131">
    <mergeCell ref="B3:O3"/>
    <mergeCell ref="B141:O141"/>
    <mergeCell ref="H28:J28"/>
    <mergeCell ref="H18:N18"/>
    <mergeCell ref="D13:O13"/>
    <mergeCell ref="H14:N14"/>
    <mergeCell ref="H15:N15"/>
    <mergeCell ref="E16:G16"/>
    <mergeCell ref="H16:N16"/>
    <mergeCell ref="H17:N17"/>
    <mergeCell ref="D116:L116"/>
    <mergeCell ref="O116:Q116"/>
    <mergeCell ref="D106:G106"/>
    <mergeCell ref="H106:J106"/>
    <mergeCell ref="B138:G138"/>
    <mergeCell ref="D130:L130"/>
    <mergeCell ref="O130:Q130"/>
    <mergeCell ref="D132:K133"/>
    <mergeCell ref="D123:O123"/>
    <mergeCell ref="D119:K119"/>
    <mergeCell ref="D118:K118"/>
    <mergeCell ref="D120:K120"/>
    <mergeCell ref="H124:N124"/>
    <mergeCell ref="H126:N126"/>
    <mergeCell ref="B2:H2"/>
    <mergeCell ref="H112:N112"/>
    <mergeCell ref="H99:N99"/>
    <mergeCell ref="H97:N97"/>
    <mergeCell ref="E98:G98"/>
    <mergeCell ref="H98:N98"/>
    <mergeCell ref="D76:L76"/>
    <mergeCell ref="O76:Q76"/>
    <mergeCell ref="D82:O82"/>
    <mergeCell ref="D92:G92"/>
    <mergeCell ref="H92:J92"/>
    <mergeCell ref="D93:G93"/>
    <mergeCell ref="H93:J93"/>
    <mergeCell ref="D95:O95"/>
    <mergeCell ref="H96:N96"/>
    <mergeCell ref="D89:L89"/>
    <mergeCell ref="O89:Q89"/>
    <mergeCell ref="D109:O109"/>
    <mergeCell ref="H110:N110"/>
    <mergeCell ref="H111:N111"/>
    <mergeCell ref="D103:L103"/>
    <mergeCell ref="O103:Q103"/>
    <mergeCell ref="D105:G105"/>
    <mergeCell ref="H105:J105"/>
    <mergeCell ref="E125:G125"/>
    <mergeCell ref="H125:N125"/>
    <mergeCell ref="D91:G91"/>
    <mergeCell ref="H62:J62"/>
    <mergeCell ref="D63:G63"/>
    <mergeCell ref="H63:J63"/>
    <mergeCell ref="H91:J91"/>
    <mergeCell ref="H83:N83"/>
    <mergeCell ref="E84:G84"/>
    <mergeCell ref="H84:N84"/>
    <mergeCell ref="H85:N85"/>
    <mergeCell ref="H72:N72"/>
    <mergeCell ref="H69:N69"/>
    <mergeCell ref="H70:N70"/>
    <mergeCell ref="E71:G71"/>
    <mergeCell ref="H71:N71"/>
    <mergeCell ref="D66:O66"/>
    <mergeCell ref="H67:N67"/>
    <mergeCell ref="H68:N68"/>
    <mergeCell ref="D64:G64"/>
    <mergeCell ref="D79:L80"/>
    <mergeCell ref="D6:L6"/>
    <mergeCell ref="O6:Q6"/>
    <mergeCell ref="D7:L7"/>
    <mergeCell ref="D58:L58"/>
    <mergeCell ref="O58:Q58"/>
    <mergeCell ref="D60:G60"/>
    <mergeCell ref="H60:J60"/>
    <mergeCell ref="D61:G61"/>
    <mergeCell ref="D21:L21"/>
    <mergeCell ref="O21:Q21"/>
    <mergeCell ref="D39:O39"/>
    <mergeCell ref="H40:N40"/>
    <mergeCell ref="H41:N41"/>
    <mergeCell ref="D23:G23"/>
    <mergeCell ref="D24:G24"/>
    <mergeCell ref="H23:J23"/>
    <mergeCell ref="H24:J24"/>
    <mergeCell ref="H25:J25"/>
    <mergeCell ref="H26:J26"/>
    <mergeCell ref="H29:J29"/>
    <mergeCell ref="E51:G51"/>
    <mergeCell ref="H51:N51"/>
    <mergeCell ref="E42:G42"/>
    <mergeCell ref="H42:N42"/>
    <mergeCell ref="H54:N54"/>
    <mergeCell ref="H53:N53"/>
    <mergeCell ref="H48:N48"/>
    <mergeCell ref="H49:N49"/>
    <mergeCell ref="H50:N50"/>
    <mergeCell ref="H37:J37"/>
    <mergeCell ref="H30:J30"/>
    <mergeCell ref="H31:J31"/>
    <mergeCell ref="H32:J32"/>
    <mergeCell ref="H33:J33"/>
    <mergeCell ref="H35:J35"/>
    <mergeCell ref="H36:J36"/>
    <mergeCell ref="H45:N45"/>
    <mergeCell ref="H52:N52"/>
    <mergeCell ref="D34:G34"/>
    <mergeCell ref="L25:T25"/>
    <mergeCell ref="D78:O78"/>
    <mergeCell ref="D25:G25"/>
    <mergeCell ref="D26:G26"/>
    <mergeCell ref="D29:G29"/>
    <mergeCell ref="D30:G30"/>
    <mergeCell ref="D31:G31"/>
    <mergeCell ref="D32:G32"/>
    <mergeCell ref="D33:G33"/>
    <mergeCell ref="D35:G35"/>
    <mergeCell ref="D37:G37"/>
    <mergeCell ref="D27:G27"/>
    <mergeCell ref="D36:G36"/>
    <mergeCell ref="H43:N43"/>
    <mergeCell ref="H44:N44"/>
    <mergeCell ref="H47:N47"/>
    <mergeCell ref="E47:G47"/>
    <mergeCell ref="H27:J27"/>
    <mergeCell ref="H46:N46"/>
    <mergeCell ref="D28:G28"/>
    <mergeCell ref="H64:J64"/>
    <mergeCell ref="H61:J61"/>
    <mergeCell ref="D62:G62"/>
  </mergeCells>
  <conditionalFormatting sqref="D9">
    <cfRule type="cellIs" dxfId="3935" priority="16" operator="equal">
      <formula>"No"</formula>
    </cfRule>
  </conditionalFormatting>
  <conditionalFormatting sqref="D10">
    <cfRule type="cellIs" dxfId="3934" priority="15" operator="equal">
      <formula>"No"</formula>
    </cfRule>
  </conditionalFormatting>
  <conditionalFormatting sqref="G9">
    <cfRule type="cellIs" dxfId="3933" priority="14" operator="equal">
      <formula>"No"</formula>
    </cfRule>
  </conditionalFormatting>
  <conditionalFormatting sqref="G10">
    <cfRule type="cellIs" dxfId="3932" priority="13" operator="equal">
      <formula>"No"</formula>
    </cfRule>
  </conditionalFormatting>
  <conditionalFormatting sqref="D11">
    <cfRule type="cellIs" dxfId="3931" priority="12" operator="equal">
      <formula>"No"</formula>
    </cfRule>
  </conditionalFormatting>
  <conditionalFormatting sqref="D13:O13">
    <cfRule type="expression" dxfId="3930" priority="9">
      <formula>$D$13&lt;&gt;""</formula>
    </cfRule>
  </conditionalFormatting>
  <conditionalFormatting sqref="H14:N18">
    <cfRule type="expression" dxfId="3929" priority="8">
      <formula>$D$13&lt;&gt;""</formula>
    </cfRule>
  </conditionalFormatting>
  <conditionalFormatting sqref="L25:S25">
    <cfRule type="expression" dxfId="3928" priority="6">
      <formula>$L$25&lt;&gt;""</formula>
    </cfRule>
  </conditionalFormatting>
  <conditionalFormatting sqref="B3:O3">
    <cfRule type="expression" dxfId="3927" priority="2">
      <formula>$B$3="Paramedic"</formula>
    </cfRule>
    <cfRule type="expression" dxfId="3926" priority="4">
      <formula>$B$3="AEMT"</formula>
    </cfRule>
  </conditionalFormatting>
  <conditionalFormatting sqref="B141:O141">
    <cfRule type="expression" dxfId="3925" priority="1">
      <formula>$B$141="Paramedic"</formula>
    </cfRule>
    <cfRule type="expression" dxfId="3924" priority="3">
      <formula>$B$141="AEMT"</formula>
    </cfRule>
  </conditionalFormatting>
  <dataValidations count="1">
    <dataValidation type="list" allowBlank="1" showInputMessage="1" showErrorMessage="1" sqref="D9:D11 G9:G10" xr:uid="{00000000-0002-0000-0A00-000000000000}">
      <formula1>"Please Select, Yes, N/A"</formula1>
    </dataValidation>
  </dataValidations>
  <printOptions horizontalCentered="1" verticalCentered="1"/>
  <pageMargins left="0.25" right="0.25" top="0.25" bottom="0.25" header="0.3" footer="0.3"/>
  <pageSetup scale="78" fitToHeight="0" orientation="landscape" horizontalDpi="300" verticalDpi="300" r:id="rId1"/>
  <rowBreaks count="3" manualBreakCount="3">
    <brk id="57" max="14" man="1"/>
    <brk id="81" max="14" man="1"/>
    <brk id="105" max="14" man="1"/>
  </rowBreaks>
  <colBreaks count="1" manualBreakCount="1">
    <brk id="15" max="1048575" man="1"/>
  </colBreaks>
  <legacyDrawing r:id="rId2"/>
  <extLst>
    <ext xmlns:x14="http://schemas.microsoft.com/office/spreadsheetml/2009/9/main" uri="{78C0D931-6437-407d-A8EE-F0AAD7539E65}">
      <x14:conditionalFormattings>
        <x14:conditionalFormatting xmlns:xm="http://schemas.microsoft.com/office/excel/2006/main">
          <x14:cfRule type="expression" priority="7" id="{C1F32D9F-FC1A-4A23-B01D-FFD8A60AA91C}">
            <xm:f>Instructions!A14&lt;&gt;"(LSSR)"</xm:f>
            <x14:dxf>
              <fill>
                <patternFill>
                  <bgColor theme="5" tint="0.79998168889431442"/>
                </patternFill>
              </fill>
              <border>
                <left style="thin">
                  <color auto="1"/>
                </left>
                <right style="thin">
                  <color auto="1"/>
                </right>
                <top style="thin">
                  <color auto="1"/>
                </top>
                <bottom style="thin">
                  <color auto="1"/>
                </bottom>
                <vertical/>
                <horizontal/>
              </border>
            </x14:dxf>
          </x14:cfRule>
          <xm:sqref>H25:J25</xm:sqref>
        </x14:conditionalFormatting>
        <x14:conditionalFormatting xmlns:xm="http://schemas.microsoft.com/office/excel/2006/main">
          <x14:cfRule type="expression" priority="5" id="{609FF98B-EE4F-4419-99E6-0EB7FAF155C4}">
            <xm:f>Instructions!A14&lt;&gt;"(LSSR)"</xm:f>
            <x14:dxf>
              <fill>
                <patternFill>
                  <bgColor theme="5" tint="0.79998168889431442"/>
                </patternFill>
              </fill>
              <border>
                <left style="thin">
                  <color auto="1"/>
                </left>
                <right style="thin">
                  <color auto="1"/>
                </right>
                <top style="thin">
                  <color auto="1"/>
                </top>
                <bottom style="thin">
                  <color auto="1"/>
                </bottom>
                <vertical/>
                <horizontal/>
              </border>
            </x14:dxf>
          </x14:cfRule>
          <xm:sqref>K25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DH139"/>
  <sheetViews>
    <sheetView showGridLines="0" zoomScaleNormal="100" workbookViewId="0">
      <selection activeCell="E15" sqref="E15"/>
    </sheetView>
  </sheetViews>
  <sheetFormatPr defaultColWidth="9.140625" defaultRowHeight="15" x14ac:dyDescent="0.25"/>
  <cols>
    <col min="1" max="1" width="4.7109375" customWidth="1"/>
    <col min="2" max="2" width="3.42578125" customWidth="1"/>
    <col min="3" max="3" width="46.5703125" customWidth="1"/>
    <col min="4" max="4" width="22.28515625" customWidth="1"/>
    <col min="5" max="5" width="14.7109375" customWidth="1"/>
    <col min="6" max="6" width="11.5703125" customWidth="1"/>
    <col min="7" max="7" width="12.85546875" customWidth="1"/>
    <col min="8" max="8" width="14.140625" customWidth="1"/>
    <col min="9" max="9" width="14.7109375" customWidth="1"/>
    <col min="10" max="10" width="14.42578125" customWidth="1"/>
    <col min="11" max="11" width="18.85546875" customWidth="1"/>
    <col min="12" max="12" width="15.85546875" customWidth="1"/>
    <col min="13" max="13" width="20.7109375" customWidth="1"/>
    <col min="14" max="14" width="12.85546875" customWidth="1"/>
    <col min="15" max="15" width="14.7109375" customWidth="1"/>
    <col min="16" max="16" width="13.28515625" customWidth="1"/>
    <col min="17" max="19" width="13.42578125" customWidth="1"/>
    <col min="28" max="28" width="24.7109375" customWidth="1"/>
    <col min="37" max="37" width="24.7109375" customWidth="1"/>
    <col min="46" max="46" width="24.7109375" customWidth="1"/>
    <col min="55" max="55" width="24.7109375" customWidth="1"/>
    <col min="64" max="64" width="24.7109375" customWidth="1"/>
    <col min="73" max="73" width="24.7109375" customWidth="1"/>
    <col min="82" max="82" width="24.7109375" customWidth="1"/>
    <col min="91" max="91" width="24.7109375" customWidth="1"/>
    <col min="100" max="100" width="24.7109375" customWidth="1"/>
    <col min="109" max="109" width="24.7109375" customWidth="1"/>
  </cols>
  <sheetData>
    <row r="1" spans="1:112" s="41" customFormat="1" ht="24" customHeight="1" x14ac:dyDescent="0.25">
      <c r="B1" s="4" t="s">
        <v>346</v>
      </c>
      <c r="K1" s="64" t="str">
        <f>Instructions!C19</f>
        <v>SSR Revised 2025.02</v>
      </c>
    </row>
    <row r="2" spans="1:112" s="41" customFormat="1" ht="24.75" customHeight="1" x14ac:dyDescent="0.2">
      <c r="B2" s="499">
        <f>'Title Page'!$D$10</f>
        <v>0</v>
      </c>
      <c r="C2" s="499"/>
      <c r="D2" s="499"/>
      <c r="E2" s="499"/>
      <c r="F2" s="499"/>
      <c r="G2" s="499"/>
      <c r="H2" s="499"/>
    </row>
    <row r="3" spans="1:112" s="41" customFormat="1" ht="27" customHeight="1" x14ac:dyDescent="0.2">
      <c r="B3" s="335" t="str">
        <f>IF('Title Page'!D3&lt;&gt;"Please Select",'Title Page'!D3,"")</f>
        <v/>
      </c>
      <c r="C3" s="335"/>
      <c r="D3" s="335"/>
      <c r="E3" s="335"/>
      <c r="F3" s="335"/>
      <c r="G3" s="335"/>
      <c r="H3" s="335"/>
      <c r="I3" s="335"/>
      <c r="J3" s="335"/>
      <c r="K3" s="335"/>
      <c r="L3" s="335"/>
    </row>
    <row r="4" spans="1:112" s="41" customFormat="1" ht="14.25" x14ac:dyDescent="0.2">
      <c r="B4" s="86"/>
      <c r="C4" s="86"/>
      <c r="D4" s="86"/>
      <c r="E4" s="86"/>
      <c r="F4" s="86"/>
      <c r="G4" s="86"/>
      <c r="H4" s="86"/>
    </row>
    <row r="5" spans="1:112" s="41" customFormat="1" ht="75" customHeight="1" x14ac:dyDescent="0.25">
      <c r="C5" s="613" t="s">
        <v>347</v>
      </c>
      <c r="D5" s="613"/>
      <c r="E5" s="613"/>
      <c r="F5" s="613"/>
      <c r="G5" s="53"/>
      <c r="H5" s="353" t="s">
        <v>304</v>
      </c>
      <c r="I5" s="353"/>
      <c r="J5" s="353"/>
      <c r="K5" s="356" t="s">
        <v>351</v>
      </c>
      <c r="L5" s="356"/>
      <c r="M5" s="356"/>
      <c r="N5" s="356"/>
      <c r="O5" s="356"/>
    </row>
    <row r="6" spans="1:112" s="41" customFormat="1" ht="14.25" x14ac:dyDescent="0.2">
      <c r="B6" s="86"/>
      <c r="C6" s="86"/>
      <c r="D6" s="86"/>
      <c r="E6" s="86"/>
      <c r="F6" s="86"/>
      <c r="G6" s="86"/>
      <c r="H6" s="86"/>
    </row>
    <row r="7" spans="1:112" s="41" customFormat="1" ht="14.25" x14ac:dyDescent="0.2">
      <c r="B7" s="86"/>
      <c r="C7" s="86"/>
      <c r="D7" s="86"/>
      <c r="E7" s="86"/>
      <c r="F7" s="86"/>
      <c r="G7" s="86"/>
      <c r="H7" s="86"/>
    </row>
    <row r="8" spans="1:112" s="41" customFormat="1" ht="14.25" x14ac:dyDescent="0.2">
      <c r="A8" s="610" t="s">
        <v>415</v>
      </c>
      <c r="B8" s="611"/>
      <c r="C8" s="611"/>
      <c r="D8" s="611"/>
      <c r="E8" s="611"/>
      <c r="F8" s="611"/>
      <c r="G8" s="611"/>
      <c r="H8" s="611"/>
      <c r="I8" s="611"/>
      <c r="J8" s="611"/>
      <c r="K8" s="611"/>
      <c r="L8" s="611"/>
      <c r="M8" s="611"/>
      <c r="N8" s="611"/>
    </row>
    <row r="9" spans="1:112" s="41" customFormat="1" ht="15" customHeight="1" x14ac:dyDescent="0.2">
      <c r="A9" s="611"/>
      <c r="B9" s="611"/>
      <c r="C9" s="611"/>
      <c r="D9" s="611"/>
      <c r="E9" s="611"/>
      <c r="F9" s="611"/>
      <c r="G9" s="611"/>
      <c r="H9" s="611"/>
      <c r="I9" s="611"/>
      <c r="J9" s="611"/>
      <c r="K9" s="611"/>
      <c r="L9" s="611"/>
      <c r="M9" s="611"/>
      <c r="N9" s="611"/>
      <c r="S9" s="63"/>
    </row>
    <row r="10" spans="1:112" s="41" customFormat="1" ht="72.75" customHeight="1" x14ac:dyDescent="0.2">
      <c r="C10" s="614" t="s">
        <v>533</v>
      </c>
      <c r="D10" s="614"/>
      <c r="E10" s="614"/>
      <c r="F10" s="614"/>
      <c r="G10" s="614"/>
      <c r="H10" s="614"/>
      <c r="I10" s="73"/>
      <c r="J10" s="100"/>
      <c r="K10" s="61"/>
      <c r="L10" s="41" t="s">
        <v>82</v>
      </c>
      <c r="R10" s="73"/>
      <c r="S10" s="100"/>
      <c r="T10" s="61"/>
      <c r="AA10" s="73"/>
      <c r="AB10" s="100"/>
      <c r="AC10" s="61"/>
      <c r="AJ10" s="73"/>
      <c r="AK10" s="100"/>
      <c r="AL10" s="61"/>
      <c r="AS10" s="73"/>
      <c r="AT10" s="100"/>
      <c r="AU10" s="61"/>
      <c r="BB10" s="73"/>
      <c r="BC10" s="100"/>
      <c r="BD10" s="61"/>
      <c r="BK10" s="73"/>
      <c r="BL10" s="100"/>
      <c r="BM10" s="61"/>
      <c r="BT10" s="73"/>
      <c r="BU10" s="100"/>
      <c r="BV10" s="61"/>
      <c r="CC10" s="73"/>
      <c r="CD10" s="100"/>
      <c r="CE10" s="61"/>
      <c r="CL10" s="73"/>
      <c r="CM10" s="100"/>
      <c r="CN10" s="61"/>
      <c r="CU10" s="73"/>
      <c r="CV10" s="100"/>
      <c r="CW10" s="61"/>
      <c r="DD10" s="73"/>
      <c r="DE10" s="100"/>
      <c r="DF10" s="61"/>
    </row>
    <row r="11" spans="1:112" s="41" customFormat="1" ht="78" customHeight="1" x14ac:dyDescent="0.2">
      <c r="C11" s="614" t="s">
        <v>348</v>
      </c>
      <c r="D11" s="614"/>
      <c r="E11" s="614"/>
      <c r="F11" s="614"/>
      <c r="G11" s="614"/>
      <c r="H11" s="614"/>
      <c r="I11" s="73"/>
      <c r="J11" s="100"/>
      <c r="K11" s="221"/>
      <c r="L11" s="221"/>
      <c r="M11" s="221"/>
      <c r="R11" s="73"/>
      <c r="S11" s="100"/>
      <c r="T11" s="61"/>
      <c r="AA11" s="73"/>
      <c r="AB11" s="100"/>
      <c r="AC11" s="61"/>
      <c r="AJ11" s="73"/>
      <c r="AK11" s="100"/>
      <c r="AL11" s="61"/>
      <c r="AS11" s="73"/>
      <c r="AT11" s="100"/>
      <c r="AU11" s="61"/>
      <c r="BB11" s="73"/>
      <c r="BC11" s="100"/>
      <c r="BD11" s="61"/>
      <c r="BK11" s="73"/>
      <c r="BL11" s="100"/>
      <c r="BM11" s="61"/>
      <c r="BT11" s="73"/>
      <c r="BU11" s="100"/>
      <c r="BV11" s="61"/>
      <c r="CC11" s="73"/>
      <c r="CD11" s="100"/>
      <c r="CE11" s="61"/>
      <c r="CL11" s="73"/>
      <c r="CM11" s="100"/>
      <c r="CN11" s="61"/>
      <c r="CU11" s="73"/>
      <c r="CV11" s="100"/>
      <c r="CW11" s="61"/>
      <c r="DD11" s="73"/>
      <c r="DE11" s="100"/>
      <c r="DF11" s="61"/>
    </row>
    <row r="12" spans="1:112" s="41" customFormat="1" ht="12.75" customHeight="1" x14ac:dyDescent="0.2">
      <c r="H12" s="107"/>
      <c r="I12" s="107"/>
      <c r="J12" s="107"/>
      <c r="K12" s="280"/>
      <c r="L12" s="280"/>
      <c r="M12" s="280"/>
      <c r="N12" s="280"/>
      <c r="O12" s="280"/>
    </row>
    <row r="13" spans="1:112" s="41" customFormat="1" ht="8.25" customHeight="1" x14ac:dyDescent="0.2"/>
    <row r="14" spans="1:112" s="41" customFormat="1" ht="18" x14ac:dyDescent="0.25">
      <c r="B14" s="4"/>
      <c r="C14" s="17"/>
      <c r="F14" s="41" t="s">
        <v>23</v>
      </c>
      <c r="J14" s="165"/>
    </row>
    <row r="15" spans="1:112" s="41" customFormat="1" ht="29.25" customHeight="1" x14ac:dyDescent="0.25">
      <c r="B15" s="68"/>
      <c r="C15" s="607" t="s">
        <v>530</v>
      </c>
      <c r="D15" s="608"/>
      <c r="E15" s="78"/>
      <c r="F15" s="79" t="str">
        <f>IF(E15="", " &lt;=== Select from drop down list","")</f>
        <v xml:space="preserve"> &lt;=== Select from drop down list</v>
      </c>
      <c r="I15" s="230"/>
      <c r="J15" s="231"/>
      <c r="R15" s="230" t="str">
        <f>IF(D18-D17&gt;=2, "Satellite Location # 2 (same state)","")</f>
        <v/>
      </c>
      <c r="S15" s="231"/>
      <c r="AA15" s="230" t="str">
        <f>IF(D18-D17&gt;=3, "Satellite Location # 3 (same state)","")</f>
        <v/>
      </c>
      <c r="AB15" s="231"/>
      <c r="AJ15" s="230" t="str">
        <f>IF(D18-D17&gt;=4, "Satellite Location # 4 (same state)","")</f>
        <v/>
      </c>
      <c r="AK15" s="231"/>
      <c r="AS15" s="230" t="str">
        <f>IF(D18-D17&gt;=5, "Satellite Location # 5 (same state)","")</f>
        <v/>
      </c>
      <c r="AT15" s="231"/>
      <c r="BB15" s="230" t="str">
        <f>IF(D18-D17&gt;=6, "Satellite Location # 6 (same state)","")</f>
        <v/>
      </c>
      <c r="BC15" s="231"/>
      <c r="BK15" s="230" t="str">
        <f>IF(D18-D17&gt;=7, "Satellite Location # 7 (same state)","")</f>
        <v/>
      </c>
      <c r="BL15" s="231"/>
      <c r="BT15" s="230" t="str">
        <f>IF(D18-D17&gt;=8, "Satellite Location # 8 (same state)","")</f>
        <v/>
      </c>
      <c r="BU15" s="231"/>
      <c r="CC15" s="230" t="str">
        <f>IF(D18-D17&gt;=9, "Satellite Location # 9 (same state)","")</f>
        <v/>
      </c>
      <c r="CD15" s="231"/>
      <c r="CL15" s="230" t="str">
        <f>IF(D18-D17&gt;=10, "Satellite Location # 10 (same state)","")</f>
        <v/>
      </c>
      <c r="CM15" s="231"/>
      <c r="CU15" s="230" t="str">
        <f>IF(D18-D17&gt;=11, "Satellite Location # 11 (same state)","")</f>
        <v/>
      </c>
      <c r="CV15" s="231"/>
      <c r="DD15" s="230" t="str">
        <f>IF(D18-D17&gt;=12, "Satellite Location # 12 (same state)","")</f>
        <v/>
      </c>
      <c r="DE15" s="231"/>
    </row>
    <row r="16" spans="1:112" s="41" customFormat="1" ht="23.25" customHeight="1" x14ac:dyDescent="0.25">
      <c r="C16" s="606" t="str">
        <f>IF(E15="Yes","     Number of alternate locations (same state):", "")</f>
        <v/>
      </c>
      <c r="D16" s="606"/>
      <c r="E16" s="102"/>
      <c r="F16" s="105" t="str">
        <f>IF(AND(E15="Yes",E16=""), " &lt;=== Select from drop down list","")</f>
        <v/>
      </c>
      <c r="I16" s="232"/>
      <c r="J16" s="73"/>
      <c r="K16" s="609"/>
      <c r="L16" s="609"/>
      <c r="M16" s="609"/>
      <c r="R16" s="232"/>
      <c r="S16" s="73"/>
      <c r="T16" s="609"/>
      <c r="U16" s="609"/>
      <c r="V16" s="609"/>
      <c r="AA16" s="232"/>
      <c r="AB16" s="73"/>
      <c r="AC16" s="609"/>
      <c r="AD16" s="609"/>
      <c r="AE16" s="609"/>
      <c r="AJ16" s="232"/>
      <c r="AK16" s="73"/>
      <c r="AL16" s="609"/>
      <c r="AM16" s="609"/>
      <c r="AN16" s="609"/>
      <c r="AS16" s="232"/>
      <c r="AT16" s="73"/>
      <c r="AU16" s="609"/>
      <c r="AV16" s="609"/>
      <c r="AW16" s="609"/>
      <c r="BB16" s="232"/>
      <c r="BC16" s="73"/>
      <c r="BD16" s="609"/>
      <c r="BE16" s="609"/>
      <c r="BF16" s="609"/>
      <c r="BK16" s="232"/>
      <c r="BL16" s="73"/>
      <c r="BM16" s="609"/>
      <c r="BN16" s="609"/>
      <c r="BO16" s="609"/>
      <c r="BT16" s="232"/>
      <c r="BU16" s="73"/>
      <c r="BV16" s="609"/>
      <c r="BW16" s="609"/>
      <c r="BX16" s="609"/>
      <c r="CC16" s="232"/>
      <c r="CD16" s="73"/>
      <c r="CE16" s="609"/>
      <c r="CF16" s="609"/>
      <c r="CG16" s="609"/>
      <c r="CL16" s="232"/>
      <c r="CM16" s="73"/>
      <c r="CN16" s="609"/>
      <c r="CO16" s="609"/>
      <c r="CP16" s="609"/>
      <c r="CU16" s="232"/>
      <c r="CV16" s="73"/>
      <c r="CW16" s="609"/>
      <c r="CX16" s="609"/>
      <c r="CY16" s="609"/>
      <c r="DD16" s="232"/>
      <c r="DE16" s="73"/>
      <c r="DF16" s="609"/>
      <c r="DG16" s="609"/>
      <c r="DH16" s="609"/>
    </row>
    <row r="17" spans="2:112" s="41" customFormat="1" ht="23.25" customHeight="1" x14ac:dyDescent="0.25">
      <c r="C17" s="606" t="str">
        <f>IF(E15="Yes","     Number of OUT OF STATE alternate locations:", "")</f>
        <v/>
      </c>
      <c r="D17" s="606"/>
      <c r="E17" s="102"/>
      <c r="F17" s="105" t="str">
        <f>IF(AND(E15="Yes",E17=""), " &lt;=== Select from drop down list","")</f>
        <v/>
      </c>
      <c r="I17" s="232"/>
      <c r="J17" s="73"/>
      <c r="K17" s="609"/>
      <c r="L17" s="609"/>
      <c r="M17" s="609"/>
      <c r="R17" s="232"/>
      <c r="S17" s="73"/>
      <c r="T17" s="609"/>
      <c r="U17" s="609"/>
      <c r="V17" s="609"/>
      <c r="AA17" s="232"/>
      <c r="AB17" s="73"/>
      <c r="AC17" s="609"/>
      <c r="AD17" s="609"/>
      <c r="AE17" s="609"/>
      <c r="AJ17" s="232"/>
      <c r="AK17" s="73"/>
      <c r="AL17" s="609"/>
      <c r="AM17" s="609"/>
      <c r="AN17" s="609"/>
      <c r="AS17" s="232"/>
      <c r="AT17" s="73"/>
      <c r="AU17" s="609"/>
      <c r="AV17" s="609"/>
      <c r="AW17" s="609"/>
      <c r="BB17" s="232"/>
      <c r="BC17" s="73"/>
      <c r="BD17" s="609"/>
      <c r="BE17" s="609"/>
      <c r="BF17" s="609"/>
      <c r="BK17" s="232"/>
      <c r="BL17" s="73"/>
      <c r="BM17" s="609"/>
      <c r="BN17" s="609"/>
      <c r="BO17" s="609"/>
      <c r="BT17" s="232"/>
      <c r="BU17" s="73"/>
      <c r="BV17" s="609"/>
      <c r="BW17" s="609"/>
      <c r="BX17" s="609"/>
      <c r="CC17" s="232"/>
      <c r="CD17" s="73"/>
      <c r="CE17" s="609"/>
      <c r="CF17" s="609"/>
      <c r="CG17" s="609"/>
      <c r="CL17" s="232"/>
      <c r="CM17" s="73"/>
      <c r="CN17" s="609"/>
      <c r="CO17" s="609"/>
      <c r="CP17" s="609"/>
      <c r="CU17" s="232"/>
      <c r="CV17" s="73"/>
      <c r="CW17" s="609"/>
      <c r="CX17" s="609"/>
      <c r="CY17" s="609"/>
      <c r="DD17" s="232"/>
      <c r="DE17" s="73"/>
      <c r="DF17" s="609"/>
      <c r="DG17" s="609"/>
      <c r="DH17" s="609"/>
    </row>
    <row r="18" spans="2:112" s="41" customFormat="1" ht="35.25" customHeight="1" x14ac:dyDescent="0.25">
      <c r="C18" s="615" t="str">
        <f>IF(E15="Yes","TOTAL number of alternate locations (same state + out of state) 
 the program operates:","")</f>
        <v/>
      </c>
      <c r="D18" s="615"/>
      <c r="E18" s="233" t="str">
        <f>IF(E15="Yes",E16+E17,"")</f>
        <v/>
      </c>
      <c r="F18" s="105"/>
      <c r="I18" s="73"/>
      <c r="J18" s="73"/>
      <c r="K18" s="61"/>
      <c r="R18" s="73"/>
      <c r="S18" s="73"/>
      <c r="T18" s="61"/>
      <c r="AA18" s="73"/>
      <c r="AB18" s="73"/>
      <c r="AC18" s="61"/>
      <c r="AJ18" s="73"/>
      <c r="AK18" s="73"/>
      <c r="AL18" s="61"/>
      <c r="AS18" s="73"/>
      <c r="AT18" s="73"/>
      <c r="AU18" s="61"/>
      <c r="BB18" s="73"/>
      <c r="BC18" s="73"/>
      <c r="BD18" s="61"/>
      <c r="BK18" s="73"/>
      <c r="BL18" s="73"/>
      <c r="BM18" s="61"/>
      <c r="BT18" s="73"/>
      <c r="BU18" s="73"/>
      <c r="BV18" s="61"/>
      <c r="CC18" s="73"/>
      <c r="CD18" s="73"/>
      <c r="CE18" s="61"/>
      <c r="CL18" s="73"/>
      <c r="CM18" s="73"/>
      <c r="CN18" s="61"/>
      <c r="CU18" s="73"/>
      <c r="CV18" s="73"/>
      <c r="CW18" s="61"/>
      <c r="DD18" s="73"/>
      <c r="DE18" s="73"/>
      <c r="DF18" s="61"/>
    </row>
    <row r="19" spans="2:112" s="41" customFormat="1" ht="25.5" customHeight="1" x14ac:dyDescent="0.25">
      <c r="C19" s="114"/>
      <c r="D19" s="114"/>
      <c r="E19" s="233"/>
      <c r="F19" s="105"/>
      <c r="I19" s="73"/>
      <c r="J19" s="73"/>
      <c r="K19" s="61"/>
      <c r="R19" s="73"/>
      <c r="S19" s="73"/>
      <c r="T19" s="61"/>
      <c r="AA19" s="73"/>
      <c r="AB19" s="73"/>
      <c r="AC19" s="61"/>
      <c r="AJ19" s="73"/>
      <c r="AK19" s="73"/>
      <c r="AL19" s="61"/>
      <c r="AS19" s="73"/>
      <c r="AT19" s="73"/>
      <c r="AU19" s="61"/>
      <c r="BB19" s="73"/>
      <c r="BC19" s="73"/>
      <c r="BD19" s="61"/>
      <c r="BK19" s="73"/>
      <c r="BL19" s="73"/>
      <c r="BM19" s="61"/>
      <c r="BT19" s="73"/>
      <c r="BU19" s="73"/>
      <c r="BV19" s="61"/>
      <c r="CC19" s="73"/>
      <c r="CD19" s="73"/>
      <c r="CE19" s="61"/>
      <c r="CL19" s="73"/>
      <c r="CM19" s="73"/>
      <c r="CN19" s="61"/>
      <c r="CU19" s="73"/>
      <c r="CV19" s="73"/>
      <c r="CW19" s="61"/>
      <c r="DD19" s="73"/>
      <c r="DE19" s="73"/>
      <c r="DF19" s="61"/>
    </row>
    <row r="20" spans="2:112" s="41" customFormat="1" ht="17.25" customHeight="1" x14ac:dyDescent="0.2"/>
    <row r="21" spans="2:112" s="41" customFormat="1" ht="52.5" customHeight="1" x14ac:dyDescent="0.2">
      <c r="C21" s="602" t="str">
        <f>IF(E15="No","Alternate Locations Not Applicable.  
Please scroll down to complete the Satellite Location section.",IF(AND(E15="Yes",E18&gt;=1),"Complete the Alternate Location information below.",IF(AND(E15="Yes",E18=0),"Use the drop down menu above to select a number for both 
same state and out of state alternate locations.","")))</f>
        <v/>
      </c>
      <c r="D21" s="602"/>
      <c r="E21" s="602"/>
      <c r="F21" s="602"/>
      <c r="G21" s="602"/>
      <c r="H21" s="602"/>
      <c r="I21" s="73"/>
      <c r="J21" s="100"/>
      <c r="K21" s="61"/>
      <c r="R21" s="73"/>
      <c r="S21" s="100"/>
      <c r="T21" s="61"/>
      <c r="AA21" s="73"/>
      <c r="AB21" s="100"/>
      <c r="AC21" s="61"/>
      <c r="AJ21" s="73"/>
      <c r="AK21" s="100"/>
      <c r="AL21" s="61"/>
      <c r="AS21" s="73"/>
      <c r="AT21" s="100"/>
      <c r="AU21" s="61"/>
      <c r="BB21" s="73"/>
      <c r="BC21" s="100"/>
      <c r="BD21" s="61"/>
      <c r="BK21" s="73"/>
      <c r="BL21" s="100"/>
      <c r="BM21" s="61"/>
      <c r="BT21" s="73"/>
      <c r="BU21" s="100"/>
      <c r="BV21" s="61"/>
      <c r="CC21" s="73"/>
      <c r="CD21" s="100"/>
      <c r="CE21" s="61"/>
      <c r="CL21" s="73"/>
      <c r="CM21" s="100"/>
      <c r="CN21" s="61"/>
      <c r="CU21" s="73"/>
      <c r="CV21" s="100"/>
      <c r="CW21" s="61"/>
      <c r="DD21" s="73"/>
      <c r="DE21" s="100"/>
      <c r="DF21" s="61"/>
    </row>
    <row r="22" spans="2:112" s="41" customFormat="1" ht="17.25" customHeight="1" x14ac:dyDescent="0.2"/>
    <row r="23" spans="2:112" s="41" customFormat="1" ht="21.75" customHeight="1" x14ac:dyDescent="0.2">
      <c r="C23" s="601" t="str">
        <f>IF(AND(E15="Yes", E16&gt;=1),"List All Alternate Locations", "")</f>
        <v/>
      </c>
      <c r="D23" s="601"/>
      <c r="E23" s="601"/>
      <c r="F23" s="601"/>
      <c r="G23" s="601"/>
      <c r="H23" s="601"/>
      <c r="I23" s="234"/>
      <c r="J23" s="234"/>
      <c r="K23" s="234"/>
    </row>
    <row r="24" spans="2:112" s="117" customFormat="1" ht="20.25" customHeight="1" x14ac:dyDescent="0.2">
      <c r="C24" s="601" t="str">
        <f>IF(AND(E15="Yes", E16&gt;=1),"(Same State)", "")</f>
        <v/>
      </c>
      <c r="D24" s="601"/>
      <c r="E24" s="601"/>
      <c r="F24" s="601"/>
      <c r="G24" s="601"/>
      <c r="H24" s="601"/>
      <c r="I24" s="234"/>
      <c r="J24" s="234"/>
      <c r="K24" s="234"/>
    </row>
    <row r="25" spans="2:112" s="41" customFormat="1" ht="63.75" customHeight="1" x14ac:dyDescent="0.25">
      <c r="C25" s="133" t="str">
        <f>IF(AND(E15="Yes", E16&gt;=1),"Alternate Location Name", "")</f>
        <v/>
      </c>
      <c r="D25" s="133" t="str">
        <f>IF(AND(E15="Yes", E16&gt;=1),"Alternate Location City", "")</f>
        <v/>
      </c>
      <c r="E25" s="133" t="str">
        <f>IF(AND(E15="Yes", E16&gt;=1),"Distance (Miles) from Main Campus", "")</f>
        <v/>
      </c>
      <c r="F25" s="133" t="str">
        <f>IF(AND(E15="Yes", E16&gt;=1),"Maximum Students at the Site", "")</f>
        <v/>
      </c>
      <c r="G25" s="133" t="str">
        <f>IF(AND($E$15="Yes", $E$16&gt;=1),"Frequency of Use", "")</f>
        <v/>
      </c>
      <c r="H25" s="209" t="str">
        <f>IF(AND(E15="Yes", E16&gt;=1),"Alternate Location CoAEMSP Approved?","")</f>
        <v/>
      </c>
      <c r="I25" s="235"/>
      <c r="J25" s="117"/>
    </row>
    <row r="26" spans="2:112" s="41" customFormat="1" ht="30.75" customHeight="1" x14ac:dyDescent="0.2">
      <c r="B26" s="61" t="str">
        <f>IF(AND(E15="Yes", E16&gt;=1), "1.", "")</f>
        <v/>
      </c>
      <c r="C26" s="101"/>
      <c r="D26" s="101"/>
      <c r="E26" s="236"/>
      <c r="F26" s="237"/>
      <c r="G26" s="237"/>
      <c r="H26" s="238"/>
      <c r="I26" s="531" t="str">
        <f>IF(OR(AND($B26&lt;&gt;"",$H26="No"),AND($B27&lt;&gt;"",$H27="No"),AND($B28&lt;&gt;"",$H28="No"),AND($B29&lt;&gt;"",$H29="No"),AND($B30&lt;&gt;"",$H30="No"),AND($B31&lt;&gt;"",$H31="No"),AND($B32&lt;&gt;"",$H32="No"),AND($B33&lt;&gt;"",$H33="No"),AND($B34&lt;&gt;"",$H34="No"),AND($B35&lt;&gt;"",$H35="No"),AND($B36&lt;&gt;"",$H36="No"),AND($B37&lt;&gt;"",$H37="No"),AND($B38&lt;&gt;"",$H38="No"),AND($B39&lt;&gt;"",$H39="No"),AND($B40&lt;&gt;"",$H40="No")),"[CoAEMSP Policy XIII.B.3]   CoAEMSP approval is required for all Alternate Locations.
A separate CoAEMSP Request for Approval of an Alternate Location form 
must be completed for each location not currently CoAEMSP approved.","")</f>
        <v/>
      </c>
      <c r="J26" s="531"/>
      <c r="K26" s="531"/>
      <c r="L26" s="531"/>
      <c r="M26" s="531"/>
      <c r="N26" s="239"/>
      <c r="O26" s="239"/>
      <c r="P26" s="239"/>
      <c r="Q26" s="239"/>
    </row>
    <row r="27" spans="2:112" s="41" customFormat="1" ht="30.75" customHeight="1" x14ac:dyDescent="0.2">
      <c r="B27" s="61" t="str">
        <f>IF(AND(E15="Yes", E16&gt;=2), "2.", "")</f>
        <v/>
      </c>
      <c r="C27" s="101"/>
      <c r="D27" s="101"/>
      <c r="E27" s="236"/>
      <c r="F27" s="237"/>
      <c r="G27" s="237"/>
      <c r="H27" s="238"/>
      <c r="I27" s="531"/>
      <c r="J27" s="531"/>
      <c r="K27" s="531"/>
      <c r="L27" s="531"/>
      <c r="M27" s="531"/>
      <c r="N27" s="240"/>
      <c r="O27" s="240"/>
      <c r="P27" s="240"/>
      <c r="Q27" s="240"/>
    </row>
    <row r="28" spans="2:112" s="41" customFormat="1" ht="30.75" customHeight="1" x14ac:dyDescent="0.2">
      <c r="B28" s="61" t="str">
        <f>IF(AND(E15="Yes", E16&gt;=3), "3.", "")</f>
        <v/>
      </c>
      <c r="C28" s="101"/>
      <c r="D28" s="101"/>
      <c r="E28" s="236"/>
      <c r="F28" s="237"/>
      <c r="G28" s="237"/>
      <c r="H28" s="238"/>
      <c r="I28" s="531"/>
      <c r="J28" s="531"/>
      <c r="K28" s="531"/>
      <c r="L28" s="531"/>
      <c r="M28" s="531"/>
      <c r="N28" s="240"/>
      <c r="O28" s="240"/>
      <c r="P28" s="240"/>
      <c r="Q28" s="240"/>
    </row>
    <row r="29" spans="2:112" s="41" customFormat="1" ht="30.75" customHeight="1" x14ac:dyDescent="0.2">
      <c r="B29" s="61" t="str">
        <f>IF(AND(E15="Yes", E16&gt;=4), "4.", "")</f>
        <v/>
      </c>
      <c r="C29" s="101"/>
      <c r="D29" s="101"/>
      <c r="E29" s="236"/>
      <c r="F29" s="237"/>
      <c r="G29" s="237"/>
      <c r="H29" s="238"/>
      <c r="I29" s="239"/>
      <c r="J29" s="239"/>
      <c r="K29" s="239"/>
      <c r="L29" s="239"/>
      <c r="M29" s="239"/>
      <c r="N29" s="240"/>
      <c r="O29" s="240"/>
      <c r="P29" s="240"/>
      <c r="Q29" s="240"/>
    </row>
    <row r="30" spans="2:112" s="41" customFormat="1" ht="30.75" customHeight="1" x14ac:dyDescent="0.2">
      <c r="B30" s="61" t="str">
        <f>IF(AND(E15="Yes", E16&gt;=5), "5.", "")</f>
        <v/>
      </c>
      <c r="C30" s="101"/>
      <c r="D30" s="101"/>
      <c r="E30" s="236"/>
      <c r="F30" s="237"/>
      <c r="G30" s="237"/>
      <c r="H30" s="238"/>
      <c r="I30" s="239"/>
      <c r="J30" s="239"/>
      <c r="K30" s="239"/>
      <c r="L30" s="239"/>
      <c r="M30" s="239"/>
      <c r="N30" s="240"/>
      <c r="O30" s="240"/>
      <c r="P30" s="240"/>
      <c r="Q30" s="240"/>
    </row>
    <row r="31" spans="2:112" s="41" customFormat="1" ht="30.75" customHeight="1" x14ac:dyDescent="0.2">
      <c r="B31" s="61" t="str">
        <f>IF(AND(E15="Yes", E16&gt;=6), "6.", "")</f>
        <v/>
      </c>
      <c r="C31" s="101"/>
      <c r="D31" s="101"/>
      <c r="E31" s="236"/>
      <c r="F31" s="237"/>
      <c r="G31" s="237"/>
      <c r="H31" s="238"/>
      <c r="I31" s="239"/>
      <c r="J31" s="239"/>
      <c r="K31" s="239"/>
      <c r="L31" s="239"/>
      <c r="M31" s="239"/>
      <c r="N31" s="240"/>
      <c r="O31" s="240"/>
      <c r="P31" s="240"/>
      <c r="Q31" s="240"/>
    </row>
    <row r="32" spans="2:112" s="41" customFormat="1" ht="30.75" customHeight="1" x14ac:dyDescent="0.2">
      <c r="B32" s="61" t="str">
        <f>IF(AND(E15="Yes", E16&gt;=7), "7.", "")</f>
        <v/>
      </c>
      <c r="C32" s="101"/>
      <c r="D32" s="101"/>
      <c r="E32" s="236"/>
      <c r="F32" s="237"/>
      <c r="G32" s="237"/>
      <c r="H32" s="238"/>
      <c r="I32" s="239"/>
      <c r="J32" s="239"/>
      <c r="K32" s="239"/>
      <c r="L32" s="239"/>
      <c r="M32" s="239"/>
      <c r="N32" s="240"/>
      <c r="O32" s="240"/>
      <c r="P32" s="240"/>
      <c r="Q32" s="240"/>
    </row>
    <row r="33" spans="2:26" s="41" customFormat="1" ht="30.75" customHeight="1" x14ac:dyDescent="0.2">
      <c r="B33" s="61" t="str">
        <f>IF(AND(E15="Yes", E16&gt;=8), "8.", "")</f>
        <v/>
      </c>
      <c r="C33" s="101"/>
      <c r="D33" s="101"/>
      <c r="E33" s="236"/>
      <c r="F33" s="237"/>
      <c r="G33" s="237"/>
      <c r="H33" s="238"/>
      <c r="I33" s="239"/>
      <c r="J33" s="239"/>
      <c r="K33" s="239"/>
      <c r="L33" s="239"/>
      <c r="M33" s="239"/>
      <c r="N33" s="240"/>
      <c r="O33" s="240"/>
      <c r="P33" s="240"/>
      <c r="Q33" s="240"/>
    </row>
    <row r="34" spans="2:26" s="41" customFormat="1" ht="30.75" customHeight="1" x14ac:dyDescent="0.2">
      <c r="B34" s="61" t="str">
        <f>IF(AND(E15="Yes", E16&gt;=9), "9.", "")</f>
        <v/>
      </c>
      <c r="C34" s="101"/>
      <c r="D34" s="101"/>
      <c r="E34" s="236"/>
      <c r="F34" s="237"/>
      <c r="G34" s="237"/>
      <c r="H34" s="238"/>
      <c r="I34" s="239"/>
      <c r="J34" s="239"/>
      <c r="K34" s="239"/>
      <c r="L34" s="239"/>
      <c r="M34" s="239"/>
      <c r="N34" s="240"/>
      <c r="O34" s="240"/>
      <c r="P34" s="240"/>
      <c r="Q34" s="240"/>
    </row>
    <row r="35" spans="2:26" s="41" customFormat="1" ht="30.75" customHeight="1" x14ac:dyDescent="0.2">
      <c r="B35" s="61" t="str">
        <f>IF(AND(E15="Yes", E16&gt;=10), "10.", "")</f>
        <v/>
      </c>
      <c r="C35" s="101"/>
      <c r="D35" s="101"/>
      <c r="E35" s="236"/>
      <c r="F35" s="237"/>
      <c r="G35" s="237"/>
      <c r="H35" s="238"/>
      <c r="I35" s="239"/>
      <c r="J35" s="239"/>
      <c r="K35" s="239"/>
      <c r="L35" s="239"/>
      <c r="M35" s="239"/>
      <c r="N35" s="240"/>
      <c r="O35" s="240"/>
      <c r="P35" s="240"/>
      <c r="Q35" s="240"/>
    </row>
    <row r="36" spans="2:26" s="41" customFormat="1" ht="30.75" customHeight="1" x14ac:dyDescent="0.2">
      <c r="B36" s="61" t="str">
        <f>IF(AND(E15="Yes", E16&gt;=11), "11.", "")</f>
        <v/>
      </c>
      <c r="C36" s="101"/>
      <c r="D36" s="101"/>
      <c r="E36" s="236"/>
      <c r="F36" s="237"/>
      <c r="G36" s="237"/>
      <c r="H36" s="238"/>
      <c r="I36" s="239"/>
      <c r="J36" s="239"/>
      <c r="K36" s="239"/>
      <c r="L36" s="239"/>
      <c r="M36" s="239"/>
      <c r="N36" s="240"/>
      <c r="O36" s="240"/>
      <c r="P36" s="240"/>
      <c r="Q36" s="240"/>
    </row>
    <row r="37" spans="2:26" s="41" customFormat="1" ht="30.75" customHeight="1" x14ac:dyDescent="0.2">
      <c r="B37" s="61" t="str">
        <f>IF(AND(E15="Yes", E16&gt;=12), "12.", "")</f>
        <v/>
      </c>
      <c r="C37" s="101"/>
      <c r="D37" s="101"/>
      <c r="E37" s="236"/>
      <c r="F37" s="237"/>
      <c r="G37" s="237"/>
      <c r="H37" s="238"/>
      <c r="I37" s="239"/>
      <c r="J37" s="239"/>
      <c r="K37" s="239"/>
      <c r="L37" s="239"/>
      <c r="M37" s="239"/>
      <c r="N37" s="240"/>
      <c r="O37" s="240"/>
      <c r="P37" s="240"/>
      <c r="Q37" s="240"/>
    </row>
    <row r="38" spans="2:26" s="41" customFormat="1" ht="30.75" customHeight="1" x14ac:dyDescent="0.2">
      <c r="B38" s="61" t="str">
        <f>IF(AND($E$15="Yes", $E$16&gt;=13), "13.", "")</f>
        <v/>
      </c>
      <c r="C38" s="101"/>
      <c r="D38" s="101"/>
      <c r="E38" s="236"/>
      <c r="F38" s="237"/>
      <c r="G38" s="237"/>
      <c r="H38" s="238"/>
      <c r="I38" s="239"/>
      <c r="J38" s="239"/>
      <c r="K38" s="239"/>
      <c r="L38" s="239"/>
      <c r="M38" s="239"/>
      <c r="N38" s="240"/>
      <c r="O38" s="240"/>
      <c r="P38" s="240"/>
      <c r="Q38" s="240"/>
    </row>
    <row r="39" spans="2:26" s="41" customFormat="1" ht="30.75" customHeight="1" x14ac:dyDescent="0.2">
      <c r="B39" s="61" t="str">
        <f>IF(AND($E$15="Yes", $E$16&gt;=14), "14.", "")</f>
        <v/>
      </c>
      <c r="C39" s="101"/>
      <c r="D39" s="101"/>
      <c r="E39" s="236"/>
      <c r="F39" s="237"/>
      <c r="G39" s="237"/>
      <c r="H39" s="238"/>
      <c r="I39" s="239"/>
      <c r="J39" s="239"/>
      <c r="K39" s="239"/>
      <c r="L39" s="239"/>
      <c r="M39" s="239"/>
      <c r="N39" s="240"/>
      <c r="O39" s="240"/>
      <c r="P39" s="240"/>
      <c r="Q39" s="240"/>
    </row>
    <row r="40" spans="2:26" s="41" customFormat="1" ht="30.75" customHeight="1" x14ac:dyDescent="0.2">
      <c r="B40" s="61" t="str">
        <f>IF(AND($E$15="Yes", $E$16&gt;=15), "15.", "")</f>
        <v/>
      </c>
      <c r="C40" s="101"/>
      <c r="D40" s="101"/>
      <c r="E40" s="236"/>
      <c r="F40" s="237"/>
      <c r="G40" s="237"/>
      <c r="H40" s="238"/>
      <c r="I40" s="239"/>
      <c r="J40" s="239"/>
      <c r="K40" s="239"/>
      <c r="L40" s="239"/>
      <c r="M40" s="239"/>
      <c r="N40" s="240"/>
      <c r="O40" s="240"/>
      <c r="P40" s="240"/>
      <c r="Q40" s="240"/>
    </row>
    <row r="41" spans="2:26" s="41" customFormat="1" x14ac:dyDescent="0.25">
      <c r="C41" s="281"/>
      <c r="D41" s="281"/>
      <c r="E41" s="282"/>
      <c r="F41" s="283"/>
      <c r="G41" s="283"/>
      <c r="H41" s="284"/>
    </row>
    <row r="42" spans="2:26" s="41" customFormat="1" ht="14.25" x14ac:dyDescent="0.2"/>
    <row r="43" spans="2:26" s="41" customFormat="1" ht="52.5" customHeight="1" x14ac:dyDescent="0.2">
      <c r="C43" s="601" t="str">
        <f>IF(AND(E15="Yes", E17&gt;=1),"List All Alternate Locations 
(Out of State)", "")</f>
        <v/>
      </c>
      <c r="D43" s="601"/>
      <c r="E43" s="601"/>
      <c r="F43" s="601"/>
      <c r="G43" s="601"/>
      <c r="H43" s="601"/>
      <c r="I43" s="601"/>
      <c r="J43" s="601"/>
      <c r="K43" s="234"/>
      <c r="L43" s="234"/>
      <c r="M43" s="234"/>
      <c r="N43" s="234"/>
    </row>
    <row r="44" spans="2:26" s="41" customFormat="1" ht="43.5" customHeight="1" x14ac:dyDescent="0.2">
      <c r="C44" s="600" t="str">
        <f>IF(AND(E15="Yes", E17&gt;=1),"          CoAEMSP Policy XII.B.  The program must have a formal relationship with a physician currently authorized to practice in each state where the "&amp;"program’s 
                                              students are participating in patient care, to accept responsibility for the practice of those students.","")</f>
        <v/>
      </c>
      <c r="D44" s="600"/>
      <c r="E44" s="600"/>
      <c r="F44" s="600"/>
      <c r="G44" s="600"/>
      <c r="H44" s="600"/>
      <c r="I44" s="600"/>
      <c r="J44" s="600"/>
      <c r="K44" s="48"/>
      <c r="L44" s="48"/>
      <c r="M44" s="48"/>
      <c r="N44" s="48"/>
    </row>
    <row r="45" spans="2:26" s="41" customFormat="1" ht="43.5" customHeight="1" x14ac:dyDescent="0.2">
      <c r="C45" s="600" t="str">
        <f>IF(AND(E15="Yes", E17&gt;=1),"          CoAEMSP Policy XII.C.  For each state in which the program has enrolled students, the program must document that it has successfully notified the "&amp;" 
                                              State EMS office that the program has students in that state (e.g., clinical/field affiliates, distance ed students)","")</f>
        <v/>
      </c>
      <c r="D45" s="600"/>
      <c r="E45" s="600"/>
      <c r="F45" s="600"/>
      <c r="G45" s="600"/>
      <c r="H45" s="600"/>
      <c r="I45" s="600"/>
      <c r="J45" s="600"/>
      <c r="K45" s="48"/>
      <c r="L45" s="48"/>
      <c r="M45" s="48"/>
      <c r="N45" s="48"/>
    </row>
    <row r="46" spans="2:26" s="41" customFormat="1" ht="63.75" customHeight="1" x14ac:dyDescent="0.25">
      <c r="C46" s="133" t="str">
        <f>IF(AND(E15="Yes", E17&gt;=1),"Alternate Location Name","")</f>
        <v/>
      </c>
      <c r="D46" s="133" t="str">
        <f>IF(AND(E15="Yes", E17&gt;=1),"Alternate Location City","")</f>
        <v/>
      </c>
      <c r="E46" s="133" t="str">
        <f>IF(AND(E15="Yes", E17&gt;=1),"Alternate Location State","")</f>
        <v/>
      </c>
      <c r="F46" s="133" t="str">
        <f>IF(AND(E15="Yes", E17&gt;=1),"Distance (Miles) from Main Campus","")</f>
        <v/>
      </c>
      <c r="G46" s="133" t="str">
        <f>IF(AND(E15="Yes", E17&gt;=1),"Maximum Students at the site","")</f>
        <v/>
      </c>
      <c r="H46" s="133" t="str">
        <f>IF(AND($E$15="Yes", $E$17&gt;=1),"Frequency of Use", "")</f>
        <v/>
      </c>
      <c r="I46" s="133" t="str">
        <f>IF(AND($E$15="Yes", $E$17&gt;=1),"Last Name of Medical Director Assigned", "")</f>
        <v/>
      </c>
      <c r="J46" s="209" t="str">
        <f>IF(AND($E$15="Yes", $E$17&gt;=1),"Alternate Location CoAEMSP Approved?","")</f>
        <v/>
      </c>
      <c r="K46" s="244"/>
      <c r="L46" s="244"/>
      <c r="M46" s="244"/>
      <c r="N46" s="244"/>
      <c r="O46" s="244"/>
    </row>
    <row r="47" spans="2:26" s="41" customFormat="1" ht="30.75" customHeight="1" x14ac:dyDescent="0.25">
      <c r="B47" s="61" t="str">
        <f>IF(AND(E15="Yes", E17&gt;=1), "1.", "")</f>
        <v/>
      </c>
      <c r="C47" s="245"/>
      <c r="D47" s="245"/>
      <c r="E47" s="102"/>
      <c r="F47" s="236"/>
      <c r="G47" s="237"/>
      <c r="H47" s="237"/>
      <c r="I47" s="237"/>
      <c r="J47" s="238"/>
      <c r="K47" s="597" t="str">
        <f>IF(OR(AND($B47&lt;&gt;"",$J47="No"),AND($B48&lt;&gt;"",$J48="No"),AND($B49&lt;&gt;"",$J49="No"),AND($B50&lt;&gt;"",$J50="No"),AND($B51&lt;&gt;"",$J51="No"),AND($B52&lt;&gt;"",$J52="No"),AND($B53&lt;&gt;"",$J53="No"),AND($B54&lt;&gt;"",$J54="No"),AND($B55&lt;&gt;"",$J55="No"),AND($B56&lt;&gt;"",$J56="No"),AND($B57&lt;&gt;"",$J57="No"),AND($B58&lt;&gt;"",$J58="No"),AND($B59&lt;&gt;"",$J59="No"),AND($B60&lt;&gt;"",$J60="No"),AND($B61&lt;&gt;"",$J61="No")),"[CoAEMSP Policy XIII.B.3]   CoAEMSP approval is required for all Alternate Locations.
A separate CoAEMSP Request for Approval of an Alternate Location form 
must be completed for each location not currently CoAEMSP approved.","")</f>
        <v/>
      </c>
      <c r="L47" s="597"/>
      <c r="M47" s="597"/>
      <c r="N47" s="597"/>
      <c r="O47" s="244"/>
      <c r="P47" s="612" t="str">
        <f>IF(AND(L47="No",M47="No",N47="No",O47="No"),"CoAEMSP approval is required (Policies XIIC,XVG, &amp; XVH) for each of the red highlighted items; see the links provided below for the required forms.",IF(OR(AND(L47="Yes",M47="No",N47="No",O47="No"),AND(L47="NA",M47="No",N47="No",O47="No"),AND(L47="",M47="No",N47="No",O47="No"),AND(L47="No",M47="Yes",N47="No",O47="No"),AND(L47="",M47="No",N47="No",O47="Yes"),AND(L47="NA",M47="No",N47="No",O47="Yes"),AND(L47="Yes",M47="No",N47="No",O47="Yes")),"State approval and CoAEMSP approval is required (Policies XIIC &amp; XVH) for the red highlighted items; see the links provided below for the required forms and place evidence of the CoAEMSP's approval(s) in the Appendix M sub-folder.",IF(OR(AND(L47="Yes",M47="Yes",N47="No",O47="No"),AND(L47="NA",M47="Yes",N47="No",O47="No"),AND(L47="",M47="Yes",N47="No",O47="No")),"CoAEMSP approval is required (Policy XIIC) for each of the red highlighted items; see the link provided for the required form below and place evidence of the CoAEMSP's approvals in the Appendix M sub-folder.",IF(OR(AND(L47="Yes",M47="Yes",N47="Yes",O47="No"),AND(L47="Yes",M47="No",N47="Yes",O47="Yes"),AND(L47="No",M47="Yes",N47="Yes",O47="Yes"),AND(L47="NA",M47="Yes",N47="Yes",O47="No"),AND(L47="",M47="Yes",N47="Yes",O47="Yes"),AND(L47="",M47="No",N47="Yes",O47="Yes"),AND(L47="NA",M47="No",N47="Yes",O47="Yes")),"CoAEMSP approval is required (Policies XIIC &amp; XV) for the red highlighted item; see the link provided for the required form below and place evidence of the CoAEMSP's approval(s) as well as the state approval in the Appendix M sub-folder.",IF(OR(AND(L47="Yes",M47="Yes",N47="No",O47="Yes"),AND(L47="NA",M47="Yes",N47="No",O47="Yes"),AND(L47="",M47="Yes",N47="No",O47="Yes")),"State approval is required (Policy XIIC) for the red highlighted item; place evidence of the CoAEMSP's approvals in the Appendix M sub-folder.",IF(OR(AND(L47="No",M47="No",N47="Yes",O47="Yes"),AND(L47="No",M47="Yes",N47="Yes",O47="No"),AND(L47="Yes",M47="No",N47="Yes",O47="No"),AND(L47="No",M47="No",N47="Yes",O47="No"),AND(L47="NA",M47="No",N47="Yes",O47="No"),AND(L47="",M47="No",N47="Yes",O47="No")),"CoAEMSP approval is required (Policies XIIC &amp; XV) for the red highlighted items; see the link(s) provided for the required forms below and place evidence of the CoAEMSP's approval(s) as well as the state approval in the Appendix M sub-folder.",IF(OR(AND(L47="Yes",M47="Yes",N47="Yes",O47="Yes"),AND(L47="NA",M47="Yes",N47="Yes",O47="Yes"),AND(L47="",M47="Yes",N47="Yes",O47="Yes")),"Place evidence of the CoAEMSP's approvals and state approval in the Appendix M sub-folder","")))))))</f>
        <v/>
      </c>
      <c r="Q47" s="612"/>
      <c r="R47" s="612"/>
      <c r="S47" s="612"/>
      <c r="T47" s="612"/>
      <c r="U47" s="612"/>
      <c r="V47" s="612"/>
      <c r="W47" s="612"/>
      <c r="X47" s="612"/>
      <c r="Y47" s="612"/>
      <c r="Z47" s="612"/>
    </row>
    <row r="48" spans="2:26" s="41" customFormat="1" ht="30.75" customHeight="1" x14ac:dyDescent="0.25">
      <c r="B48" s="61" t="str">
        <f>IF(AND(E15="Yes", E17&gt;=2), "2.", "")</f>
        <v/>
      </c>
      <c r="C48" s="245"/>
      <c r="D48" s="245"/>
      <c r="E48" s="102"/>
      <c r="F48" s="236"/>
      <c r="G48" s="237"/>
      <c r="H48" s="237"/>
      <c r="I48" s="237"/>
      <c r="J48" s="238"/>
      <c r="K48" s="597"/>
      <c r="L48" s="597"/>
      <c r="M48" s="597"/>
      <c r="N48" s="597"/>
      <c r="O48" s="244"/>
      <c r="P48" s="612" t="str">
        <f t="shared" ref="P48:P58" si="0">IF(AND(L48="No",M48="No",N48="No",O48="No"),"CoAEMSP approval is required (Policies XIIC,XVG, &amp; XVH) for each of the red highlighted items; see the links provided below for the required forms.",IF(OR(AND(L48="Yes",M48="No",N48="No",O48="No"),AND(L48="NA",M48="No",N48="No",O48="No"),AND(L48="",M48="No",N48="No",O48="No"),AND(L48="No",M48="Yes",N48="No",O48="No"),AND(L48="",M48="No",N48="No",O48="Yes"),AND(L48="NA",M48="No",N48="No",O48="Yes"),AND(L48="Yes",M48="No",N48="No",O48="Yes")),"State approval and CoAEMSP approval is required (Policies XIIC &amp; XVH) for the red highlighted items; see the links provided below for the required forms and place evidence of the CoAEMSP's approval(s) in the Appendix M sub-folder.",IF(OR(AND(L48="Yes",M48="Yes",N48="No",O48="No"),AND(L48="NA",M48="Yes",N48="No",O48="No"),AND(L48="",M48="Yes",N48="No",O48="No")),"CoAEMSP approval is required (Policy XIIC) for each of the red highlighted items; see the link provided for the required form below and place evidence of the CoAEMSP's approvals in the Appendix M sub-folder.",IF(OR(AND(L48="Yes",M48="Yes",N48="Yes",O48="No"),AND(L48="Yes",M48="No",N48="Yes",O48="Yes"),AND(L48="No",M48="Yes",N48="Yes",O48="Yes"),AND(L48="NA",M48="Yes",N48="Yes",O48="No"),AND(L48="",M48="Yes",N48="Yes",O48="Yes"),AND(L48="",M48="No",N48="Yes",O48="Yes"),AND(L48="NA",M48="No",N48="Yes",O48="Yes")),"CoAEMSP approval is required (Policies XIIC &amp; XV) for the red highlighted item; see the link provided for the required form below and place evidence of the CoAEMSP's approval(s) as well as the state approval in the Appendix M sub-folder.",IF(OR(AND(L48="Yes",M48="Yes",N48="No",O48="Yes"),AND(L48="NA",M48="Yes",N48="No",O48="Yes"),AND(L48="",M48="Yes",N48="No",O48="Yes")),"State approval is required (Policy XIIC) for the red highlighted item; place evidence of the CoAEMSP's approvals in the Appendix M sub-folder.",IF(OR(AND(L48="No",M48="No",N48="Yes",O48="Yes"),AND(L48="No",M48="Yes",N48="Yes",O48="No"),AND(L48="Yes",M48="No",N48="Yes",O48="No"),AND(L48="No",M48="No",N48="Yes",O48="No"),AND(L48="NA",M48="No",N48="Yes",O48="No"),AND(L48="",M48="No",N48="Yes",O48="No")),"CoAEMSP approval is required (Policies XIIC &amp; XV) for the red highlighted items; see the link(s) provided for the required forms below and place evidence of the CoAEMSP's approval(s) as well as the state approval in the Appendix M sub-folder.",IF(OR(AND(L48="Yes",M48="Yes",N48="Yes",O48="Yes"),AND(L48="NA",M48="Yes",N48="Yes",O48="Yes"),AND(L48="",M48="Yes",N48="Yes",O48="Yes")),"Place evidence of the CoAEMSP's approvals and state approval in the Appendix M sub-folder","")))))))</f>
        <v/>
      </c>
      <c r="Q48" s="612"/>
      <c r="R48" s="612"/>
      <c r="S48" s="612"/>
      <c r="T48" s="612"/>
      <c r="U48" s="612"/>
      <c r="V48" s="612"/>
      <c r="W48" s="612"/>
      <c r="X48" s="612"/>
      <c r="Y48" s="612"/>
      <c r="Z48" s="612"/>
    </row>
    <row r="49" spans="2:26" s="41" customFormat="1" ht="30.75" customHeight="1" x14ac:dyDescent="0.25">
      <c r="B49" s="61" t="str">
        <f>IF(AND(E15="Yes", E17&gt;=3), "3.", "")</f>
        <v/>
      </c>
      <c r="C49" s="245"/>
      <c r="D49" s="245"/>
      <c r="E49" s="102"/>
      <c r="F49" s="236"/>
      <c r="G49" s="237"/>
      <c r="H49" s="237"/>
      <c r="I49" s="237"/>
      <c r="J49" s="238"/>
      <c r="K49" s="597"/>
      <c r="L49" s="597"/>
      <c r="M49" s="597"/>
      <c r="N49" s="597"/>
      <c r="O49" s="244"/>
      <c r="P49" s="612" t="str">
        <f t="shared" si="0"/>
        <v/>
      </c>
      <c r="Q49" s="612"/>
      <c r="R49" s="612"/>
      <c r="S49" s="612"/>
      <c r="T49" s="612"/>
      <c r="U49" s="612"/>
      <c r="V49" s="612"/>
      <c r="W49" s="612"/>
      <c r="X49" s="612"/>
      <c r="Y49" s="612"/>
      <c r="Z49" s="612"/>
    </row>
    <row r="50" spans="2:26" s="41" customFormat="1" ht="30.75" customHeight="1" x14ac:dyDescent="0.25">
      <c r="B50" s="61" t="str">
        <f>IF(AND(E15="Yes", E17&gt;=4), "4.", "")</f>
        <v/>
      </c>
      <c r="C50" s="245"/>
      <c r="D50" s="245"/>
      <c r="E50" s="102"/>
      <c r="F50" s="236"/>
      <c r="G50" s="237"/>
      <c r="H50" s="237"/>
      <c r="I50" s="237"/>
      <c r="J50" s="238"/>
      <c r="K50" s="597"/>
      <c r="L50" s="597"/>
      <c r="M50" s="597"/>
      <c r="N50" s="597"/>
      <c r="O50" s="244"/>
      <c r="P50" s="612" t="str">
        <f t="shared" si="0"/>
        <v/>
      </c>
      <c r="Q50" s="612"/>
      <c r="R50" s="612"/>
      <c r="S50" s="612"/>
      <c r="T50" s="612"/>
      <c r="U50" s="612"/>
      <c r="V50" s="612"/>
      <c r="W50" s="612"/>
      <c r="X50" s="612"/>
      <c r="Y50" s="612"/>
      <c r="Z50" s="612"/>
    </row>
    <row r="51" spans="2:26" s="41" customFormat="1" ht="30.75" customHeight="1" x14ac:dyDescent="0.25">
      <c r="B51" s="61" t="str">
        <f>IF(AND(E15="Yes", E17&gt;=5), "5.", "")</f>
        <v/>
      </c>
      <c r="C51" s="245"/>
      <c r="D51" s="245"/>
      <c r="E51" s="102"/>
      <c r="F51" s="236"/>
      <c r="G51" s="237"/>
      <c r="H51" s="237"/>
      <c r="I51" s="237"/>
      <c r="J51" s="238"/>
      <c r="K51" s="285"/>
      <c r="L51" s="285"/>
      <c r="M51" s="285"/>
      <c r="N51" s="244"/>
      <c r="O51" s="244"/>
      <c r="P51" s="612" t="str">
        <f t="shared" si="0"/>
        <v/>
      </c>
      <c r="Q51" s="612"/>
      <c r="R51" s="612"/>
      <c r="S51" s="612"/>
      <c r="T51" s="612"/>
      <c r="U51" s="612"/>
      <c r="V51" s="612"/>
      <c r="W51" s="612"/>
      <c r="X51" s="612"/>
      <c r="Y51" s="612"/>
      <c r="Z51" s="612"/>
    </row>
    <row r="52" spans="2:26" s="41" customFormat="1" ht="30.75" customHeight="1" x14ac:dyDescent="0.25">
      <c r="B52" s="61" t="str">
        <f>IF(AND(E15="Yes", E17&gt;=6), "6.", "")</f>
        <v/>
      </c>
      <c r="C52" s="245"/>
      <c r="D52" s="245"/>
      <c r="E52" s="102"/>
      <c r="F52" s="236"/>
      <c r="G52" s="237"/>
      <c r="H52" s="237"/>
      <c r="I52" s="237"/>
      <c r="J52" s="238"/>
      <c r="K52" s="285"/>
      <c r="L52" s="285"/>
      <c r="M52" s="285"/>
      <c r="N52" s="244"/>
      <c r="O52" s="285"/>
      <c r="P52" s="612" t="str">
        <f t="shared" si="0"/>
        <v/>
      </c>
      <c r="Q52" s="612"/>
      <c r="R52" s="612"/>
      <c r="S52" s="612"/>
      <c r="T52" s="612"/>
      <c r="U52" s="612"/>
      <c r="V52" s="612"/>
      <c r="W52" s="612"/>
      <c r="X52" s="612"/>
      <c r="Y52" s="612"/>
      <c r="Z52" s="612"/>
    </row>
    <row r="53" spans="2:26" s="41" customFormat="1" ht="30.75" customHeight="1" x14ac:dyDescent="0.25">
      <c r="B53" s="61" t="str">
        <f>IF(AND(E15="Yes", E17&gt;=7), "7.", "")</f>
        <v/>
      </c>
      <c r="C53" s="245"/>
      <c r="D53" s="245"/>
      <c r="E53" s="102"/>
      <c r="F53" s="236"/>
      <c r="G53" s="237"/>
      <c r="H53" s="237"/>
      <c r="I53" s="237"/>
      <c r="J53" s="238"/>
      <c r="K53" s="285"/>
      <c r="L53" s="285"/>
      <c r="M53" s="285"/>
      <c r="N53" s="244"/>
      <c r="O53" s="285"/>
      <c r="P53" s="612" t="str">
        <f t="shared" si="0"/>
        <v/>
      </c>
      <c r="Q53" s="612"/>
      <c r="R53" s="612"/>
      <c r="S53" s="612"/>
      <c r="T53" s="612"/>
      <c r="U53" s="612"/>
      <c r="V53" s="612"/>
      <c r="W53" s="612"/>
      <c r="X53" s="612"/>
      <c r="Y53" s="612"/>
      <c r="Z53" s="612"/>
    </row>
    <row r="54" spans="2:26" s="41" customFormat="1" ht="30.75" customHeight="1" x14ac:dyDescent="0.25">
      <c r="B54" s="61" t="str">
        <f>IF(AND(E15="Yes", E17&gt;=8), "8.", "")</f>
        <v/>
      </c>
      <c r="C54" s="245"/>
      <c r="D54" s="245"/>
      <c r="E54" s="102"/>
      <c r="F54" s="236"/>
      <c r="G54" s="237"/>
      <c r="H54" s="237"/>
      <c r="I54" s="237"/>
      <c r="J54" s="238"/>
      <c r="K54" s="285"/>
      <c r="L54" s="285"/>
      <c r="M54" s="285"/>
      <c r="N54" s="244"/>
      <c r="O54" s="285"/>
      <c r="P54" s="612" t="str">
        <f t="shared" si="0"/>
        <v/>
      </c>
      <c r="Q54" s="612"/>
      <c r="R54" s="612"/>
      <c r="S54" s="612"/>
      <c r="T54" s="612"/>
      <c r="U54" s="612"/>
      <c r="V54" s="612"/>
      <c r="W54" s="612"/>
      <c r="X54" s="612"/>
      <c r="Y54" s="612"/>
      <c r="Z54" s="612"/>
    </row>
    <row r="55" spans="2:26" s="41" customFormat="1" ht="30.75" customHeight="1" x14ac:dyDescent="0.25">
      <c r="B55" s="61" t="str">
        <f>IF(AND(E15="Yes", E17&gt;=9), "9.", "")</f>
        <v/>
      </c>
      <c r="C55" s="245"/>
      <c r="D55" s="245"/>
      <c r="E55" s="102"/>
      <c r="F55" s="236"/>
      <c r="G55" s="237"/>
      <c r="H55" s="237"/>
      <c r="I55" s="237"/>
      <c r="J55" s="238"/>
      <c r="K55" s="285"/>
      <c r="L55" s="285"/>
      <c r="M55" s="285"/>
      <c r="N55" s="244"/>
      <c r="O55" s="285"/>
      <c r="P55" s="612" t="str">
        <f t="shared" si="0"/>
        <v/>
      </c>
      <c r="Q55" s="612"/>
      <c r="R55" s="612"/>
      <c r="S55" s="612"/>
      <c r="T55" s="612"/>
      <c r="U55" s="612"/>
      <c r="V55" s="612"/>
      <c r="W55" s="612"/>
      <c r="X55" s="612"/>
      <c r="Y55" s="612"/>
      <c r="Z55" s="612"/>
    </row>
    <row r="56" spans="2:26" s="41" customFormat="1" ht="30.75" customHeight="1" x14ac:dyDescent="0.25">
      <c r="B56" s="61" t="str">
        <f>IF(AND(E15="Yes", E17&gt;=10), "10.", "")</f>
        <v/>
      </c>
      <c r="C56" s="245"/>
      <c r="D56" s="245"/>
      <c r="E56" s="102"/>
      <c r="F56" s="236"/>
      <c r="G56" s="237"/>
      <c r="H56" s="237"/>
      <c r="I56" s="237"/>
      <c r="J56" s="238"/>
      <c r="K56" s="285"/>
      <c r="L56" s="285"/>
      <c r="M56" s="285"/>
      <c r="N56" s="244"/>
      <c r="O56" s="285"/>
      <c r="P56" s="612" t="str">
        <f t="shared" si="0"/>
        <v/>
      </c>
      <c r="Q56" s="612"/>
      <c r="R56" s="612"/>
      <c r="S56" s="612"/>
      <c r="T56" s="612"/>
      <c r="U56" s="612"/>
      <c r="V56" s="612"/>
      <c r="W56" s="612"/>
      <c r="X56" s="612"/>
      <c r="Y56" s="612"/>
      <c r="Z56" s="612"/>
    </row>
    <row r="57" spans="2:26" s="41" customFormat="1" ht="30.75" customHeight="1" x14ac:dyDescent="0.25">
      <c r="B57" s="61" t="str">
        <f>IF(AND(E15="Yes", E17&gt;=11), "11.", "")</f>
        <v/>
      </c>
      <c r="C57" s="245"/>
      <c r="D57" s="245"/>
      <c r="E57" s="102"/>
      <c r="F57" s="236"/>
      <c r="G57" s="237"/>
      <c r="H57" s="237"/>
      <c r="I57" s="237"/>
      <c r="J57" s="238"/>
      <c r="K57" s="285"/>
      <c r="L57" s="285"/>
      <c r="M57" s="285"/>
      <c r="N57" s="244"/>
      <c r="O57" s="285"/>
      <c r="P57" s="612" t="str">
        <f t="shared" si="0"/>
        <v/>
      </c>
      <c r="Q57" s="612"/>
      <c r="R57" s="612"/>
      <c r="S57" s="612"/>
      <c r="T57" s="612"/>
      <c r="U57" s="612"/>
      <c r="V57" s="612"/>
      <c r="W57" s="612"/>
      <c r="X57" s="612"/>
      <c r="Y57" s="612"/>
      <c r="Z57" s="612"/>
    </row>
    <row r="58" spans="2:26" s="41" customFormat="1" ht="30.75" customHeight="1" x14ac:dyDescent="0.25">
      <c r="B58" s="61" t="str">
        <f>IF(AND($E$15="Yes", $E$17&gt;=12), "12.", "")</f>
        <v/>
      </c>
      <c r="C58" s="245"/>
      <c r="D58" s="245"/>
      <c r="E58" s="102"/>
      <c r="F58" s="236"/>
      <c r="G58" s="237"/>
      <c r="H58" s="237"/>
      <c r="I58" s="237"/>
      <c r="J58" s="238"/>
      <c r="K58" s="285"/>
      <c r="L58" s="285"/>
      <c r="M58" s="285"/>
      <c r="N58" s="244"/>
      <c r="O58" s="285"/>
      <c r="P58" s="612" t="str">
        <f t="shared" si="0"/>
        <v/>
      </c>
      <c r="Q58" s="612"/>
      <c r="R58" s="612"/>
      <c r="S58" s="612"/>
      <c r="T58" s="612"/>
      <c r="U58" s="612"/>
      <c r="V58" s="612"/>
      <c r="W58" s="612"/>
      <c r="X58" s="612"/>
      <c r="Y58" s="612"/>
      <c r="Z58" s="612"/>
    </row>
    <row r="59" spans="2:26" s="41" customFormat="1" ht="30.75" customHeight="1" x14ac:dyDescent="0.2">
      <c r="B59" s="61" t="str">
        <f>IF(AND($E$15="Yes", $E$17&gt;=13), "13.", "")</f>
        <v/>
      </c>
      <c r="C59" s="245"/>
      <c r="D59" s="245"/>
      <c r="E59" s="102"/>
      <c r="F59" s="236"/>
      <c r="G59" s="237"/>
      <c r="H59" s="237"/>
      <c r="I59" s="237"/>
      <c r="J59" s="238"/>
      <c r="K59" s="285"/>
      <c r="L59" s="285"/>
      <c r="M59" s="285"/>
      <c r="N59" s="285"/>
      <c r="O59" s="285"/>
      <c r="P59" s="612" t="str">
        <f t="shared" ref="P59:P61" si="1">IF(AND(L59="No",M59="No",N59="No",O59="No"),"CoAEMSP approval is required (Policies XIIC,XVG, &amp; XVH) for each of the red highlighted items; see the links provided below for the required forms.",IF(OR(AND(L59="Yes",M59="No",N59="No",O59="No"),AND(L59="NA",M59="No",N59="No",O59="No"),AND(L59="",M59="No",N59="No",O59="No"),AND(L59="No",M59="Yes",N59="No",O59="No"),AND(L59="",M59="No",N59="No",O59="Yes"),AND(L59="NA",M59="No",N59="No",O59="Yes"),AND(L59="Yes",M59="No",N59="No",O59="Yes")),"State approval and CoAEMSP approval is required (Policies XIIC &amp; XVH) for the red highlighted items; see the links provided below for the required forms and place evidence of the CoAEMSP's approval(s) in the Appendix M sub-folder.",IF(OR(AND(L59="Yes",M59="Yes",N59="No",O59="No"),AND(L59="NA",M59="Yes",N59="No",O59="No"),AND(L59="",M59="Yes",N59="No",O59="No")),"CoAEMSP approval is required (Policy XIIC) for each of the red highlighted items; see the link provided for the required form below and place evidence of the CoAEMSP's approvals in the Appendix M sub-folder.",IF(OR(AND(L59="Yes",M59="Yes",N59="Yes",O59="No"),AND(L59="Yes",M59="No",N59="Yes",O59="Yes"),AND(L59="No",M59="Yes",N59="Yes",O59="Yes"),AND(L59="NA",M59="Yes",N59="Yes",O59="No"),AND(L59="",M59="Yes",N59="Yes",O59="Yes"),AND(L59="",M59="No",N59="Yes",O59="Yes"),AND(L59="NA",M59="No",N59="Yes",O59="Yes")),"CoAEMSP approval is required (Policies XIIC &amp; XV) for the red highlighted item; see the link provided for the required form below and place evidence of the CoAEMSP's approval(s) as well as the state approval in the Appendix M sub-folder.",IF(OR(AND(L59="Yes",M59="Yes",N59="No",O59="Yes"),AND(L59="NA",M59="Yes",N59="No",O59="Yes"),AND(L59="",M59="Yes",N59="No",O59="Yes")),"State approval is required (Policy XIIC) for the red highlighted item; place evidence of the CoAEMSP's approvals in the Appendix M sub-folder.",IF(OR(AND(L59="No",M59="No",N59="Yes",O59="Yes"),AND(L59="No",M59="Yes",N59="Yes",O59="No"),AND(L59="Yes",M59="No",N59="Yes",O59="No"),AND(L59="No",M59="No",N59="Yes",O59="No"),AND(L59="NA",M59="No",N59="Yes",O59="No"),AND(L59="",M59="No",N59="Yes",O59="No")),"CoAEMSP approval is required (Policies XIIC &amp; XV) for the red highlighted items; see the link(s) provided for the required forms below and place evidence of the CoAEMSP's approval(s) as well as the state approval in the Appendix M sub-folder.",IF(OR(AND(L59="Yes",M59="Yes",N59="Yes",O59="Yes"),AND(L59="NA",M59="Yes",N59="Yes",O59="Yes"),AND(L59="",M59="Yes",N59="Yes",O59="Yes")),"Place evidence of the CoAEMSP's approvals and state approval in the Appendix M sub-folder","")))))))</f>
        <v/>
      </c>
      <c r="Q59" s="612"/>
      <c r="R59" s="612"/>
      <c r="S59" s="612"/>
      <c r="T59" s="612"/>
      <c r="U59" s="612"/>
      <c r="V59" s="612"/>
      <c r="W59" s="612"/>
      <c r="X59" s="612"/>
      <c r="Y59" s="612"/>
      <c r="Z59" s="612"/>
    </row>
    <row r="60" spans="2:26" s="41" customFormat="1" ht="30.75" customHeight="1" x14ac:dyDescent="0.2">
      <c r="B60" s="61" t="str">
        <f>IF(AND($E$15="Yes", $E$17&gt;=14), "14.", "")</f>
        <v/>
      </c>
      <c r="C60" s="245"/>
      <c r="D60" s="245"/>
      <c r="E60" s="102"/>
      <c r="F60" s="236"/>
      <c r="G60" s="237"/>
      <c r="H60" s="237"/>
      <c r="I60" s="237"/>
      <c r="J60" s="238"/>
      <c r="K60" s="285"/>
      <c r="L60" s="285"/>
      <c r="M60" s="285"/>
      <c r="N60" s="285"/>
      <c r="O60" s="285"/>
      <c r="P60" s="612" t="str">
        <f t="shared" si="1"/>
        <v/>
      </c>
      <c r="Q60" s="612"/>
      <c r="R60" s="612"/>
      <c r="S60" s="612"/>
      <c r="T60" s="612"/>
      <c r="U60" s="612"/>
      <c r="V60" s="612"/>
      <c r="W60" s="612"/>
      <c r="X60" s="612"/>
      <c r="Y60" s="612"/>
      <c r="Z60" s="612"/>
    </row>
    <row r="61" spans="2:26" s="41" customFormat="1" ht="30.75" customHeight="1" x14ac:dyDescent="0.2">
      <c r="B61" s="61" t="str">
        <f>IF(AND($E$15="Yes", $E$17&gt;=15), "15.", "")</f>
        <v/>
      </c>
      <c r="C61" s="245"/>
      <c r="D61" s="245"/>
      <c r="E61" s="102"/>
      <c r="F61" s="236"/>
      <c r="G61" s="237"/>
      <c r="H61" s="237"/>
      <c r="I61" s="237"/>
      <c r="J61" s="238"/>
      <c r="K61" s="285"/>
      <c r="L61" s="285"/>
      <c r="M61" s="285"/>
      <c r="N61" s="285"/>
      <c r="O61" s="285"/>
      <c r="P61" s="612" t="str">
        <f t="shared" si="1"/>
        <v/>
      </c>
      <c r="Q61" s="612"/>
      <c r="R61" s="612"/>
      <c r="S61" s="612"/>
      <c r="T61" s="612"/>
      <c r="U61" s="612"/>
      <c r="V61" s="612"/>
      <c r="W61" s="612"/>
      <c r="X61" s="612"/>
      <c r="Y61" s="612"/>
      <c r="Z61" s="612"/>
    </row>
    <row r="62" spans="2:26" s="41" customFormat="1" ht="14.25" x14ac:dyDescent="0.2"/>
    <row r="63" spans="2:26" s="41" customFormat="1" ht="14.25" x14ac:dyDescent="0.2"/>
    <row r="64" spans="2:26" s="41" customFormat="1" ht="14.25" x14ac:dyDescent="0.2"/>
    <row r="65" spans="1:112" s="41" customFormat="1" ht="14.25" x14ac:dyDescent="0.2"/>
    <row r="66" spans="1:112" s="41" customFormat="1" ht="14.25" x14ac:dyDescent="0.2">
      <c r="A66" s="610" t="s">
        <v>414</v>
      </c>
      <c r="B66" s="611"/>
      <c r="C66" s="611"/>
      <c r="D66" s="611"/>
      <c r="E66" s="611"/>
      <c r="F66" s="611"/>
      <c r="G66" s="611"/>
      <c r="H66" s="611"/>
      <c r="I66" s="611"/>
      <c r="J66" s="611"/>
      <c r="K66" s="611"/>
      <c r="L66" s="611"/>
      <c r="M66" s="611"/>
      <c r="N66" s="611"/>
    </row>
    <row r="67" spans="1:112" s="41" customFormat="1" ht="15" customHeight="1" x14ac:dyDescent="0.2">
      <c r="A67" s="611"/>
      <c r="B67" s="611"/>
      <c r="C67" s="611"/>
      <c r="D67" s="611"/>
      <c r="E67" s="611"/>
      <c r="F67" s="611"/>
      <c r="G67" s="611"/>
      <c r="H67" s="611"/>
      <c r="I67" s="611"/>
      <c r="J67" s="611"/>
      <c r="K67" s="611"/>
      <c r="L67" s="611"/>
      <c r="M67" s="611"/>
      <c r="N67" s="611"/>
      <c r="S67" s="63"/>
    </row>
    <row r="68" spans="1:112" s="41" customFormat="1" ht="78.75" customHeight="1" x14ac:dyDescent="0.2">
      <c r="C68" s="226"/>
      <c r="D68" s="226"/>
      <c r="E68" s="226"/>
      <c r="H68" s="353" t="s">
        <v>304</v>
      </c>
      <c r="I68" s="353"/>
      <c r="J68" s="353"/>
      <c r="K68" s="356" t="s">
        <v>350</v>
      </c>
      <c r="L68" s="356"/>
      <c r="M68" s="356"/>
      <c r="N68" s="356"/>
      <c r="O68" s="356"/>
      <c r="S68" s="63"/>
    </row>
    <row r="69" spans="1:112" s="41" customFormat="1" ht="72" customHeight="1" x14ac:dyDescent="0.2">
      <c r="C69" s="614" t="s">
        <v>534</v>
      </c>
      <c r="D69" s="614"/>
      <c r="E69" s="614"/>
      <c r="F69" s="614"/>
      <c r="G69" s="614"/>
      <c r="H69" s="614"/>
      <c r="I69" s="73"/>
      <c r="J69" s="100"/>
      <c r="K69" s="228"/>
      <c r="L69" s="41" t="s">
        <v>82</v>
      </c>
      <c r="R69" s="73"/>
      <c r="S69" s="100"/>
      <c r="T69" s="228"/>
      <c r="AA69" s="73"/>
      <c r="AB69" s="100"/>
      <c r="AC69" s="228"/>
      <c r="AJ69" s="73"/>
      <c r="AK69" s="100"/>
      <c r="AL69" s="228"/>
      <c r="AS69" s="73"/>
      <c r="AT69" s="100"/>
      <c r="AU69" s="228"/>
      <c r="BB69" s="73"/>
      <c r="BC69" s="100"/>
      <c r="BD69" s="228"/>
      <c r="BK69" s="73"/>
      <c r="BL69" s="100"/>
      <c r="BM69" s="228"/>
      <c r="BT69" s="73"/>
      <c r="BU69" s="100"/>
      <c r="BV69" s="228"/>
      <c r="CC69" s="73"/>
      <c r="CD69" s="100"/>
      <c r="CE69" s="228"/>
      <c r="CL69" s="73"/>
      <c r="CM69" s="100"/>
      <c r="CN69" s="228"/>
      <c r="CU69" s="73"/>
      <c r="CV69" s="100"/>
      <c r="CW69" s="228"/>
      <c r="DD69" s="73"/>
      <c r="DE69" s="100"/>
      <c r="DF69" s="228"/>
    </row>
    <row r="70" spans="1:112" s="41" customFormat="1" ht="78" customHeight="1" x14ac:dyDescent="0.2">
      <c r="C70" s="614" t="s">
        <v>349</v>
      </c>
      <c r="D70" s="614"/>
      <c r="E70" s="614"/>
      <c r="F70" s="614"/>
      <c r="G70" s="614"/>
      <c r="H70" s="614"/>
      <c r="I70" s="73"/>
      <c r="J70" s="100"/>
      <c r="K70" s="229"/>
      <c r="L70" s="229"/>
      <c r="M70" s="229"/>
      <c r="R70" s="73"/>
      <c r="S70" s="100"/>
      <c r="T70" s="228"/>
      <c r="AA70" s="73"/>
      <c r="AB70" s="100"/>
      <c r="AC70" s="228"/>
      <c r="AJ70" s="73"/>
      <c r="AK70" s="100"/>
      <c r="AL70" s="228"/>
      <c r="AS70" s="73"/>
      <c r="AT70" s="100"/>
      <c r="AU70" s="228"/>
      <c r="BB70" s="73"/>
      <c r="BC70" s="100"/>
      <c r="BD70" s="228"/>
      <c r="BK70" s="73"/>
      <c r="BL70" s="100"/>
      <c r="BM70" s="228"/>
      <c r="BT70" s="73"/>
      <c r="BU70" s="100"/>
      <c r="BV70" s="228"/>
      <c r="CC70" s="73"/>
      <c r="CD70" s="100"/>
      <c r="CE70" s="228"/>
      <c r="CL70" s="73"/>
      <c r="CM70" s="100"/>
      <c r="CN70" s="228"/>
      <c r="CU70" s="73"/>
      <c r="CV70" s="100"/>
      <c r="CW70" s="228"/>
      <c r="DD70" s="73"/>
      <c r="DE70" s="100"/>
      <c r="DF70" s="228"/>
    </row>
    <row r="71" spans="1:112" s="41" customFormat="1" ht="12.75" customHeight="1" x14ac:dyDescent="0.2">
      <c r="H71" s="107"/>
      <c r="I71" s="107"/>
      <c r="J71" s="107"/>
      <c r="K71" s="108"/>
      <c r="L71" s="108"/>
      <c r="M71" s="108"/>
      <c r="N71" s="108"/>
      <c r="O71" s="108"/>
    </row>
    <row r="72" spans="1:112" s="41" customFormat="1" ht="8.25" customHeight="1" x14ac:dyDescent="0.2"/>
    <row r="73" spans="1:112" s="41" customFormat="1" ht="18" x14ac:dyDescent="0.25">
      <c r="B73" s="4"/>
      <c r="C73" s="17"/>
      <c r="F73" s="41" t="s">
        <v>23</v>
      </c>
      <c r="J73" s="165"/>
    </row>
    <row r="74" spans="1:112" s="41" customFormat="1" ht="36" customHeight="1" x14ac:dyDescent="0.25">
      <c r="B74" s="68"/>
      <c r="C74" s="607" t="s">
        <v>352</v>
      </c>
      <c r="D74" s="608"/>
      <c r="E74" s="78"/>
      <c r="F74" s="79" t="str">
        <f>IF(E74="", " &lt;=== Select from drop down list","")</f>
        <v xml:space="preserve"> &lt;=== Select from drop down list</v>
      </c>
      <c r="I74" s="230"/>
      <c r="J74" s="231"/>
      <c r="R74" s="230" t="str">
        <f>IF(D77-D76&gt;=2, "Satellite Location # 2 (same state)","")</f>
        <v/>
      </c>
      <c r="S74" s="231"/>
      <c r="AA74" s="230" t="str">
        <f>IF(D77-D76&gt;=3, "Satellite Location # 3 (same state)","")</f>
        <v/>
      </c>
      <c r="AB74" s="231"/>
      <c r="AJ74" s="230" t="str">
        <f>IF(D77-D76&gt;=4, "Satellite Location # 4 (same state)","")</f>
        <v/>
      </c>
      <c r="AK74" s="231"/>
      <c r="AS74" s="230" t="str">
        <f>IF(D77-D76&gt;=5, "Satellite Location # 5 (same state)","")</f>
        <v/>
      </c>
      <c r="AT74" s="231"/>
      <c r="BB74" s="230" t="str">
        <f>IF(D77-D76&gt;=6, "Satellite Location # 6 (same state)","")</f>
        <v/>
      </c>
      <c r="BC74" s="231"/>
      <c r="BK74" s="230" t="str">
        <f>IF(D77-D76&gt;=7, "Satellite Location # 7 (same state)","")</f>
        <v/>
      </c>
      <c r="BL74" s="231"/>
      <c r="BT74" s="230" t="str">
        <f>IF(D77-D76&gt;=8, "Satellite Location # 8 (same state)","")</f>
        <v/>
      </c>
      <c r="BU74" s="231"/>
      <c r="CC74" s="230" t="str">
        <f>IF(D77-D76&gt;=9, "Satellite Location # 9 (same state)","")</f>
        <v/>
      </c>
      <c r="CD74" s="231"/>
      <c r="CL74" s="230" t="str">
        <f>IF(D77-D76&gt;=10, "Satellite Location # 10 (same state)","")</f>
        <v/>
      </c>
      <c r="CM74" s="231"/>
      <c r="CU74" s="230" t="str">
        <f>IF(D77-D76&gt;=11, "Satellite Location # 11 (same state)","")</f>
        <v/>
      </c>
      <c r="CV74" s="231"/>
      <c r="DD74" s="230" t="str">
        <f>IF(D77-D76&gt;=12, "Satellite Location # 12 (same state)","")</f>
        <v/>
      </c>
      <c r="DE74" s="231"/>
    </row>
    <row r="75" spans="1:112" s="41" customFormat="1" ht="23.25" customHeight="1" x14ac:dyDescent="0.25">
      <c r="C75" s="606" t="str">
        <f>IF(E74="Yes","     Number of satellite locations (same state):", "")</f>
        <v/>
      </c>
      <c r="D75" s="606"/>
      <c r="E75" s="102"/>
      <c r="F75" s="105" t="str">
        <f>IF(AND(E74="Yes",E75=""), " &lt;=== Select from drop down list","")</f>
        <v/>
      </c>
      <c r="I75" s="232"/>
      <c r="J75" s="73"/>
      <c r="K75" s="605"/>
      <c r="L75" s="605"/>
      <c r="M75" s="605"/>
      <c r="R75" s="232"/>
      <c r="S75" s="73"/>
      <c r="T75" s="605"/>
      <c r="U75" s="605"/>
      <c r="V75" s="605"/>
      <c r="AA75" s="232"/>
      <c r="AB75" s="73"/>
      <c r="AC75" s="605"/>
      <c r="AD75" s="605"/>
      <c r="AE75" s="605"/>
      <c r="AJ75" s="232"/>
      <c r="AK75" s="73"/>
      <c r="AL75" s="605"/>
      <c r="AM75" s="605"/>
      <c r="AN75" s="605"/>
      <c r="AS75" s="232"/>
      <c r="AT75" s="73"/>
      <c r="AU75" s="605"/>
      <c r="AV75" s="605"/>
      <c r="AW75" s="605"/>
      <c r="BB75" s="232"/>
      <c r="BC75" s="73"/>
      <c r="BD75" s="605"/>
      <c r="BE75" s="605"/>
      <c r="BF75" s="605"/>
      <c r="BK75" s="232"/>
      <c r="BL75" s="73"/>
      <c r="BM75" s="605"/>
      <c r="BN75" s="605"/>
      <c r="BO75" s="605"/>
      <c r="BT75" s="232"/>
      <c r="BU75" s="73"/>
      <c r="BV75" s="605"/>
      <c r="BW75" s="605"/>
      <c r="BX75" s="605"/>
      <c r="CC75" s="232"/>
      <c r="CD75" s="73"/>
      <c r="CE75" s="605"/>
      <c r="CF75" s="605"/>
      <c r="CG75" s="605"/>
      <c r="CL75" s="232"/>
      <c r="CM75" s="73"/>
      <c r="CN75" s="605"/>
      <c r="CO75" s="605"/>
      <c r="CP75" s="605"/>
      <c r="CU75" s="232"/>
      <c r="CV75" s="73"/>
      <c r="CW75" s="605"/>
      <c r="CX75" s="605"/>
      <c r="CY75" s="605"/>
      <c r="DD75" s="232"/>
      <c r="DE75" s="73"/>
      <c r="DF75" s="605"/>
      <c r="DG75" s="605"/>
      <c r="DH75" s="605"/>
    </row>
    <row r="76" spans="1:112" s="41" customFormat="1" ht="23.25" customHeight="1" x14ac:dyDescent="0.25">
      <c r="C76" s="606" t="str">
        <f>IF(E74="Yes","     Number of OUT OF STATE satellite locations:", "")</f>
        <v/>
      </c>
      <c r="D76" s="606"/>
      <c r="E76" s="102"/>
      <c r="F76" s="105" t="str">
        <f>IF(AND(E74="Yes",E76=""), " &lt;=== Select from drop down list","")</f>
        <v/>
      </c>
      <c r="I76" s="232"/>
      <c r="J76" s="73"/>
      <c r="K76" s="605"/>
      <c r="L76" s="605"/>
      <c r="M76" s="605"/>
      <c r="R76" s="232"/>
      <c r="S76" s="73"/>
      <c r="T76" s="605"/>
      <c r="U76" s="605"/>
      <c r="V76" s="605"/>
      <c r="AA76" s="232"/>
      <c r="AB76" s="73"/>
      <c r="AC76" s="605"/>
      <c r="AD76" s="605"/>
      <c r="AE76" s="605"/>
      <c r="AJ76" s="232"/>
      <c r="AK76" s="73"/>
      <c r="AL76" s="605"/>
      <c r="AM76" s="605"/>
      <c r="AN76" s="605"/>
      <c r="AS76" s="232"/>
      <c r="AT76" s="73"/>
      <c r="AU76" s="605"/>
      <c r="AV76" s="605"/>
      <c r="AW76" s="605"/>
      <c r="BB76" s="232"/>
      <c r="BC76" s="73"/>
      <c r="BD76" s="605"/>
      <c r="BE76" s="605"/>
      <c r="BF76" s="605"/>
      <c r="BK76" s="232"/>
      <c r="BL76" s="73"/>
      <c r="BM76" s="605"/>
      <c r="BN76" s="605"/>
      <c r="BO76" s="605"/>
      <c r="BT76" s="232"/>
      <c r="BU76" s="73"/>
      <c r="BV76" s="605"/>
      <c r="BW76" s="605"/>
      <c r="BX76" s="605"/>
      <c r="CC76" s="232"/>
      <c r="CD76" s="73"/>
      <c r="CE76" s="605"/>
      <c r="CF76" s="605"/>
      <c r="CG76" s="605"/>
      <c r="CL76" s="232"/>
      <c r="CM76" s="73"/>
      <c r="CN76" s="605"/>
      <c r="CO76" s="605"/>
      <c r="CP76" s="605"/>
      <c r="CU76" s="232"/>
      <c r="CV76" s="73"/>
      <c r="CW76" s="605"/>
      <c r="CX76" s="605"/>
      <c r="CY76" s="605"/>
      <c r="DD76" s="232"/>
      <c r="DE76" s="73"/>
      <c r="DF76" s="605"/>
      <c r="DG76" s="605"/>
      <c r="DH76" s="605"/>
    </row>
    <row r="77" spans="1:112" s="41" customFormat="1" ht="35.25" customHeight="1" x14ac:dyDescent="0.25">
      <c r="C77" s="352" t="str">
        <f>IF(E74="Yes","TOTAL number of satellite locations (same state + out of state) 
the program operates:","")</f>
        <v/>
      </c>
      <c r="D77" s="352"/>
      <c r="E77" s="233" t="str">
        <f>IF(E74="Yes",E75+E76,"")</f>
        <v/>
      </c>
      <c r="F77" s="105"/>
      <c r="I77" s="73"/>
      <c r="J77" s="73"/>
      <c r="K77" s="228"/>
      <c r="R77" s="73"/>
      <c r="S77" s="73"/>
      <c r="T77" s="228"/>
      <c r="AA77" s="73"/>
      <c r="AB77" s="73"/>
      <c r="AC77" s="228"/>
      <c r="AJ77" s="73"/>
      <c r="AK77" s="73"/>
      <c r="AL77" s="228"/>
      <c r="AS77" s="73"/>
      <c r="AT77" s="73"/>
      <c r="AU77" s="228"/>
      <c r="BB77" s="73"/>
      <c r="BC77" s="73"/>
      <c r="BD77" s="228"/>
      <c r="BK77" s="73"/>
      <c r="BL77" s="73"/>
      <c r="BM77" s="228"/>
      <c r="BT77" s="73"/>
      <c r="BU77" s="73"/>
      <c r="BV77" s="228"/>
      <c r="CC77" s="73"/>
      <c r="CD77" s="73"/>
      <c r="CE77" s="228"/>
      <c r="CL77" s="73"/>
      <c r="CM77" s="73"/>
      <c r="CN77" s="228"/>
      <c r="CU77" s="73"/>
      <c r="CV77" s="73"/>
      <c r="CW77" s="228"/>
      <c r="DD77" s="73"/>
      <c r="DE77" s="73"/>
      <c r="DF77" s="228"/>
    </row>
    <row r="78" spans="1:112" s="41" customFormat="1" ht="25.5" customHeight="1" x14ac:dyDescent="0.25">
      <c r="C78" s="114"/>
      <c r="D78" s="114"/>
      <c r="E78" s="233"/>
      <c r="F78" s="105"/>
      <c r="I78" s="73"/>
      <c r="J78" s="73"/>
      <c r="K78" s="228"/>
      <c r="R78" s="73"/>
      <c r="S78" s="73"/>
      <c r="T78" s="228"/>
      <c r="AA78" s="73"/>
      <c r="AB78" s="73"/>
      <c r="AC78" s="228"/>
      <c r="AJ78" s="73"/>
      <c r="AK78" s="73"/>
      <c r="AL78" s="228"/>
      <c r="AS78" s="73"/>
      <c r="AT78" s="73"/>
      <c r="AU78" s="228"/>
      <c r="BB78" s="73"/>
      <c r="BC78" s="73"/>
      <c r="BD78" s="228"/>
      <c r="BK78" s="73"/>
      <c r="BL78" s="73"/>
      <c r="BM78" s="228"/>
      <c r="BT78" s="73"/>
      <c r="BU78" s="73"/>
      <c r="BV78" s="228"/>
      <c r="CC78" s="73"/>
      <c r="CD78" s="73"/>
      <c r="CE78" s="228"/>
      <c r="CL78" s="73"/>
      <c r="CM78" s="73"/>
      <c r="CN78" s="228"/>
      <c r="CU78" s="73"/>
      <c r="CV78" s="73"/>
      <c r="CW78" s="228"/>
      <c r="DD78" s="73"/>
      <c r="DE78" s="73"/>
      <c r="DF78" s="228"/>
    </row>
    <row r="79" spans="1:112" s="41" customFormat="1" ht="17.25" customHeight="1" x14ac:dyDescent="0.2"/>
    <row r="80" spans="1:112" s="41" customFormat="1" ht="52.5" customHeight="1" x14ac:dyDescent="0.2">
      <c r="C80" s="602" t="str">
        <f>IF(E74="No","Satellite Locations Not Applicable.  
Please see Student Questionnaire reminder at the bottom of this tab.",IF(AND(E74="Yes",E77&gt;=1),"Complete the Satellite Location information below.",IF(AND(E74="Yes",E77=0),"Use the drop down menu above to select a number for both 
same state and out of state satellite locations.","")))</f>
        <v/>
      </c>
      <c r="D80" s="602"/>
      <c r="E80" s="602"/>
      <c r="F80" s="602"/>
      <c r="G80" s="602"/>
      <c r="H80" s="602"/>
      <c r="I80" s="73"/>
      <c r="J80" s="100"/>
      <c r="K80" s="228"/>
      <c r="R80" s="73"/>
      <c r="S80" s="100"/>
      <c r="T80" s="228"/>
      <c r="AA80" s="73"/>
      <c r="AB80" s="100"/>
      <c r="AC80" s="228"/>
      <c r="AJ80" s="73"/>
      <c r="AK80" s="100"/>
      <c r="AL80" s="228"/>
      <c r="AS80" s="73"/>
      <c r="AT80" s="100"/>
      <c r="AU80" s="228"/>
      <c r="BB80" s="73"/>
      <c r="BC80" s="100"/>
      <c r="BD80" s="228"/>
      <c r="BK80" s="73"/>
      <c r="BL80" s="100"/>
      <c r="BM80" s="228"/>
      <c r="BT80" s="73"/>
      <c r="BU80" s="100"/>
      <c r="BV80" s="228"/>
      <c r="CC80" s="73"/>
      <c r="CD80" s="100"/>
      <c r="CE80" s="228"/>
      <c r="CL80" s="73"/>
      <c r="CM80" s="100"/>
      <c r="CN80" s="228"/>
      <c r="CU80" s="73"/>
      <c r="CV80" s="100"/>
      <c r="CW80" s="228"/>
      <c r="DD80" s="73"/>
      <c r="DE80" s="100"/>
      <c r="DF80" s="228"/>
    </row>
    <row r="81" spans="2:21" s="41" customFormat="1" ht="17.25" customHeight="1" x14ac:dyDescent="0.2"/>
    <row r="82" spans="2:21" s="41" customFormat="1" ht="21.75" customHeight="1" x14ac:dyDescent="0.2">
      <c r="C82" s="601" t="str">
        <f>IF(AND(E74="Yes", E75&gt;=1),"List All Satellite Locations", "")</f>
        <v/>
      </c>
      <c r="D82" s="601"/>
      <c r="E82" s="601"/>
      <c r="F82" s="601"/>
      <c r="G82" s="601"/>
      <c r="H82" s="601"/>
      <c r="I82" s="601"/>
      <c r="J82" s="601"/>
      <c r="K82" s="601"/>
      <c r="L82" s="601"/>
    </row>
    <row r="83" spans="2:21" s="117" customFormat="1" ht="20.25" customHeight="1" x14ac:dyDescent="0.2">
      <c r="C83" s="601" t="str">
        <f>IF(AND(E74="Yes", E75&gt;=1),"(Same State)", "")</f>
        <v/>
      </c>
      <c r="D83" s="601"/>
      <c r="E83" s="601"/>
      <c r="F83" s="601"/>
      <c r="G83" s="601"/>
      <c r="H83" s="601"/>
      <c r="I83" s="601"/>
      <c r="J83" s="601"/>
      <c r="K83" s="601"/>
      <c r="L83" s="601"/>
    </row>
    <row r="84" spans="2:21" s="41" customFormat="1" ht="81.75" customHeight="1" x14ac:dyDescent="0.2">
      <c r="C84" s="133" t="str">
        <f>IF(AND(E74="Yes", E75&gt;=1),"Satellite Name", "")</f>
        <v/>
      </c>
      <c r="D84" s="133" t="str">
        <f>IF(AND(E74="Yes", E75&gt;=1),"Satellite City", "")</f>
        <v/>
      </c>
      <c r="E84" s="133" t="str">
        <f>IF(AND(E74="Yes", E75&gt;=1),"Distance (Miles) from Main Campus", "")</f>
        <v/>
      </c>
      <c r="F84" s="133" t="str">
        <f>IF(AND(E74="Yes", E75&gt;=1),"Length of Program 
(months)", "")</f>
        <v/>
      </c>
      <c r="G84" s="133" t="str">
        <f>IF(AND(E74="Yes", E75&gt;=1),"Next Start Date
mm/dd/yyyy", "")</f>
        <v/>
      </c>
      <c r="H84" s="133" t="str">
        <f>IF(AND(E74="Yes", E75&gt;=1),"Next Graduation Date
mm/dd/yyyy", "")</f>
        <v/>
      </c>
      <c r="I84" s="133" t="str">
        <f>IF(AND(E74="Yes", E75&gt;=1),"Maximum Student Enrollment Per Cohort", "")</f>
        <v/>
      </c>
      <c r="J84" s="133" t="str">
        <f>IF(AND(E74="Yes", E75&gt;=1),"Frequency of Cohort Enrollment Annually", "")</f>
        <v/>
      </c>
      <c r="K84" s="209" t="str">
        <f>IF(AND(E74="Yes", E75&gt;=1),"Last Name of CoAEMSP Approved Lead Instructor Assigned","")</f>
        <v/>
      </c>
      <c r="L84" s="209" t="str">
        <f>IF(AND(E74="Yes", E75&gt;=1),"Satellite CoAEMSP Approved?","")</f>
        <v/>
      </c>
      <c r="M84" s="117"/>
    </row>
    <row r="85" spans="2:21" s="41" customFormat="1" ht="30.75" customHeight="1" x14ac:dyDescent="0.2">
      <c r="B85" s="61" t="str">
        <f>IF(AND(E74="Yes", E75&gt;=1), "1.", "")</f>
        <v/>
      </c>
      <c r="C85" s="101"/>
      <c r="D85" s="101"/>
      <c r="E85" s="236"/>
      <c r="F85" s="237"/>
      <c r="G85" s="249"/>
      <c r="H85" s="249"/>
      <c r="I85" s="237"/>
      <c r="J85" s="237"/>
      <c r="K85" s="250"/>
      <c r="L85" s="237"/>
      <c r="M85" s="531" t="str">
        <f>IF(OR(AND($B85&lt;&gt;"",$L85="No"),AND($B86&lt;&gt;"",$L86="No"),AND($B87&lt;&gt;"",$L87="No"),AND($B88&lt;&gt;"",$L88="No"),AND($B89&lt;&gt;"",$L89="No"),AND($B90&lt;&gt;"",$L90="No"),AND($B91&lt;&gt;"",$L91="No"),AND($B92&lt;&gt;"",$L92="No"),AND($B93&lt;&gt;"",$L93="No"),AND($B94&lt;&gt;"",$L94="No"),AND($B95&lt;&gt;"",$L95="No"),AND($B96&lt;&gt;"",$L96="No"),AND($B97&lt;&gt;"",$L97="No"),AND($B98&lt;&gt;"",$L98="No"),AND($B99&lt;&gt;"",$L99="No")),"[CoAEMSP Policy XIII.C.3]   CoAEMSP approval is required for all Satellite Locations.
A separate CoAEMSP Request for Approval of a Satellite Location form 
must be completed for each location not currently CoAEMSP approved.","")</f>
        <v/>
      </c>
      <c r="N85" s="531"/>
      <c r="O85" s="531"/>
      <c r="P85" s="531"/>
      <c r="Q85" s="531"/>
      <c r="R85" s="240"/>
      <c r="S85" s="240"/>
      <c r="T85" s="240"/>
      <c r="U85" s="240"/>
    </row>
    <row r="86" spans="2:21" s="41" customFormat="1" ht="30.75" customHeight="1" x14ac:dyDescent="0.2">
      <c r="B86" s="61" t="str">
        <f>IF(AND(E74="Yes", E75&gt;=2), "2.", "")</f>
        <v/>
      </c>
      <c r="C86" s="101"/>
      <c r="D86" s="101"/>
      <c r="E86" s="236"/>
      <c r="F86" s="237"/>
      <c r="G86" s="249"/>
      <c r="H86" s="249"/>
      <c r="I86" s="237"/>
      <c r="J86" s="237"/>
      <c r="K86" s="250"/>
      <c r="L86" s="237"/>
      <c r="M86" s="531"/>
      <c r="N86" s="531"/>
      <c r="O86" s="531"/>
      <c r="P86" s="531"/>
      <c r="Q86" s="531"/>
      <c r="R86" s="240"/>
      <c r="S86" s="240"/>
      <c r="T86" s="240"/>
      <c r="U86" s="240"/>
    </row>
    <row r="87" spans="2:21" s="41" customFormat="1" ht="30.75" customHeight="1" x14ac:dyDescent="0.2">
      <c r="B87" s="61" t="str">
        <f>IF(AND(E74="Yes", E75&gt;=3), "3.", "")</f>
        <v/>
      </c>
      <c r="C87" s="101"/>
      <c r="D87" s="101"/>
      <c r="E87" s="236"/>
      <c r="F87" s="237"/>
      <c r="G87" s="249"/>
      <c r="H87" s="249"/>
      <c r="I87" s="237"/>
      <c r="J87" s="237"/>
      <c r="K87" s="250"/>
      <c r="L87" s="237"/>
      <c r="M87" s="531"/>
      <c r="N87" s="531"/>
      <c r="O87" s="531"/>
      <c r="P87" s="531"/>
      <c r="Q87" s="531"/>
      <c r="R87" s="240"/>
      <c r="S87" s="240"/>
      <c r="T87" s="240"/>
      <c r="U87" s="240"/>
    </row>
    <row r="88" spans="2:21" s="41" customFormat="1" ht="30.75" customHeight="1" x14ac:dyDescent="0.2">
      <c r="B88" s="61" t="str">
        <f>IF(AND(E74="Yes", E75&gt;=4), "4.", "")</f>
        <v/>
      </c>
      <c r="C88" s="101"/>
      <c r="D88" s="101"/>
      <c r="E88" s="236"/>
      <c r="F88" s="237"/>
      <c r="G88" s="249"/>
      <c r="H88" s="249"/>
      <c r="I88" s="237"/>
      <c r="J88" s="237"/>
      <c r="K88" s="250"/>
      <c r="L88" s="237"/>
      <c r="M88" s="531"/>
      <c r="N88" s="531"/>
      <c r="O88" s="531"/>
      <c r="P88" s="531"/>
      <c r="Q88" s="531"/>
      <c r="R88" s="240"/>
      <c r="S88" s="240"/>
      <c r="T88" s="240"/>
      <c r="U88" s="240"/>
    </row>
    <row r="89" spans="2:21" s="41" customFormat="1" ht="30.75" customHeight="1" x14ac:dyDescent="0.2">
      <c r="B89" s="61" t="str">
        <f>IF(AND(E74="Yes", E75&gt;=5), "5.", "")</f>
        <v/>
      </c>
      <c r="C89" s="101"/>
      <c r="D89" s="101"/>
      <c r="E89" s="236"/>
      <c r="F89" s="237"/>
      <c r="G89" s="249"/>
      <c r="H89" s="249"/>
      <c r="I89" s="237"/>
      <c r="J89" s="237"/>
      <c r="K89" s="250"/>
      <c r="L89" s="237"/>
      <c r="M89" s="240"/>
      <c r="N89" s="240"/>
      <c r="O89" s="240"/>
      <c r="P89" s="240"/>
      <c r="Q89" s="240"/>
      <c r="R89" s="240"/>
      <c r="S89" s="240"/>
      <c r="T89" s="240"/>
      <c r="U89" s="240"/>
    </row>
    <row r="90" spans="2:21" s="41" customFormat="1" ht="30.75" customHeight="1" x14ac:dyDescent="0.2">
      <c r="B90" s="61" t="str">
        <f>IF(AND(E74="Yes", E75&gt;=6), "6.", "")</f>
        <v/>
      </c>
      <c r="C90" s="101"/>
      <c r="D90" s="101"/>
      <c r="E90" s="236"/>
      <c r="F90" s="237"/>
      <c r="G90" s="249"/>
      <c r="H90" s="249"/>
      <c r="I90" s="237"/>
      <c r="J90" s="237"/>
      <c r="K90" s="250"/>
      <c r="L90" s="237"/>
      <c r="M90" s="240"/>
      <c r="N90" s="240"/>
      <c r="O90" s="240"/>
      <c r="P90" s="240"/>
      <c r="Q90" s="240"/>
      <c r="R90" s="240"/>
      <c r="S90" s="240"/>
      <c r="T90" s="240"/>
      <c r="U90" s="240"/>
    </row>
    <row r="91" spans="2:21" s="41" customFormat="1" ht="30.75" customHeight="1" x14ac:dyDescent="0.2">
      <c r="B91" s="61" t="str">
        <f>IF(AND(E74="Yes", E75&gt;=7), "7.", "")</f>
        <v/>
      </c>
      <c r="C91" s="101"/>
      <c r="D91" s="101"/>
      <c r="E91" s="236"/>
      <c r="F91" s="237"/>
      <c r="G91" s="249"/>
      <c r="H91" s="249"/>
      <c r="I91" s="237"/>
      <c r="J91" s="237"/>
      <c r="K91" s="250"/>
      <c r="L91" s="237"/>
      <c r="M91" s="240"/>
      <c r="N91" s="240"/>
      <c r="O91" s="240"/>
      <c r="P91" s="240"/>
      <c r="Q91" s="240"/>
      <c r="R91" s="240"/>
      <c r="S91" s="240"/>
      <c r="T91" s="240"/>
      <c r="U91" s="240"/>
    </row>
    <row r="92" spans="2:21" s="41" customFormat="1" ht="30.75" customHeight="1" x14ac:dyDescent="0.2">
      <c r="B92" s="61" t="str">
        <f>IF(AND(E74="Yes", E75&gt;=8), "8.", "")</f>
        <v/>
      </c>
      <c r="C92" s="101"/>
      <c r="D92" s="101"/>
      <c r="E92" s="236"/>
      <c r="F92" s="237"/>
      <c r="G92" s="249"/>
      <c r="H92" s="249"/>
      <c r="I92" s="237"/>
      <c r="J92" s="237"/>
      <c r="K92" s="250"/>
      <c r="L92" s="237"/>
      <c r="M92" s="240"/>
      <c r="N92" s="240"/>
      <c r="O92" s="240"/>
      <c r="P92" s="240"/>
      <c r="Q92" s="240"/>
      <c r="R92" s="240"/>
      <c r="S92" s="240"/>
      <c r="T92" s="240"/>
      <c r="U92" s="240"/>
    </row>
    <row r="93" spans="2:21" s="41" customFormat="1" ht="30.75" customHeight="1" x14ac:dyDescent="0.2">
      <c r="B93" s="61" t="str">
        <f>IF(AND(E74="Yes", E75&gt;=9), "9.", "")</f>
        <v/>
      </c>
      <c r="C93" s="101"/>
      <c r="D93" s="101"/>
      <c r="E93" s="236"/>
      <c r="F93" s="237"/>
      <c r="G93" s="249"/>
      <c r="H93" s="249"/>
      <c r="I93" s="237"/>
      <c r="J93" s="237"/>
      <c r="K93" s="250"/>
      <c r="L93" s="237"/>
      <c r="M93" s="240"/>
      <c r="N93" s="240"/>
      <c r="O93" s="240"/>
      <c r="P93" s="240"/>
      <c r="Q93" s="240"/>
      <c r="R93" s="240"/>
      <c r="S93" s="240"/>
      <c r="T93" s="240"/>
      <c r="U93" s="240"/>
    </row>
    <row r="94" spans="2:21" s="41" customFormat="1" ht="30.75" customHeight="1" x14ac:dyDescent="0.2">
      <c r="B94" s="61" t="str">
        <f>IF(AND(E74="Yes", E75&gt;=10), "10.", "")</f>
        <v/>
      </c>
      <c r="C94" s="101"/>
      <c r="D94" s="101"/>
      <c r="E94" s="236"/>
      <c r="F94" s="237"/>
      <c r="G94" s="249"/>
      <c r="H94" s="249"/>
      <c r="I94" s="237"/>
      <c r="J94" s="237"/>
      <c r="K94" s="250"/>
      <c r="L94" s="237"/>
      <c r="M94" s="240"/>
      <c r="N94" s="240"/>
      <c r="O94" s="240"/>
      <c r="P94" s="240"/>
      <c r="Q94" s="240"/>
      <c r="R94" s="240"/>
      <c r="S94" s="240"/>
      <c r="T94" s="240"/>
      <c r="U94" s="240"/>
    </row>
    <row r="95" spans="2:21" s="41" customFormat="1" ht="30.75" customHeight="1" x14ac:dyDescent="0.2">
      <c r="B95" s="61" t="str">
        <f>IF(AND(E74="Yes", E75&gt;=11), "11.", "")</f>
        <v/>
      </c>
      <c r="C95" s="101"/>
      <c r="D95" s="101"/>
      <c r="E95" s="236"/>
      <c r="F95" s="237"/>
      <c r="G95" s="249"/>
      <c r="H95" s="249"/>
      <c r="I95" s="237"/>
      <c r="J95" s="237"/>
      <c r="K95" s="250"/>
      <c r="L95" s="237"/>
      <c r="M95" s="240"/>
      <c r="N95" s="240"/>
      <c r="O95" s="240"/>
      <c r="P95" s="240"/>
      <c r="Q95" s="240"/>
      <c r="R95" s="240"/>
      <c r="S95" s="240"/>
      <c r="T95" s="240"/>
      <c r="U95" s="240"/>
    </row>
    <row r="96" spans="2:21" s="41" customFormat="1" ht="30.75" customHeight="1" x14ac:dyDescent="0.2">
      <c r="B96" s="61" t="str">
        <f>IF(AND(E74="Yes", E75&gt;=12), "12.", "")</f>
        <v/>
      </c>
      <c r="C96" s="101"/>
      <c r="D96" s="101"/>
      <c r="E96" s="236"/>
      <c r="F96" s="237"/>
      <c r="G96" s="249"/>
      <c r="H96" s="249"/>
      <c r="I96" s="237"/>
      <c r="J96" s="237"/>
      <c r="K96" s="250"/>
      <c r="L96" s="237"/>
      <c r="M96" s="240"/>
      <c r="N96" s="240"/>
      <c r="O96" s="240"/>
      <c r="P96" s="240"/>
      <c r="Q96" s="240"/>
      <c r="R96" s="240"/>
      <c r="S96" s="240"/>
      <c r="T96" s="240"/>
      <c r="U96" s="240"/>
    </row>
    <row r="97" spans="2:29" s="41" customFormat="1" ht="30.75" customHeight="1" x14ac:dyDescent="0.2">
      <c r="B97" s="61" t="str">
        <f>IF(AND($E$74="Yes", $E$75&gt;=13), "13.", "")</f>
        <v/>
      </c>
      <c r="C97" s="101"/>
      <c r="D97" s="101"/>
      <c r="E97" s="236"/>
      <c r="F97" s="237"/>
      <c r="G97" s="249"/>
      <c r="H97" s="249"/>
      <c r="I97" s="237"/>
      <c r="J97" s="237"/>
      <c r="K97" s="250"/>
      <c r="L97" s="237"/>
      <c r="M97" s="240"/>
      <c r="N97" s="240"/>
      <c r="O97" s="240"/>
      <c r="P97" s="240"/>
      <c r="Q97" s="240"/>
      <c r="R97" s="240"/>
      <c r="S97" s="240"/>
      <c r="T97" s="240"/>
      <c r="U97" s="240"/>
    </row>
    <row r="98" spans="2:29" s="41" customFormat="1" ht="30.75" customHeight="1" x14ac:dyDescent="0.2">
      <c r="B98" s="61" t="str">
        <f>IF(AND($E$74="Yes", $E$75&gt;=14), "14.", "")</f>
        <v/>
      </c>
      <c r="C98" s="101"/>
      <c r="D98" s="101"/>
      <c r="E98" s="236"/>
      <c r="F98" s="237"/>
      <c r="G98" s="249"/>
      <c r="H98" s="249"/>
      <c r="I98" s="237"/>
      <c r="J98" s="237"/>
      <c r="K98" s="250"/>
      <c r="L98" s="237"/>
      <c r="M98" s="240"/>
      <c r="N98" s="240"/>
      <c r="O98" s="240"/>
      <c r="P98" s="240"/>
      <c r="Q98" s="240"/>
      <c r="R98" s="240"/>
      <c r="S98" s="240"/>
      <c r="T98" s="240"/>
      <c r="U98" s="240"/>
    </row>
    <row r="99" spans="2:29" s="41" customFormat="1" ht="30.75" customHeight="1" x14ac:dyDescent="0.2">
      <c r="B99" s="61" t="str">
        <f>IF(AND($E$74="Yes", $E$75&gt;=15), "15.", "")</f>
        <v/>
      </c>
      <c r="C99" s="101"/>
      <c r="D99" s="101"/>
      <c r="E99" s="236"/>
      <c r="F99" s="237"/>
      <c r="G99" s="249"/>
      <c r="H99" s="249"/>
      <c r="I99" s="237"/>
      <c r="J99" s="237"/>
      <c r="K99" s="250"/>
      <c r="L99" s="237"/>
      <c r="M99" s="240"/>
      <c r="N99" s="240"/>
      <c r="O99" s="240"/>
      <c r="P99" s="240"/>
      <c r="Q99" s="240"/>
      <c r="R99" s="240"/>
      <c r="S99" s="240"/>
      <c r="T99" s="240"/>
      <c r="U99" s="240"/>
    </row>
    <row r="100" spans="2:29" s="41" customFormat="1" x14ac:dyDescent="0.25">
      <c r="C100" s="215"/>
      <c r="D100" s="215"/>
      <c r="E100" s="241"/>
      <c r="F100" s="242"/>
      <c r="G100" s="242"/>
      <c r="H100" s="243"/>
    </row>
    <row r="101" spans="2:29" s="41" customFormat="1" ht="14.25" x14ac:dyDescent="0.2"/>
    <row r="102" spans="2:29" s="41" customFormat="1" ht="52.5" customHeight="1" x14ac:dyDescent="0.2">
      <c r="C102" s="601" t="str">
        <f>IF(AND(E74="Yes", E76&gt;=1),"List All Satellite Locations 
(Out of State)", "")</f>
        <v/>
      </c>
      <c r="D102" s="601"/>
      <c r="E102" s="601"/>
      <c r="F102" s="601"/>
      <c r="G102" s="601"/>
      <c r="H102" s="601"/>
      <c r="I102" s="601"/>
      <c r="J102" s="601"/>
      <c r="K102" s="601"/>
      <c r="L102" s="601"/>
      <c r="M102" s="601"/>
      <c r="N102" s="601"/>
    </row>
    <row r="103" spans="2:29" s="41" customFormat="1" ht="43.5" customHeight="1" x14ac:dyDescent="0.2">
      <c r="C103" s="600" t="str">
        <f>IF(AND(E74="Yes", E76&gt;=1),"          CoAEMSP Policy XII.C.  The program must have a formal relationship with a physician currently authorized to practice in each state where the "&amp;"program’s students are participating in patient care, to accept responsibility for the 
                                                     practice of those students.","")</f>
        <v/>
      </c>
      <c r="D103" s="600"/>
      <c r="E103" s="600"/>
      <c r="F103" s="600"/>
      <c r="G103" s="600"/>
      <c r="H103" s="600"/>
      <c r="I103" s="600"/>
      <c r="J103" s="600"/>
      <c r="K103" s="600"/>
      <c r="L103" s="600"/>
      <c r="M103" s="600"/>
      <c r="N103" s="600"/>
    </row>
    <row r="104" spans="2:29" s="41" customFormat="1" ht="43.5" customHeight="1" x14ac:dyDescent="0.2">
      <c r="C104" s="600" t="str">
        <f>IF(AND(E74="Yes", E76&gt;=1),"          CoAEMSP Policy XII.D.  For each state in which the program has enrolled students, the program must document that it has successfully notified the  "&amp;"State EMS office that the program has students in that state 
                                                    (e.g., clinical/field affiliates, distance ed students)","")</f>
        <v/>
      </c>
      <c r="D104" s="600"/>
      <c r="E104" s="600"/>
      <c r="F104" s="600"/>
      <c r="G104" s="600"/>
      <c r="H104" s="600"/>
      <c r="I104" s="600"/>
      <c r="J104" s="600"/>
      <c r="K104" s="600"/>
      <c r="L104" s="600"/>
      <c r="M104" s="600"/>
      <c r="N104" s="600"/>
    </row>
    <row r="105" spans="2:29" s="41" customFormat="1" ht="98.25" customHeight="1" x14ac:dyDescent="0.25">
      <c r="C105" s="133" t="str">
        <f>IF(AND(E74="Yes", E76&gt;=1),"Satellite Name","")</f>
        <v/>
      </c>
      <c r="D105" s="133" t="str">
        <f>IF(AND(E74="Yes", E76&gt;=1),"Satellite City","")</f>
        <v/>
      </c>
      <c r="E105" s="133" t="str">
        <f>IF(AND(E74="Yes", E76&gt;=1),"Satellite State","")</f>
        <v/>
      </c>
      <c r="F105" s="133" t="str">
        <f>IF(AND(E74="Yes", E76&gt;=1),"Distance (Miles) from Main Campus","")</f>
        <v/>
      </c>
      <c r="G105" s="133" t="str">
        <f>IF(AND(E74="Yes", E76&gt;=1),"Length of Program 
(months)", "")</f>
        <v/>
      </c>
      <c r="H105" s="133" t="str">
        <f>IF(AND(E74="Yes", E76&gt;=1),"Next Start Date
mm/dd/yyyy","")</f>
        <v/>
      </c>
      <c r="I105" s="133" t="str">
        <f>IF(AND(E74="Yes", E76&gt;=1),"Next Graduation Date
mm/dd/yyyy","")</f>
        <v/>
      </c>
      <c r="J105" s="133" t="str">
        <f>IF(AND(E74="Yes", E76&gt;=1),"Maximum Student Enrollment Per Cohort","")</f>
        <v/>
      </c>
      <c r="K105" s="133" t="str">
        <f>IF(AND(E74="Yes", E76&gt;=1),"Frequency of Cohort Enrollment Annually", "")</f>
        <v/>
      </c>
      <c r="L105" s="209" t="str">
        <f>IF(AND(E74="Yes", E76&gt;=1),"Last Name of CoAEMSP Approved Lead Instructor Assigned","")</f>
        <v/>
      </c>
      <c r="M105" s="209" t="str">
        <f>IF(AND(E74="Yes", E76&gt;=1),"Name of Medical Director Assigned","")</f>
        <v/>
      </c>
      <c r="N105" s="209" t="str">
        <f>IF(AND(E74="Yes", E76&gt;=1),"Satellite CoAEMSP Approved?","")</f>
        <v/>
      </c>
      <c r="O105" s="244"/>
      <c r="P105" s="244"/>
      <c r="Q105" s="244"/>
      <c r="R105" s="244"/>
    </row>
    <row r="106" spans="2:29" s="41" customFormat="1" ht="30.75" customHeight="1" x14ac:dyDescent="0.2">
      <c r="B106" s="61" t="str">
        <f>IF(AND(E74="Yes", E76&gt;=1), "1.", "")</f>
        <v/>
      </c>
      <c r="C106" s="245"/>
      <c r="D106" s="245"/>
      <c r="E106" s="102"/>
      <c r="F106" s="236"/>
      <c r="G106" s="237"/>
      <c r="H106" s="249"/>
      <c r="I106" s="249"/>
      <c r="J106" s="237"/>
      <c r="K106" s="237"/>
      <c r="L106" s="250"/>
      <c r="M106" s="250"/>
      <c r="N106" s="237"/>
      <c r="O106" s="597" t="str">
        <f>IF(OR(AND($B106&lt;&gt;"",$N106="No"),AND($B107&lt;&gt;"",$N107="No"),AND($B108&lt;&gt;"",$N108="No"),AND($B109&lt;&gt;"",$N109="No"),AND($B110&lt;&gt;"",$N110="No"),AND($B111&lt;&gt;"",$N111="No"),AND($B112&lt;&gt;"",$N112="No"),AND($B113&lt;&gt;"",$N113="No"),AND($B114&lt;&gt;"",$N114="No"),AND($B115&lt;&gt;"",$N115="No"),AND($B116&lt;&gt;"",$N116="No"),AND($B117&lt;&gt;"",$N117="No"),AND($B118&lt;&gt;"",$N118="No"),AND($B119&lt;&gt;"",$N119="No"),AND($B120&lt;&gt;"",$N120="No")),"[CoAEMSP Policy XIII.C.3]   CoAEMSP approval is required for all Satellite Locations.
A separate CoAEMSP Request for Approval of a Satellite Location form 
must be completed for each location not currently CoAEMSP approved.","")</f>
        <v/>
      </c>
      <c r="P106" s="597"/>
      <c r="Q106" s="597"/>
      <c r="R106" s="597"/>
      <c r="S106" s="597"/>
      <c r="T106" s="597"/>
      <c r="U106" s="247"/>
      <c r="V106" s="247"/>
      <c r="W106" s="247"/>
      <c r="X106" s="247"/>
      <c r="Y106" s="247"/>
      <c r="Z106" s="247"/>
      <c r="AA106" s="247"/>
      <c r="AB106" s="247"/>
      <c r="AC106" s="247"/>
    </row>
    <row r="107" spans="2:29" s="41" customFormat="1" ht="30.75" customHeight="1" x14ac:dyDescent="0.2">
      <c r="B107" s="61" t="str">
        <f>IF(AND(E74="Yes", E76&gt;=2), "2.", "")</f>
        <v/>
      </c>
      <c r="C107" s="245"/>
      <c r="D107" s="245"/>
      <c r="E107" s="102"/>
      <c r="F107" s="236"/>
      <c r="G107" s="237"/>
      <c r="H107" s="249"/>
      <c r="I107" s="249"/>
      <c r="J107" s="237"/>
      <c r="K107" s="237"/>
      <c r="L107" s="250"/>
      <c r="M107" s="250"/>
      <c r="N107" s="237"/>
      <c r="O107" s="597"/>
      <c r="P107" s="597"/>
      <c r="Q107" s="597"/>
      <c r="R107" s="597"/>
      <c r="S107" s="597"/>
      <c r="T107" s="597"/>
      <c r="U107" s="247"/>
      <c r="V107" s="247"/>
      <c r="W107" s="247"/>
      <c r="X107" s="247"/>
      <c r="Y107" s="247"/>
      <c r="Z107" s="247"/>
      <c r="AA107" s="247"/>
      <c r="AB107" s="247"/>
      <c r="AC107" s="247"/>
    </row>
    <row r="108" spans="2:29" s="41" customFormat="1" ht="30.75" customHeight="1" x14ac:dyDescent="0.2">
      <c r="B108" s="61" t="str">
        <f>IF(AND(E74="Yes", E76&gt;=3), "3.", "")</f>
        <v/>
      </c>
      <c r="C108" s="245"/>
      <c r="D108" s="245"/>
      <c r="E108" s="102"/>
      <c r="F108" s="236"/>
      <c r="G108" s="237"/>
      <c r="H108" s="249"/>
      <c r="I108" s="249"/>
      <c r="J108" s="237"/>
      <c r="K108" s="237"/>
      <c r="L108" s="250"/>
      <c r="M108" s="250"/>
      <c r="N108" s="237"/>
      <c r="O108" s="597"/>
      <c r="P108" s="597"/>
      <c r="Q108" s="597"/>
      <c r="R108" s="597"/>
      <c r="S108" s="597"/>
      <c r="T108" s="597"/>
      <c r="U108" s="247"/>
      <c r="V108" s="247"/>
      <c r="W108" s="247"/>
      <c r="X108" s="247"/>
      <c r="Y108" s="247"/>
      <c r="Z108" s="247"/>
      <c r="AA108" s="247"/>
      <c r="AB108" s="247"/>
      <c r="AC108" s="247"/>
    </row>
    <row r="109" spans="2:29" s="41" customFormat="1" ht="30.75" customHeight="1" x14ac:dyDescent="0.2">
      <c r="B109" s="61" t="str">
        <f>IF(AND(E74="Yes", E76&gt;=4), "4.", "")</f>
        <v/>
      </c>
      <c r="C109" s="245"/>
      <c r="D109" s="245"/>
      <c r="E109" s="102"/>
      <c r="F109" s="236"/>
      <c r="G109" s="237"/>
      <c r="H109" s="249"/>
      <c r="I109" s="249"/>
      <c r="J109" s="237"/>
      <c r="K109" s="237"/>
      <c r="L109" s="250"/>
      <c r="M109" s="250"/>
      <c r="N109" s="237"/>
      <c r="O109" s="597"/>
      <c r="P109" s="597"/>
      <c r="Q109" s="597"/>
      <c r="R109" s="597"/>
      <c r="S109" s="597"/>
      <c r="T109" s="597"/>
      <c r="U109" s="247"/>
      <c r="V109" s="247"/>
      <c r="W109" s="247"/>
      <c r="X109" s="247"/>
      <c r="Y109" s="247"/>
      <c r="Z109" s="247"/>
      <c r="AA109" s="247"/>
      <c r="AB109" s="247"/>
      <c r="AC109" s="247"/>
    </row>
    <row r="110" spans="2:29" s="41" customFormat="1" ht="30.75" customHeight="1" x14ac:dyDescent="0.2">
      <c r="B110" s="61" t="str">
        <f>IF(AND(E74="Yes", E76&gt;=5), "5.", "")</f>
        <v/>
      </c>
      <c r="C110" s="245"/>
      <c r="D110" s="245"/>
      <c r="E110" s="102"/>
      <c r="F110" s="236"/>
      <c r="G110" s="237"/>
      <c r="H110" s="249"/>
      <c r="I110" s="249"/>
      <c r="J110" s="237"/>
      <c r="K110" s="237"/>
      <c r="L110" s="250"/>
      <c r="M110" s="250"/>
      <c r="N110" s="237"/>
      <c r="O110" s="246"/>
      <c r="P110" s="246"/>
      <c r="Q110" s="246"/>
      <c r="R110" s="246"/>
      <c r="S110" s="247"/>
      <c r="T110" s="247"/>
      <c r="U110" s="247"/>
      <c r="V110" s="247"/>
      <c r="W110" s="247"/>
      <c r="X110" s="247"/>
      <c r="Y110" s="247"/>
      <c r="Z110" s="247"/>
      <c r="AA110" s="247"/>
      <c r="AB110" s="247"/>
      <c r="AC110" s="247"/>
    </row>
    <row r="111" spans="2:29" s="41" customFormat="1" ht="30.75" customHeight="1" x14ac:dyDescent="0.2">
      <c r="B111" s="61" t="str">
        <f>IF(AND(E74="Yes", E76&gt;=6), "6.", "")</f>
        <v/>
      </c>
      <c r="C111" s="245"/>
      <c r="D111" s="245"/>
      <c r="E111" s="102"/>
      <c r="F111" s="236"/>
      <c r="G111" s="237"/>
      <c r="H111" s="249"/>
      <c r="I111" s="249"/>
      <c r="J111" s="237"/>
      <c r="K111" s="237"/>
      <c r="L111" s="250"/>
      <c r="M111" s="250"/>
      <c r="N111" s="237"/>
      <c r="O111" s="246"/>
      <c r="P111" s="246"/>
      <c r="Q111" s="246"/>
      <c r="R111" s="246"/>
      <c r="S111" s="247"/>
      <c r="T111" s="247"/>
      <c r="U111" s="247"/>
      <c r="V111" s="247"/>
      <c r="W111" s="247"/>
      <c r="X111" s="247"/>
      <c r="Y111" s="247"/>
      <c r="Z111" s="247"/>
      <c r="AA111" s="247"/>
      <c r="AB111" s="247"/>
      <c r="AC111" s="247"/>
    </row>
    <row r="112" spans="2:29" s="41" customFormat="1" ht="30.75" customHeight="1" x14ac:dyDescent="0.2">
      <c r="B112" s="61" t="str">
        <f>IF(AND(E74="Yes", E76&gt;=7), "7.", "")</f>
        <v/>
      </c>
      <c r="C112" s="245"/>
      <c r="D112" s="245"/>
      <c r="E112" s="102"/>
      <c r="F112" s="236"/>
      <c r="G112" s="237"/>
      <c r="H112" s="249"/>
      <c r="I112" s="249"/>
      <c r="J112" s="237"/>
      <c r="K112" s="237"/>
      <c r="L112" s="250"/>
      <c r="M112" s="250"/>
      <c r="N112" s="237"/>
      <c r="O112" s="246"/>
      <c r="P112" s="246"/>
      <c r="Q112" s="246"/>
      <c r="R112" s="246"/>
      <c r="S112" s="247"/>
      <c r="T112" s="247"/>
      <c r="U112" s="247"/>
      <c r="V112" s="247"/>
      <c r="W112" s="247"/>
      <c r="X112" s="247"/>
      <c r="Y112" s="247"/>
      <c r="Z112" s="247"/>
      <c r="AA112" s="247"/>
      <c r="AB112" s="247"/>
      <c r="AC112" s="247"/>
    </row>
    <row r="113" spans="2:110" s="41" customFormat="1" ht="30.75" customHeight="1" x14ac:dyDescent="0.2">
      <c r="B113" s="61" t="str">
        <f>IF(AND(E74="Yes", E76&gt;=8), "8.", "")</f>
        <v/>
      </c>
      <c r="C113" s="245"/>
      <c r="D113" s="245"/>
      <c r="E113" s="102"/>
      <c r="F113" s="236"/>
      <c r="G113" s="237"/>
      <c r="H113" s="249"/>
      <c r="I113" s="249"/>
      <c r="J113" s="237"/>
      <c r="K113" s="237"/>
      <c r="L113" s="250"/>
      <c r="M113" s="250"/>
      <c r="N113" s="237"/>
      <c r="O113" s="246"/>
      <c r="P113" s="246"/>
      <c r="Q113" s="246"/>
      <c r="R113" s="246"/>
      <c r="S113" s="247"/>
      <c r="T113" s="247"/>
      <c r="U113" s="247"/>
      <c r="V113" s="247"/>
      <c r="W113" s="247"/>
      <c r="X113" s="247"/>
      <c r="Y113" s="247"/>
      <c r="Z113" s="247"/>
      <c r="AA113" s="247"/>
      <c r="AB113" s="247"/>
      <c r="AC113" s="247"/>
    </row>
    <row r="114" spans="2:110" s="41" customFormat="1" ht="30.75" customHeight="1" x14ac:dyDescent="0.2">
      <c r="B114" s="61" t="str">
        <f>IF(AND(E74="Yes", E76&gt;=9), "9.", "")</f>
        <v/>
      </c>
      <c r="C114" s="245"/>
      <c r="D114" s="245"/>
      <c r="E114" s="102"/>
      <c r="F114" s="236"/>
      <c r="G114" s="237"/>
      <c r="H114" s="249"/>
      <c r="I114" s="249"/>
      <c r="J114" s="237"/>
      <c r="K114" s="237"/>
      <c r="L114" s="250"/>
      <c r="M114" s="250"/>
      <c r="N114" s="237"/>
      <c r="O114" s="246"/>
      <c r="P114" s="246"/>
      <c r="Q114" s="246"/>
      <c r="R114" s="246"/>
      <c r="S114" s="247"/>
      <c r="T114" s="247"/>
      <c r="U114" s="247"/>
      <c r="V114" s="247"/>
      <c r="W114" s="247"/>
      <c r="X114" s="247"/>
      <c r="Y114" s="247"/>
      <c r="Z114" s="247"/>
      <c r="AA114" s="247"/>
      <c r="AB114" s="247"/>
      <c r="AC114" s="247"/>
    </row>
    <row r="115" spans="2:110" s="41" customFormat="1" ht="30.75" customHeight="1" x14ac:dyDescent="0.2">
      <c r="B115" s="61" t="str">
        <f>IF(AND(E74="Yes", E76&gt;=10), "10.", "")</f>
        <v/>
      </c>
      <c r="C115" s="245"/>
      <c r="D115" s="245"/>
      <c r="E115" s="102"/>
      <c r="F115" s="236"/>
      <c r="G115" s="237"/>
      <c r="H115" s="249"/>
      <c r="I115" s="249"/>
      <c r="J115" s="237"/>
      <c r="K115" s="237"/>
      <c r="L115" s="250"/>
      <c r="M115" s="250"/>
      <c r="N115" s="237"/>
      <c r="O115" s="246"/>
      <c r="P115" s="246"/>
      <c r="Q115" s="246"/>
      <c r="R115" s="246"/>
      <c r="S115" s="247"/>
      <c r="T115" s="247"/>
      <c r="U115" s="247"/>
      <c r="V115" s="247"/>
      <c r="W115" s="247"/>
      <c r="X115" s="247"/>
      <c r="Y115" s="247"/>
      <c r="Z115" s="247"/>
      <c r="AA115" s="247"/>
      <c r="AB115" s="247"/>
      <c r="AC115" s="247"/>
    </row>
    <row r="116" spans="2:110" s="41" customFormat="1" ht="30.75" customHeight="1" x14ac:dyDescent="0.2">
      <c r="B116" s="61" t="str">
        <f>IF(AND(E74="Yes", E76&gt;=11), "11.", "")</f>
        <v/>
      </c>
      <c r="C116" s="245"/>
      <c r="D116" s="245"/>
      <c r="E116" s="102"/>
      <c r="F116" s="236"/>
      <c r="G116" s="237"/>
      <c r="H116" s="249"/>
      <c r="I116" s="249"/>
      <c r="J116" s="237"/>
      <c r="K116" s="237"/>
      <c r="L116" s="250"/>
      <c r="M116" s="250"/>
      <c r="N116" s="237"/>
      <c r="O116" s="246"/>
      <c r="P116" s="246"/>
      <c r="Q116" s="246"/>
      <c r="R116" s="246"/>
      <c r="S116" s="247"/>
      <c r="T116" s="247"/>
      <c r="U116" s="247"/>
      <c r="V116" s="247"/>
      <c r="W116" s="247"/>
      <c r="X116" s="247"/>
      <c r="Y116" s="247"/>
      <c r="Z116" s="247"/>
      <c r="AA116" s="247"/>
      <c r="AB116" s="247"/>
      <c r="AC116" s="247"/>
    </row>
    <row r="117" spans="2:110" s="41" customFormat="1" ht="30.75" customHeight="1" x14ac:dyDescent="0.2">
      <c r="B117" s="61" t="str">
        <f>IF(AND(E74="Yes", E76&gt;=12), "12.", "")</f>
        <v/>
      </c>
      <c r="C117" s="245"/>
      <c r="D117" s="245"/>
      <c r="E117" s="102"/>
      <c r="F117" s="236"/>
      <c r="G117" s="237"/>
      <c r="H117" s="249"/>
      <c r="I117" s="249"/>
      <c r="J117" s="237"/>
      <c r="K117" s="237"/>
      <c r="L117" s="250"/>
      <c r="M117" s="250"/>
      <c r="N117" s="237"/>
      <c r="O117" s="246"/>
      <c r="P117" s="246"/>
      <c r="Q117" s="246"/>
      <c r="R117" s="246"/>
      <c r="S117" s="247"/>
      <c r="T117" s="247"/>
      <c r="U117" s="247"/>
      <c r="V117" s="247"/>
      <c r="W117" s="247"/>
      <c r="X117" s="247"/>
      <c r="Y117" s="247"/>
      <c r="Z117" s="247"/>
      <c r="AA117" s="247"/>
      <c r="AB117" s="247"/>
      <c r="AC117" s="247"/>
    </row>
    <row r="118" spans="2:110" s="41" customFormat="1" ht="30.75" customHeight="1" x14ac:dyDescent="0.2">
      <c r="B118" s="61" t="str">
        <f>IF(AND($E$74="Yes", $E$76&gt;=13), "13.", "")</f>
        <v/>
      </c>
      <c r="C118" s="245"/>
      <c r="D118" s="245"/>
      <c r="E118" s="102"/>
      <c r="F118" s="236"/>
      <c r="G118" s="237"/>
      <c r="H118" s="249"/>
      <c r="I118" s="249"/>
      <c r="J118" s="237"/>
      <c r="K118" s="237"/>
      <c r="L118" s="250"/>
      <c r="M118" s="250"/>
      <c r="N118" s="237"/>
      <c r="O118" s="246"/>
      <c r="P118" s="246"/>
      <c r="Q118" s="246"/>
      <c r="R118" s="246"/>
      <c r="S118" s="247"/>
      <c r="T118" s="247"/>
      <c r="U118" s="247"/>
      <c r="V118" s="247"/>
      <c r="W118" s="247"/>
      <c r="X118" s="247"/>
      <c r="Y118" s="247"/>
      <c r="Z118" s="247"/>
      <c r="AA118" s="247"/>
      <c r="AB118" s="247"/>
      <c r="AC118" s="247"/>
    </row>
    <row r="119" spans="2:110" s="41" customFormat="1" ht="30.75" customHeight="1" x14ac:dyDescent="0.2">
      <c r="B119" s="61" t="str">
        <f>IF(AND($E$74="Yes", $E$76&gt;=14), "14.", "")</f>
        <v/>
      </c>
      <c r="C119" s="245"/>
      <c r="D119" s="245"/>
      <c r="E119" s="102"/>
      <c r="F119" s="236"/>
      <c r="G119" s="237"/>
      <c r="H119" s="249"/>
      <c r="I119" s="249"/>
      <c r="J119" s="237"/>
      <c r="K119" s="237"/>
      <c r="L119" s="250"/>
      <c r="M119" s="250"/>
      <c r="N119" s="237"/>
      <c r="O119" s="246"/>
      <c r="P119" s="246"/>
      <c r="Q119" s="246"/>
      <c r="R119" s="246"/>
      <c r="S119" s="247"/>
      <c r="T119" s="247"/>
      <c r="U119" s="247"/>
      <c r="V119" s="247"/>
      <c r="W119" s="247"/>
      <c r="X119" s="247"/>
      <c r="Y119" s="247"/>
      <c r="Z119" s="247"/>
      <c r="AA119" s="247"/>
      <c r="AB119" s="247"/>
      <c r="AC119" s="247"/>
    </row>
    <row r="120" spans="2:110" s="41" customFormat="1" ht="30.75" customHeight="1" x14ac:dyDescent="0.2">
      <c r="B120" s="61" t="str">
        <f>IF(AND($E$74="Yes", $E$76&gt;=15), "15.", "")</f>
        <v/>
      </c>
      <c r="C120" s="245"/>
      <c r="D120" s="245"/>
      <c r="E120" s="102"/>
      <c r="F120" s="236"/>
      <c r="G120" s="237"/>
      <c r="H120" s="249"/>
      <c r="I120" s="249"/>
      <c r="J120" s="237"/>
      <c r="K120" s="237"/>
      <c r="L120" s="250"/>
      <c r="M120" s="250"/>
      <c r="N120" s="237"/>
      <c r="O120" s="246"/>
      <c r="P120" s="246"/>
      <c r="Q120" s="246"/>
      <c r="R120" s="246"/>
      <c r="S120" s="247"/>
      <c r="T120" s="247"/>
      <c r="U120" s="247"/>
      <c r="V120" s="247"/>
      <c r="W120" s="247"/>
      <c r="X120" s="247"/>
      <c r="Y120" s="247"/>
      <c r="Z120" s="247"/>
      <c r="AA120" s="247"/>
      <c r="AB120" s="247"/>
      <c r="AC120" s="247"/>
    </row>
    <row r="121" spans="2:110" s="41" customFormat="1" ht="14.25" x14ac:dyDescent="0.2"/>
    <row r="122" spans="2:110" s="41" customFormat="1" ht="14.25" x14ac:dyDescent="0.2"/>
    <row r="123" spans="2:110" s="41" customFormat="1" ht="14.25" x14ac:dyDescent="0.2"/>
    <row r="124" spans="2:110" s="41" customFormat="1" ht="111" customHeight="1" x14ac:dyDescent="0.2">
      <c r="C124" s="603" t="str">
        <f>IF(OR(AND(E74="Yes", E76&gt;=1),AND(E74="Yes",E75&gt;=1)),"All CoAEMSP approved Satellite Locations are listed on the Personnel Verification document "&amp;" 
which is titled '17 Personnel' in the Documentation sub-folder.  ==&gt;","")</f>
        <v/>
      </c>
      <c r="D124" s="603"/>
      <c r="E124" s="603"/>
      <c r="F124" s="603"/>
      <c r="G124" s="603"/>
      <c r="H124" s="603"/>
      <c r="I124" s="73"/>
      <c r="J124" s="599" t="str">
        <f>IF(OR(AND(E74="Yes", E76&gt;=1),AND(E74="Yes",E75&gt;=1)),"                                  17 Personnel","")</f>
        <v/>
      </c>
      <c r="K124" s="599"/>
      <c r="L124" s="599"/>
      <c r="M124" s="251"/>
      <c r="N124" s="248"/>
      <c r="O124" s="248"/>
      <c r="P124" s="248"/>
      <c r="R124" s="73"/>
      <c r="S124" s="100"/>
      <c r="T124" s="228"/>
      <c r="AA124" s="73"/>
      <c r="AB124" s="100"/>
      <c r="AC124" s="228"/>
      <c r="AJ124" s="73"/>
      <c r="AK124" s="100"/>
      <c r="AL124" s="228"/>
      <c r="AS124" s="73"/>
      <c r="AT124" s="100"/>
      <c r="AU124" s="228"/>
      <c r="BB124" s="73"/>
      <c r="BC124" s="100"/>
      <c r="BD124" s="228"/>
      <c r="BK124" s="73"/>
      <c r="BL124" s="100"/>
      <c r="BM124" s="228"/>
      <c r="BT124" s="73"/>
      <c r="BU124" s="100"/>
      <c r="BV124" s="228"/>
      <c r="CC124" s="73"/>
      <c r="CD124" s="100"/>
      <c r="CE124" s="228"/>
      <c r="CL124" s="73"/>
      <c r="CM124" s="100"/>
      <c r="CN124" s="228"/>
      <c r="CU124" s="73"/>
      <c r="CV124" s="100"/>
      <c r="CW124" s="228"/>
      <c r="DD124" s="73"/>
      <c r="DE124" s="100"/>
      <c r="DF124" s="228"/>
    </row>
    <row r="125" spans="2:110" s="41" customFormat="1" ht="14.25" x14ac:dyDescent="0.2"/>
    <row r="126" spans="2:110" s="41" customFormat="1" ht="14.25" x14ac:dyDescent="0.2"/>
    <row r="127" spans="2:110" s="41" customFormat="1" ht="84" customHeight="1" x14ac:dyDescent="0.2">
      <c r="B127" s="61"/>
      <c r="C127" s="604" t="str">
        <f>IF(OR(AND(E74="Yes", E76&gt;=1),AND(E74="Yes",E75&gt;=1)),"2. Satellite locations must function under the direction of the CAAHEP accredited " &amp;'Program Info'!B3&amp;" program and 
 cannot operate independently.  "&amp;"Students enrolled in a satellite " &amp;'Program Info'!B3&amp;"program must receive the same 
 level of instruction and evaluation as those students enrolled in the main campus location.","")</f>
        <v/>
      </c>
      <c r="D127" s="604"/>
      <c r="E127" s="604"/>
      <c r="F127" s="604"/>
      <c r="G127" s="604"/>
      <c r="H127" s="604"/>
      <c r="I127" s="104"/>
      <c r="J127" s="104"/>
      <c r="K127" s="104"/>
      <c r="L127" s="104"/>
      <c r="M127" s="8"/>
      <c r="N127" s="8"/>
      <c r="O127" s="458" t="s">
        <v>82</v>
      </c>
      <c r="P127" s="458"/>
      <c r="Q127" s="458"/>
      <c r="R127" s="8"/>
    </row>
    <row r="128" spans="2:110" s="41" customFormat="1" ht="317.25" customHeight="1" x14ac:dyDescent="0.2">
      <c r="B128" s="61"/>
      <c r="C128" s="598" t="str">
        <f>IF(OR(AND(E74="Yes", E76&gt;=1),AND(E74="Yes",E75&gt;=1)),"    Site visitors will review the Satellite Location(s) Requirements during the on-site evaluation:
               • Managed by main campus Program Director"&amp;"
                      [The Program Director is required to make an in-person visit to the satellite location(s) "&amp;"at least once per cohort.
                       Virtual visists are encouraged on a more frequent basis.]
               • Facilities floorplan"&amp;" 
               • Lead Instructor appointed responsible for on-site coordination"&amp;" 
               • Curricula consitant with main campus
               • Syllabi, scheduled hours and sequencing, student evaluation, and required competencies consistent with the main campus" &amp;"
               • Texts, assignments, and learning management platforms consistent with the main campus
               • Application of Program policies and procedures consistent with the main campus"&amp;" 
               • Students access to adequate numbers of patients, proportionally distributed by age-range, chief complaint and interventions 
                  in the delivery of"&amp;" emergency medical care appropriate to the level of the Emergency Medical Services Profession(s) for 
                  which education is being offered  
               • Required minimum competencies must be consistent with the main campus"&amp;"
               • Preceptor training consistent with the main campus
               • Faculty monitoring and oversight of the clinical, field experience, and capstone field internship experiences consistent with 
                 the main campus"&amp;" 
               • Permanent student records are maintained at the main campus","")</f>
        <v/>
      </c>
      <c r="D128" s="598"/>
      <c r="E128" s="598"/>
      <c r="F128" s="598"/>
      <c r="G128" s="598"/>
      <c r="H128" s="598"/>
      <c r="I128" s="598"/>
    </row>
    <row r="129" spans="2:11" s="41" customFormat="1" ht="14.25" x14ac:dyDescent="0.2"/>
    <row r="130" spans="2:11" s="41" customFormat="1" ht="14.25" x14ac:dyDescent="0.2"/>
    <row r="131" spans="2:11" s="41" customFormat="1" ht="131.25" customHeight="1" x14ac:dyDescent="0.2">
      <c r="C131" s="617" t="str">
        <f>IF(Instructions!A14="(LSSR)","","Student Questionnaire Reminder
Specific details along with a link to the Student Questionnaires was sent to the program in the self study due notification email.  "&amp;"Please have all current students complete the questionnaires using the link provided.")</f>
        <v/>
      </c>
      <c r="D131" s="617"/>
      <c r="E131" s="617"/>
      <c r="F131" s="617"/>
      <c r="G131" s="617"/>
      <c r="H131" s="617"/>
    </row>
    <row r="132" spans="2:11" s="41" customFormat="1" ht="14.25" x14ac:dyDescent="0.2"/>
    <row r="133" spans="2:11" s="41" customFormat="1" x14ac:dyDescent="0.25">
      <c r="C133" s="64"/>
    </row>
    <row r="134" spans="2:11" s="41" customFormat="1" ht="14.25" x14ac:dyDescent="0.2"/>
    <row r="135" spans="2:11" s="41" customFormat="1" ht="14.25" x14ac:dyDescent="0.2"/>
    <row r="136" spans="2:11" s="41" customFormat="1" ht="24" customHeight="1" x14ac:dyDescent="0.25">
      <c r="B136" s="616" t="s">
        <v>314</v>
      </c>
      <c r="C136" s="616"/>
      <c r="D136" s="616"/>
      <c r="E136" s="616"/>
      <c r="F136" s="616"/>
      <c r="G136" s="616"/>
      <c r="H136" s="616"/>
      <c r="K136" s="64"/>
    </row>
    <row r="139" spans="2:11" ht="27" customHeight="1" x14ac:dyDescent="0.25">
      <c r="B139" s="335" t="str">
        <f>IF('Title Page'!D3&lt;&gt;"Please Select",'Title Page'!D3,"")</f>
        <v/>
      </c>
      <c r="C139" s="335"/>
      <c r="D139" s="335"/>
      <c r="E139" s="335"/>
      <c r="F139" s="335"/>
      <c r="G139" s="335"/>
      <c r="H139" s="335"/>
      <c r="I139" s="335"/>
      <c r="J139" s="335"/>
    </row>
  </sheetData>
  <sheetProtection algorithmName="SHA-512" hashValue="l0VWgyPaKbvdz1wyqPkvdARxbROQjn12kANINAWBa0LjuvtTeMs73H1nD3AGu0NO6p+PL+stgWftptJG8M66wQ==" saltValue="8YINb9QG89qbFCSXYhtaPg==" spinCount="100000" sheet="1" formatRows="0" selectLockedCells="1"/>
  <mergeCells count="108">
    <mergeCell ref="CW16:CY16"/>
    <mergeCell ref="DF16:DH16"/>
    <mergeCell ref="BV16:BX16"/>
    <mergeCell ref="CE16:CG16"/>
    <mergeCell ref="CN16:CP16"/>
    <mergeCell ref="B139:J139"/>
    <mergeCell ref="DF17:DH17"/>
    <mergeCell ref="C21:H21"/>
    <mergeCell ref="K17:M17"/>
    <mergeCell ref="T17:V17"/>
    <mergeCell ref="AC17:AE17"/>
    <mergeCell ref="AL17:AN17"/>
    <mergeCell ref="AU17:AW17"/>
    <mergeCell ref="BD17:BF17"/>
    <mergeCell ref="BM17:BO17"/>
    <mergeCell ref="CW17:CY17"/>
    <mergeCell ref="CN17:CP17"/>
    <mergeCell ref="CE17:CG17"/>
    <mergeCell ref="BV17:BX17"/>
    <mergeCell ref="C17:D17"/>
    <mergeCell ref="C18:D18"/>
    <mergeCell ref="B136:H136"/>
    <mergeCell ref="C131:H131"/>
    <mergeCell ref="BD16:BF16"/>
    <mergeCell ref="BM16:BO16"/>
    <mergeCell ref="C16:D16"/>
    <mergeCell ref="K16:M16"/>
    <mergeCell ref="T16:V16"/>
    <mergeCell ref="C5:F5"/>
    <mergeCell ref="C11:H11"/>
    <mergeCell ref="C10:H10"/>
    <mergeCell ref="A8:N9"/>
    <mergeCell ref="T75:V75"/>
    <mergeCell ref="AC75:AE75"/>
    <mergeCell ref="H68:J68"/>
    <mergeCell ref="K68:O68"/>
    <mergeCell ref="C69:H69"/>
    <mergeCell ref="C70:H70"/>
    <mergeCell ref="C74:D74"/>
    <mergeCell ref="AU75:AW75"/>
    <mergeCell ref="BD75:BF75"/>
    <mergeCell ref="BM75:BO75"/>
    <mergeCell ref="P54:Z54"/>
    <mergeCell ref="P55:Z55"/>
    <mergeCell ref="P56:Z56"/>
    <mergeCell ref="P48:Z48"/>
    <mergeCell ref="P49:Z49"/>
    <mergeCell ref="P50:Z50"/>
    <mergeCell ref="B2:H2"/>
    <mergeCell ref="H5:J5"/>
    <mergeCell ref="K5:O5"/>
    <mergeCell ref="C15:D15"/>
    <mergeCell ref="AC16:AE16"/>
    <mergeCell ref="AL16:AN16"/>
    <mergeCell ref="AU16:AW16"/>
    <mergeCell ref="B3:L3"/>
    <mergeCell ref="A66:N67"/>
    <mergeCell ref="P59:Z59"/>
    <mergeCell ref="P60:Z60"/>
    <mergeCell ref="P61:Z61"/>
    <mergeCell ref="C45:J45"/>
    <mergeCell ref="C44:J44"/>
    <mergeCell ref="C43:J43"/>
    <mergeCell ref="I26:M28"/>
    <mergeCell ref="C23:H23"/>
    <mergeCell ref="C24:H24"/>
    <mergeCell ref="P47:Z47"/>
    <mergeCell ref="P57:Z57"/>
    <mergeCell ref="P58:Z58"/>
    <mergeCell ref="P52:Z52"/>
    <mergeCell ref="P53:Z53"/>
    <mergeCell ref="P51:Z51"/>
    <mergeCell ref="BV75:BX75"/>
    <mergeCell ref="CE75:CG75"/>
    <mergeCell ref="CN75:CP75"/>
    <mergeCell ref="CW75:CY75"/>
    <mergeCell ref="DF75:DH75"/>
    <mergeCell ref="C76:D76"/>
    <mergeCell ref="K76:M76"/>
    <mergeCell ref="T76:V76"/>
    <mergeCell ref="AC76:AE76"/>
    <mergeCell ref="AL76:AN76"/>
    <mergeCell ref="AU76:AW76"/>
    <mergeCell ref="BD76:BF76"/>
    <mergeCell ref="BM76:BO76"/>
    <mergeCell ref="BV76:BX76"/>
    <mergeCell ref="CE76:CG76"/>
    <mergeCell ref="CN76:CP76"/>
    <mergeCell ref="CW76:CY76"/>
    <mergeCell ref="DF76:DH76"/>
    <mergeCell ref="AL75:AN75"/>
    <mergeCell ref="C75:D75"/>
    <mergeCell ref="K75:M75"/>
    <mergeCell ref="K47:N50"/>
    <mergeCell ref="C128:I128"/>
    <mergeCell ref="J124:L124"/>
    <mergeCell ref="C104:N104"/>
    <mergeCell ref="O106:T109"/>
    <mergeCell ref="C103:N103"/>
    <mergeCell ref="C102:N102"/>
    <mergeCell ref="C77:D77"/>
    <mergeCell ref="C80:H80"/>
    <mergeCell ref="C83:L83"/>
    <mergeCell ref="C82:L82"/>
    <mergeCell ref="M85:Q88"/>
    <mergeCell ref="C124:H124"/>
    <mergeCell ref="C127:H127"/>
    <mergeCell ref="O127:Q127"/>
  </mergeCells>
  <conditionalFormatting sqref="K17:M17">
    <cfRule type="expression" dxfId="3921" priority="1685">
      <formula>J17&lt;&gt;""</formula>
    </cfRule>
  </conditionalFormatting>
  <conditionalFormatting sqref="K18:K19">
    <cfRule type="expression" dxfId="3920" priority="1684">
      <formula>J18&lt;&gt;""</formula>
    </cfRule>
  </conditionalFormatting>
  <conditionalFormatting sqref="K21">
    <cfRule type="expression" dxfId="3919" priority="1313">
      <formula>J21&lt;&gt;""</formula>
    </cfRule>
  </conditionalFormatting>
  <conditionalFormatting sqref="T21">
    <cfRule type="expression" dxfId="3918" priority="1312">
      <formula>S21&lt;&gt;""</formula>
    </cfRule>
  </conditionalFormatting>
  <conditionalFormatting sqref="AC21">
    <cfRule type="expression" dxfId="3917" priority="1311">
      <formula>AB21&lt;&gt;""</formula>
    </cfRule>
  </conditionalFormatting>
  <conditionalFormatting sqref="AL21">
    <cfRule type="expression" dxfId="3916" priority="1310">
      <formula>AK21&lt;&gt;""</formula>
    </cfRule>
  </conditionalFormatting>
  <conditionalFormatting sqref="AU21">
    <cfRule type="expression" dxfId="3915" priority="1309">
      <formula>AT21&lt;&gt;""</formula>
    </cfRule>
  </conditionalFormatting>
  <conditionalFormatting sqref="BD21">
    <cfRule type="expression" dxfId="3914" priority="1308">
      <formula>BC21&lt;&gt;""</formula>
    </cfRule>
  </conditionalFormatting>
  <conditionalFormatting sqref="BM21">
    <cfRule type="expression" dxfId="3913" priority="1307">
      <formula>BL21&lt;&gt;""</formula>
    </cfRule>
  </conditionalFormatting>
  <conditionalFormatting sqref="BV21">
    <cfRule type="expression" dxfId="3912" priority="1306">
      <formula>BU21&lt;&gt;""</formula>
    </cfRule>
  </conditionalFormatting>
  <conditionalFormatting sqref="CE21">
    <cfRule type="expression" dxfId="3911" priority="1305">
      <formula>CD21&lt;&gt;""</formula>
    </cfRule>
  </conditionalFormatting>
  <conditionalFormatting sqref="CN21">
    <cfRule type="expression" dxfId="3910" priority="1304">
      <formula>CM21&lt;&gt;""</formula>
    </cfRule>
  </conditionalFormatting>
  <conditionalFormatting sqref="CW21">
    <cfRule type="expression" dxfId="3909" priority="1303">
      <formula>CV21&lt;&gt;""</formula>
    </cfRule>
  </conditionalFormatting>
  <conditionalFormatting sqref="DF21">
    <cfRule type="expression" dxfId="3908" priority="1302">
      <formula>DE21&lt;&gt;""</formula>
    </cfRule>
  </conditionalFormatting>
  <conditionalFormatting sqref="C26">
    <cfRule type="expression" dxfId="3907" priority="1301">
      <formula>B26&lt;&gt;""</formula>
    </cfRule>
  </conditionalFormatting>
  <conditionalFormatting sqref="D26">
    <cfRule type="expression" dxfId="3906" priority="1300">
      <formula>B26&lt;&gt;""</formula>
    </cfRule>
  </conditionalFormatting>
  <conditionalFormatting sqref="E26">
    <cfRule type="expression" dxfId="3905" priority="1299">
      <formula>B26&lt;&gt;""</formula>
    </cfRule>
  </conditionalFormatting>
  <conditionalFormatting sqref="C21">
    <cfRule type="expression" dxfId="3904" priority="1294">
      <formula>$C$21&lt;&gt;""</formula>
    </cfRule>
  </conditionalFormatting>
  <conditionalFormatting sqref="F26">
    <cfRule type="expression" dxfId="3903" priority="1292">
      <formula>B26&lt;&gt;""</formula>
    </cfRule>
  </conditionalFormatting>
  <conditionalFormatting sqref="C27">
    <cfRule type="expression" dxfId="3902" priority="1289">
      <formula>B27&lt;&gt;""</formula>
    </cfRule>
  </conditionalFormatting>
  <conditionalFormatting sqref="C28">
    <cfRule type="expression" dxfId="3901" priority="1288">
      <formula>B28&lt;&gt;""</formula>
    </cfRule>
  </conditionalFormatting>
  <conditionalFormatting sqref="C29">
    <cfRule type="expression" dxfId="3900" priority="1287">
      <formula>B29&lt;&gt;""</formula>
    </cfRule>
  </conditionalFormatting>
  <conditionalFormatting sqref="C30">
    <cfRule type="expression" dxfId="3899" priority="1286">
      <formula>B30&lt;&gt;""</formula>
    </cfRule>
  </conditionalFormatting>
  <conditionalFormatting sqref="C31">
    <cfRule type="expression" dxfId="3898" priority="1285">
      <formula>$B31&lt;&gt;""</formula>
    </cfRule>
  </conditionalFormatting>
  <conditionalFormatting sqref="C32">
    <cfRule type="expression" dxfId="3897" priority="1284">
      <formula>$B32&lt;&gt;""</formula>
    </cfRule>
  </conditionalFormatting>
  <conditionalFormatting sqref="C33">
    <cfRule type="expression" dxfId="3896" priority="1283">
      <formula>$B33&lt;&gt;""</formula>
    </cfRule>
  </conditionalFormatting>
  <conditionalFormatting sqref="C34">
    <cfRule type="expression" dxfId="3895" priority="1282">
      <formula>$B34&lt;&gt;""</formula>
    </cfRule>
  </conditionalFormatting>
  <conditionalFormatting sqref="C35">
    <cfRule type="expression" dxfId="3894" priority="1281">
      <formula>$B35&lt;&gt;""</formula>
    </cfRule>
  </conditionalFormatting>
  <conditionalFormatting sqref="C36">
    <cfRule type="expression" dxfId="3893" priority="1280">
      <formula>$B36&lt;&gt;""</formula>
    </cfRule>
  </conditionalFormatting>
  <conditionalFormatting sqref="C37">
    <cfRule type="expression" dxfId="3892" priority="1279">
      <formula>$B37&lt;&gt;""</formula>
    </cfRule>
  </conditionalFormatting>
  <conditionalFormatting sqref="D27">
    <cfRule type="expression" dxfId="3891" priority="1277">
      <formula>B27&lt;&gt;""</formula>
    </cfRule>
  </conditionalFormatting>
  <conditionalFormatting sqref="D28">
    <cfRule type="expression" dxfId="3890" priority="1276">
      <formula>B28&lt;&gt;""</formula>
    </cfRule>
  </conditionalFormatting>
  <conditionalFormatting sqref="D29">
    <cfRule type="expression" dxfId="3889" priority="1275">
      <formula>B29&lt;&gt;""</formula>
    </cfRule>
  </conditionalFormatting>
  <conditionalFormatting sqref="D30">
    <cfRule type="expression" dxfId="3888" priority="1274">
      <formula>B30&lt;&gt;""</formula>
    </cfRule>
  </conditionalFormatting>
  <conditionalFormatting sqref="D31">
    <cfRule type="expression" dxfId="3887" priority="1273">
      <formula>$B31&lt;&gt;""</formula>
    </cfRule>
  </conditionalFormatting>
  <conditionalFormatting sqref="D32">
    <cfRule type="expression" dxfId="3886" priority="1272">
      <formula>$B32&lt;&gt;""</formula>
    </cfRule>
  </conditionalFormatting>
  <conditionalFormatting sqref="D33">
    <cfRule type="expression" dxfId="3885" priority="1271">
      <formula>$B33&lt;&gt;""</formula>
    </cfRule>
  </conditionalFormatting>
  <conditionalFormatting sqref="D34">
    <cfRule type="expression" dxfId="3884" priority="1270">
      <formula>$B34&lt;&gt;""</formula>
    </cfRule>
  </conditionalFormatting>
  <conditionalFormatting sqref="D35">
    <cfRule type="expression" dxfId="3883" priority="1269">
      <formula>$B35&lt;&gt;""</formula>
    </cfRule>
  </conditionalFormatting>
  <conditionalFormatting sqref="D36">
    <cfRule type="expression" dxfId="3882" priority="1268">
      <formula>$B36&lt;&gt;""</formula>
    </cfRule>
  </conditionalFormatting>
  <conditionalFormatting sqref="D37">
    <cfRule type="expression" dxfId="3881" priority="1267">
      <formula>$B37&lt;&gt;""</formula>
    </cfRule>
  </conditionalFormatting>
  <conditionalFormatting sqref="E27">
    <cfRule type="expression" dxfId="3880" priority="1266">
      <formula>B27&lt;&gt;""</formula>
    </cfRule>
  </conditionalFormatting>
  <conditionalFormatting sqref="E28">
    <cfRule type="expression" dxfId="3879" priority="1265">
      <formula>B28&lt;&gt;""</formula>
    </cfRule>
  </conditionalFormatting>
  <conditionalFormatting sqref="E29">
    <cfRule type="expression" dxfId="3878" priority="1264">
      <formula>B29&lt;&gt;""</formula>
    </cfRule>
  </conditionalFormatting>
  <conditionalFormatting sqref="E30">
    <cfRule type="expression" dxfId="3877" priority="1263">
      <formula>B30&lt;&gt;""</formula>
    </cfRule>
  </conditionalFormatting>
  <conditionalFormatting sqref="E31">
    <cfRule type="expression" dxfId="3876" priority="1262">
      <formula>$B31&lt;&gt;""</formula>
    </cfRule>
  </conditionalFormatting>
  <conditionalFormatting sqref="E32">
    <cfRule type="expression" dxfId="3875" priority="1261">
      <formula>$B32&lt;&gt;""</formula>
    </cfRule>
  </conditionalFormatting>
  <conditionalFormatting sqref="E33">
    <cfRule type="expression" dxfId="3874" priority="1260">
      <formula>$B33&lt;&gt;""</formula>
    </cfRule>
  </conditionalFormatting>
  <conditionalFormatting sqref="E34">
    <cfRule type="expression" dxfId="3873" priority="1259">
      <formula>$B34&lt;&gt;""</formula>
    </cfRule>
  </conditionalFormatting>
  <conditionalFormatting sqref="E35">
    <cfRule type="expression" dxfId="3872" priority="1258">
      <formula>$B35&lt;&gt;""</formula>
    </cfRule>
  </conditionalFormatting>
  <conditionalFormatting sqref="E36">
    <cfRule type="expression" dxfId="3871" priority="1257">
      <formula>$B36&lt;&gt;""</formula>
    </cfRule>
  </conditionalFormatting>
  <conditionalFormatting sqref="E37">
    <cfRule type="expression" dxfId="3870" priority="1256">
      <formula>$B37&lt;&gt;""</formula>
    </cfRule>
  </conditionalFormatting>
  <conditionalFormatting sqref="F37">
    <cfRule type="expression" dxfId="3869" priority="1233">
      <formula>$B37&lt;&gt;""</formula>
    </cfRule>
  </conditionalFormatting>
  <conditionalFormatting sqref="F36">
    <cfRule type="expression" dxfId="3868" priority="1232">
      <formula>$B36&lt;&gt;""</formula>
    </cfRule>
  </conditionalFormatting>
  <conditionalFormatting sqref="F35">
    <cfRule type="expression" dxfId="3867" priority="1231">
      <formula>$B35&lt;&gt;""</formula>
    </cfRule>
  </conditionalFormatting>
  <conditionalFormatting sqref="F34">
    <cfRule type="expression" dxfId="3866" priority="1230">
      <formula>$B34&lt;&gt;""</formula>
    </cfRule>
  </conditionalFormatting>
  <conditionalFormatting sqref="F33">
    <cfRule type="expression" dxfId="3865" priority="1229">
      <formula>$B33&lt;&gt;""</formula>
    </cfRule>
  </conditionalFormatting>
  <conditionalFormatting sqref="F32">
    <cfRule type="expression" dxfId="3864" priority="1228">
      <formula>$B32&lt;&gt;""</formula>
    </cfRule>
  </conditionalFormatting>
  <conditionalFormatting sqref="F31">
    <cfRule type="expression" dxfId="3863" priority="1227">
      <formula>$B31&lt;&gt;""</formula>
    </cfRule>
  </conditionalFormatting>
  <conditionalFormatting sqref="F30">
    <cfRule type="expression" dxfId="3862" priority="1226">
      <formula>B30&lt;&gt;""</formula>
    </cfRule>
  </conditionalFormatting>
  <conditionalFormatting sqref="F29">
    <cfRule type="expression" dxfId="3861" priority="1225">
      <formula>B29&lt;&gt;""</formula>
    </cfRule>
  </conditionalFormatting>
  <conditionalFormatting sqref="F28">
    <cfRule type="expression" dxfId="3860" priority="1224">
      <formula>B28&lt;&gt;""</formula>
    </cfRule>
  </conditionalFormatting>
  <conditionalFormatting sqref="F27">
    <cfRule type="expression" dxfId="3859" priority="1223">
      <formula>B27&lt;&gt;""</formula>
    </cfRule>
  </conditionalFormatting>
  <conditionalFormatting sqref="C47">
    <cfRule type="expression" dxfId="3858" priority="1171">
      <formula>E17&gt;=1</formula>
    </cfRule>
  </conditionalFormatting>
  <conditionalFormatting sqref="C48">
    <cfRule type="expression" dxfId="3857" priority="1170">
      <formula>E17&gt;=2</formula>
    </cfRule>
  </conditionalFormatting>
  <conditionalFormatting sqref="C49">
    <cfRule type="expression" dxfId="3856" priority="1169">
      <formula>E17&gt;=3</formula>
    </cfRule>
  </conditionalFormatting>
  <conditionalFormatting sqref="C50">
    <cfRule type="expression" dxfId="3855" priority="1168">
      <formula>E17&gt;=4</formula>
    </cfRule>
  </conditionalFormatting>
  <conditionalFormatting sqref="C51">
    <cfRule type="expression" dxfId="3854" priority="1167">
      <formula>E17&gt;=5</formula>
    </cfRule>
  </conditionalFormatting>
  <conditionalFormatting sqref="C52">
    <cfRule type="expression" dxfId="3853" priority="1166">
      <formula>E17&gt;=6</formula>
    </cfRule>
  </conditionalFormatting>
  <conditionalFormatting sqref="C53">
    <cfRule type="expression" dxfId="3852" priority="1165">
      <formula>E17&gt;=7</formula>
    </cfRule>
  </conditionalFormatting>
  <conditionalFormatting sqref="C54">
    <cfRule type="expression" dxfId="3851" priority="1164">
      <formula>E17&gt;=8</formula>
    </cfRule>
  </conditionalFormatting>
  <conditionalFormatting sqref="C55">
    <cfRule type="expression" dxfId="3850" priority="1163">
      <formula>E17&gt;=9</formula>
    </cfRule>
  </conditionalFormatting>
  <conditionalFormatting sqref="C56">
    <cfRule type="expression" dxfId="3849" priority="1162">
      <formula>E17&gt;=10</formula>
    </cfRule>
  </conditionalFormatting>
  <conditionalFormatting sqref="C57">
    <cfRule type="expression" dxfId="3848" priority="1161">
      <formula>E17&gt;=11</formula>
    </cfRule>
  </conditionalFormatting>
  <conditionalFormatting sqref="C58">
    <cfRule type="expression" dxfId="3847" priority="1160">
      <formula>E17&gt;=12</formula>
    </cfRule>
  </conditionalFormatting>
  <conditionalFormatting sqref="D47">
    <cfRule type="expression" dxfId="3846" priority="1159">
      <formula>E17&gt;=1</formula>
    </cfRule>
  </conditionalFormatting>
  <conditionalFormatting sqref="D48">
    <cfRule type="expression" dxfId="3845" priority="1158">
      <formula>E17&gt;=2</formula>
    </cfRule>
  </conditionalFormatting>
  <conditionalFormatting sqref="D49">
    <cfRule type="expression" dxfId="3844" priority="1157">
      <formula>E17&gt;=3</formula>
    </cfRule>
  </conditionalFormatting>
  <conditionalFormatting sqref="D50">
    <cfRule type="expression" dxfId="3843" priority="1156">
      <formula>E17&gt;=4</formula>
    </cfRule>
  </conditionalFormatting>
  <conditionalFormatting sqref="D51">
    <cfRule type="expression" dxfId="3842" priority="1155">
      <formula>E17&gt;=5</formula>
    </cfRule>
  </conditionalFormatting>
  <conditionalFormatting sqref="D52">
    <cfRule type="expression" dxfId="3841" priority="1154">
      <formula>E17&gt;=6</formula>
    </cfRule>
  </conditionalFormatting>
  <conditionalFormatting sqref="D53">
    <cfRule type="expression" dxfId="3840" priority="1153">
      <formula>E17&gt;=7</formula>
    </cfRule>
  </conditionalFormatting>
  <conditionalFormatting sqref="D54">
    <cfRule type="expression" dxfId="3839" priority="1152">
      <formula>E17&gt;=8</formula>
    </cfRule>
  </conditionalFormatting>
  <conditionalFormatting sqref="D55">
    <cfRule type="expression" dxfId="3838" priority="1151">
      <formula>E17&gt;=9</formula>
    </cfRule>
  </conditionalFormatting>
  <conditionalFormatting sqref="D56">
    <cfRule type="expression" dxfId="3837" priority="1150">
      <formula>E17&gt;=10</formula>
    </cfRule>
  </conditionalFormatting>
  <conditionalFormatting sqref="D57">
    <cfRule type="expression" dxfId="3836" priority="1149">
      <formula>E17&gt;=11</formula>
    </cfRule>
  </conditionalFormatting>
  <conditionalFormatting sqref="D58">
    <cfRule type="expression" dxfId="3835" priority="1148">
      <formula>E17&gt;=12</formula>
    </cfRule>
  </conditionalFormatting>
  <conditionalFormatting sqref="E47">
    <cfRule type="expression" dxfId="3834" priority="1147">
      <formula>E17&gt;=1</formula>
    </cfRule>
  </conditionalFormatting>
  <conditionalFormatting sqref="E48">
    <cfRule type="expression" dxfId="3833" priority="1146">
      <formula>E17&gt;=2</formula>
    </cfRule>
  </conditionalFormatting>
  <conditionalFormatting sqref="E49">
    <cfRule type="expression" dxfId="3832" priority="1145">
      <formula>E17&gt;=3</formula>
    </cfRule>
  </conditionalFormatting>
  <conditionalFormatting sqref="E50">
    <cfRule type="expression" dxfId="3831" priority="1144">
      <formula>E17&gt;=4</formula>
    </cfRule>
  </conditionalFormatting>
  <conditionalFormatting sqref="E51">
    <cfRule type="expression" dxfId="3830" priority="1143">
      <formula>E17&gt;=5</formula>
    </cfRule>
  </conditionalFormatting>
  <conditionalFormatting sqref="E52">
    <cfRule type="expression" dxfId="3829" priority="1142">
      <formula>E17&gt;=6</formula>
    </cfRule>
  </conditionalFormatting>
  <conditionalFormatting sqref="E53">
    <cfRule type="expression" dxfId="3828" priority="1141">
      <formula>E17&gt;=7</formula>
    </cfRule>
  </conditionalFormatting>
  <conditionalFormatting sqref="E54">
    <cfRule type="expression" dxfId="3827" priority="1140">
      <formula>E17&gt;=8</formula>
    </cfRule>
  </conditionalFormatting>
  <conditionalFormatting sqref="E55">
    <cfRule type="expression" dxfId="3826" priority="1139">
      <formula>E17&gt;=9</formula>
    </cfRule>
  </conditionalFormatting>
  <conditionalFormatting sqref="E56">
    <cfRule type="expression" dxfId="3825" priority="1138">
      <formula>E17&gt;=10</formula>
    </cfRule>
  </conditionalFormatting>
  <conditionalFormatting sqref="E57">
    <cfRule type="expression" dxfId="3824" priority="1137">
      <formula>E17&gt;=11</formula>
    </cfRule>
  </conditionalFormatting>
  <conditionalFormatting sqref="E58">
    <cfRule type="expression" dxfId="3823" priority="1136">
      <formula>E17&gt;=12</formula>
    </cfRule>
  </conditionalFormatting>
  <conditionalFormatting sqref="F47">
    <cfRule type="expression" dxfId="3822" priority="1135">
      <formula>E17&gt;=1</formula>
    </cfRule>
  </conditionalFormatting>
  <conditionalFormatting sqref="F48">
    <cfRule type="expression" dxfId="3821" priority="1134">
      <formula>E17&gt;=2</formula>
    </cfRule>
  </conditionalFormatting>
  <conditionalFormatting sqref="F49">
    <cfRule type="expression" dxfId="3820" priority="1133">
      <formula>E17&gt;=3</formula>
    </cfRule>
  </conditionalFormatting>
  <conditionalFormatting sqref="F50">
    <cfRule type="expression" dxfId="3819" priority="1132">
      <formula>E17&gt;=4</formula>
    </cfRule>
  </conditionalFormatting>
  <conditionalFormatting sqref="F51">
    <cfRule type="expression" dxfId="3818" priority="1131">
      <formula>E17&gt;=5</formula>
    </cfRule>
  </conditionalFormatting>
  <conditionalFormatting sqref="F52">
    <cfRule type="expression" dxfId="3817" priority="1130">
      <formula>E17&gt;=6</formula>
    </cfRule>
  </conditionalFormatting>
  <conditionalFormatting sqref="F53">
    <cfRule type="expression" dxfId="3816" priority="1129">
      <formula>E17&gt;=7</formula>
    </cfRule>
  </conditionalFormatting>
  <conditionalFormatting sqref="F54">
    <cfRule type="expression" dxfId="3815" priority="1128">
      <formula>E17&gt;=8</formula>
    </cfRule>
  </conditionalFormatting>
  <conditionalFormatting sqref="F55">
    <cfRule type="expression" dxfId="3814" priority="1127">
      <formula>E17&gt;=9</formula>
    </cfRule>
  </conditionalFormatting>
  <conditionalFormatting sqref="F56">
    <cfRule type="expression" dxfId="3813" priority="1126">
      <formula>E17&gt;=10</formula>
    </cfRule>
  </conditionalFormatting>
  <conditionalFormatting sqref="F57">
    <cfRule type="expression" dxfId="3812" priority="1125">
      <formula>E17&gt;=11</formula>
    </cfRule>
  </conditionalFormatting>
  <conditionalFormatting sqref="F58">
    <cfRule type="expression" dxfId="3811" priority="1124">
      <formula>E17&gt;=12</formula>
    </cfRule>
  </conditionalFormatting>
  <conditionalFormatting sqref="G47">
    <cfRule type="expression" dxfId="3810" priority="1121">
      <formula>E17&gt;=1</formula>
    </cfRule>
  </conditionalFormatting>
  <conditionalFormatting sqref="G48">
    <cfRule type="expression" dxfId="3809" priority="1118">
      <formula>E17&gt;=2</formula>
    </cfRule>
  </conditionalFormatting>
  <conditionalFormatting sqref="G49">
    <cfRule type="expression" dxfId="3808" priority="1097">
      <formula>E17&gt;=3</formula>
    </cfRule>
  </conditionalFormatting>
  <conditionalFormatting sqref="G50">
    <cfRule type="expression" dxfId="3807" priority="1096">
      <formula>E17&gt;=4</formula>
    </cfRule>
  </conditionalFormatting>
  <conditionalFormatting sqref="G51">
    <cfRule type="expression" dxfId="3806" priority="1095">
      <formula>E17&gt;=5</formula>
    </cfRule>
  </conditionalFormatting>
  <conditionalFormatting sqref="G52">
    <cfRule type="expression" dxfId="3805" priority="1094">
      <formula>E17&gt;=6</formula>
    </cfRule>
  </conditionalFormatting>
  <conditionalFormatting sqref="G53">
    <cfRule type="expression" dxfId="3804" priority="1093">
      <formula>E17&gt;=7</formula>
    </cfRule>
  </conditionalFormatting>
  <conditionalFormatting sqref="G54">
    <cfRule type="expression" dxfId="3803" priority="1092">
      <formula>E17&gt;=8</formula>
    </cfRule>
  </conditionalFormatting>
  <conditionalFormatting sqref="G55">
    <cfRule type="expression" dxfId="3802" priority="1091">
      <formula>E17&gt;=9</formula>
    </cfRule>
  </conditionalFormatting>
  <conditionalFormatting sqref="G56">
    <cfRule type="expression" dxfId="3801" priority="1090">
      <formula>E17&gt;=10</formula>
    </cfRule>
  </conditionalFormatting>
  <conditionalFormatting sqref="G57">
    <cfRule type="expression" dxfId="3800" priority="1089">
      <formula>E17&gt;=11</formula>
    </cfRule>
  </conditionalFormatting>
  <conditionalFormatting sqref="G58">
    <cfRule type="expression" dxfId="3799" priority="1088">
      <formula>E17&gt;=12</formula>
    </cfRule>
  </conditionalFormatting>
  <conditionalFormatting sqref="F18:F19">
    <cfRule type="expression" dxfId="3798" priority="973">
      <formula>$E$18&lt;$E$17</formula>
    </cfRule>
  </conditionalFormatting>
  <conditionalFormatting sqref="K16:M16">
    <cfRule type="expression" dxfId="3797" priority="857">
      <formula>J16&lt;&gt;""</formula>
    </cfRule>
  </conditionalFormatting>
  <conditionalFormatting sqref="E16">
    <cfRule type="expression" dxfId="3796" priority="856">
      <formula>E15="Yes"</formula>
    </cfRule>
  </conditionalFormatting>
  <conditionalFormatting sqref="E17">
    <cfRule type="expression" dxfId="3795" priority="855">
      <formula>E15="Yes"</formula>
    </cfRule>
  </conditionalFormatting>
  <conditionalFormatting sqref="E18:E19">
    <cfRule type="expression" dxfId="3794" priority="854">
      <formula>E18&lt;&gt;""</formula>
    </cfRule>
  </conditionalFormatting>
  <conditionalFormatting sqref="E25">
    <cfRule type="expression" dxfId="3793" priority="846">
      <formula>C23&lt;&gt;""</formula>
    </cfRule>
  </conditionalFormatting>
  <conditionalFormatting sqref="C25">
    <cfRule type="expression" dxfId="3792" priority="845">
      <formula>C23&lt;&gt;""</formula>
    </cfRule>
  </conditionalFormatting>
  <conditionalFormatting sqref="D25">
    <cfRule type="expression" dxfId="3791" priority="844">
      <formula>C23&lt;&gt;""</formula>
    </cfRule>
  </conditionalFormatting>
  <conditionalFormatting sqref="F25">
    <cfRule type="expression" dxfId="3790" priority="842">
      <formula>C23&lt;&gt;""</formula>
    </cfRule>
  </conditionalFormatting>
  <conditionalFormatting sqref="C46">
    <cfRule type="expression" dxfId="3789" priority="839">
      <formula>C43&lt;&gt;""</formula>
    </cfRule>
  </conditionalFormatting>
  <conditionalFormatting sqref="F46">
    <cfRule type="expression" dxfId="3788" priority="838">
      <formula>C43&lt;&gt;""</formula>
    </cfRule>
  </conditionalFormatting>
  <conditionalFormatting sqref="D46">
    <cfRule type="expression" dxfId="3787" priority="836">
      <formula>C43&lt;&gt;""</formula>
    </cfRule>
  </conditionalFormatting>
  <conditionalFormatting sqref="E46">
    <cfRule type="expression" dxfId="3786" priority="835">
      <formula>C43&lt;&gt;""</formula>
    </cfRule>
  </conditionalFormatting>
  <conditionalFormatting sqref="G46">
    <cfRule type="expression" dxfId="3785" priority="833">
      <formula>C43&lt;&gt;""</formula>
    </cfRule>
  </conditionalFormatting>
  <conditionalFormatting sqref="K11">
    <cfRule type="expression" dxfId="3784" priority="832">
      <formula>J11&lt;&gt;""</formula>
    </cfRule>
  </conditionalFormatting>
  <conditionalFormatting sqref="T11">
    <cfRule type="expression" dxfId="3783" priority="831">
      <formula>S11&lt;&gt;""</formula>
    </cfRule>
  </conditionalFormatting>
  <conditionalFormatting sqref="AC11">
    <cfRule type="expression" dxfId="3782" priority="830">
      <formula>AB11&lt;&gt;""</formula>
    </cfRule>
  </conditionalFormatting>
  <conditionalFormatting sqref="AL11">
    <cfRule type="expression" dxfId="3781" priority="829">
      <formula>AK11&lt;&gt;""</formula>
    </cfRule>
  </conditionalFormatting>
  <conditionalFormatting sqref="AU11">
    <cfRule type="expression" dxfId="3780" priority="828">
      <formula>AT11&lt;&gt;""</formula>
    </cfRule>
  </conditionalFormatting>
  <conditionalFormatting sqref="BD11">
    <cfRule type="expression" dxfId="3779" priority="827">
      <formula>BC11&lt;&gt;""</formula>
    </cfRule>
  </conditionalFormatting>
  <conditionalFormatting sqref="BM11">
    <cfRule type="expression" dxfId="3778" priority="826">
      <formula>BL11&lt;&gt;""</formula>
    </cfRule>
  </conditionalFormatting>
  <conditionalFormatting sqref="BV11">
    <cfRule type="expression" dxfId="3777" priority="825">
      <formula>BU11&lt;&gt;""</formula>
    </cfRule>
  </conditionalFormatting>
  <conditionalFormatting sqref="CE11">
    <cfRule type="expression" dxfId="3776" priority="824">
      <formula>CD11&lt;&gt;""</formula>
    </cfRule>
  </conditionalFormatting>
  <conditionalFormatting sqref="CN11">
    <cfRule type="expression" dxfId="3775" priority="823">
      <formula>CM11&lt;&gt;""</formula>
    </cfRule>
  </conditionalFormatting>
  <conditionalFormatting sqref="CW11">
    <cfRule type="expression" dxfId="3774" priority="822">
      <formula>CV11&lt;&gt;""</formula>
    </cfRule>
  </conditionalFormatting>
  <conditionalFormatting sqref="DF11">
    <cfRule type="expression" dxfId="3773" priority="821">
      <formula>DE11&lt;&gt;""</formula>
    </cfRule>
  </conditionalFormatting>
  <conditionalFormatting sqref="K10">
    <cfRule type="expression" dxfId="3772" priority="819">
      <formula>J10&lt;&gt;""</formula>
    </cfRule>
  </conditionalFormatting>
  <conditionalFormatting sqref="T10">
    <cfRule type="expression" dxfId="3771" priority="818">
      <formula>S10&lt;&gt;""</formula>
    </cfRule>
  </conditionalFormatting>
  <conditionalFormatting sqref="AC10">
    <cfRule type="expression" dxfId="3770" priority="817">
      <formula>AB10&lt;&gt;""</formula>
    </cfRule>
  </conditionalFormatting>
  <conditionalFormatting sqref="AL10">
    <cfRule type="expression" dxfId="3769" priority="816">
      <formula>AK10&lt;&gt;""</formula>
    </cfRule>
  </conditionalFormatting>
  <conditionalFormatting sqref="AU10">
    <cfRule type="expression" dxfId="3768" priority="815">
      <formula>AT10&lt;&gt;""</formula>
    </cfRule>
  </conditionalFormatting>
  <conditionalFormatting sqref="BD10">
    <cfRule type="expression" dxfId="3767" priority="814">
      <formula>BC10&lt;&gt;""</formula>
    </cfRule>
  </conditionalFormatting>
  <conditionalFormatting sqref="BM10">
    <cfRule type="expression" dxfId="3766" priority="813">
      <formula>BL10&lt;&gt;""</formula>
    </cfRule>
  </conditionalFormatting>
  <conditionalFormatting sqref="BV10">
    <cfRule type="expression" dxfId="3765" priority="812">
      <formula>BU10&lt;&gt;""</formula>
    </cfRule>
  </conditionalFormatting>
  <conditionalFormatting sqref="CE10">
    <cfRule type="expression" dxfId="3764" priority="811">
      <formula>CD10&lt;&gt;""</formula>
    </cfRule>
  </conditionalFormatting>
  <conditionalFormatting sqref="CN10">
    <cfRule type="expression" dxfId="3763" priority="810">
      <formula>CM10&lt;&gt;""</formula>
    </cfRule>
  </conditionalFormatting>
  <conditionalFormatting sqref="CW10">
    <cfRule type="expression" dxfId="3762" priority="809">
      <formula>CV10&lt;&gt;""</formula>
    </cfRule>
  </conditionalFormatting>
  <conditionalFormatting sqref="DF10">
    <cfRule type="expression" dxfId="3761" priority="808">
      <formula>DE10&lt;&gt;""</formula>
    </cfRule>
  </conditionalFormatting>
  <conditionalFormatting sqref="H26">
    <cfRule type="expression" dxfId="3760" priority="806">
      <formula>$B26&lt;&gt;""</formula>
    </cfRule>
  </conditionalFormatting>
  <conditionalFormatting sqref="G26">
    <cfRule type="expression" dxfId="3759" priority="794">
      <formula>$B26&lt;&gt;""</formula>
    </cfRule>
  </conditionalFormatting>
  <conditionalFormatting sqref="G37">
    <cfRule type="expression" dxfId="3758" priority="793">
      <formula>$B37&lt;&gt;""</formula>
    </cfRule>
  </conditionalFormatting>
  <conditionalFormatting sqref="G36">
    <cfRule type="expression" dxfId="3757" priority="792">
      <formula>$B36&lt;&gt;""</formula>
    </cfRule>
  </conditionalFormatting>
  <conditionalFormatting sqref="G35">
    <cfRule type="expression" dxfId="3756" priority="791">
      <formula>$B35&lt;&gt;""</formula>
    </cfRule>
  </conditionalFormatting>
  <conditionalFormatting sqref="G34">
    <cfRule type="expression" dxfId="3755" priority="790">
      <formula>$B34&lt;&gt;""</formula>
    </cfRule>
  </conditionalFormatting>
  <conditionalFormatting sqref="G33">
    <cfRule type="expression" dxfId="3754" priority="789">
      <formula>$B33&lt;&gt;""</formula>
    </cfRule>
  </conditionalFormatting>
  <conditionalFormatting sqref="G32">
    <cfRule type="expression" dxfId="3753" priority="788">
      <formula>$B32&lt;&gt;""</formula>
    </cfRule>
  </conditionalFormatting>
  <conditionalFormatting sqref="G31">
    <cfRule type="expression" dxfId="3752" priority="787">
      <formula>$B31&lt;&gt;""</formula>
    </cfRule>
  </conditionalFormatting>
  <conditionalFormatting sqref="G30">
    <cfRule type="expression" dxfId="3751" priority="786">
      <formula>$B30&lt;&gt;""</formula>
    </cfRule>
  </conditionalFormatting>
  <conditionalFormatting sqref="G29">
    <cfRule type="expression" dxfId="3750" priority="785">
      <formula>$B29&lt;&gt;""</formula>
    </cfRule>
  </conditionalFormatting>
  <conditionalFormatting sqref="G28">
    <cfRule type="expression" dxfId="3749" priority="784">
      <formula>$B28&lt;&gt;""</formula>
    </cfRule>
  </conditionalFormatting>
  <conditionalFormatting sqref="G27">
    <cfRule type="expression" dxfId="3748" priority="783">
      <formula>$B27&lt;&gt;""</formula>
    </cfRule>
  </conditionalFormatting>
  <conditionalFormatting sqref="G25">
    <cfRule type="expression" dxfId="3747" priority="781">
      <formula>$C23&lt;&gt;""</formula>
    </cfRule>
  </conditionalFormatting>
  <conditionalFormatting sqref="H25">
    <cfRule type="expression" dxfId="3746" priority="778">
      <formula>$C23&lt;&gt;""</formula>
    </cfRule>
  </conditionalFormatting>
  <conditionalFormatting sqref="I47">
    <cfRule type="expression" dxfId="3745" priority="751">
      <formula>$B47&lt;&gt;""</formula>
    </cfRule>
  </conditionalFormatting>
  <conditionalFormatting sqref="I58">
    <cfRule type="expression" dxfId="3744" priority="750">
      <formula>$B58&lt;&gt;""</formula>
    </cfRule>
  </conditionalFormatting>
  <conditionalFormatting sqref="I57">
    <cfRule type="expression" dxfId="3743" priority="749">
      <formula>$B57&lt;&gt;""</formula>
    </cfRule>
  </conditionalFormatting>
  <conditionalFormatting sqref="I56">
    <cfRule type="expression" dxfId="3742" priority="748">
      <formula>$B56&lt;&gt;""</formula>
    </cfRule>
  </conditionalFormatting>
  <conditionalFormatting sqref="I55">
    <cfRule type="expression" dxfId="3741" priority="747">
      <formula>$B55&lt;&gt;""</formula>
    </cfRule>
  </conditionalFormatting>
  <conditionalFormatting sqref="I54">
    <cfRule type="expression" dxfId="3740" priority="746">
      <formula>$B54&lt;&gt;""</formula>
    </cfRule>
  </conditionalFormatting>
  <conditionalFormatting sqref="I53">
    <cfRule type="expression" dxfId="3739" priority="745">
      <formula>$B53&lt;&gt;""</formula>
    </cfRule>
  </conditionalFormatting>
  <conditionalFormatting sqref="I52">
    <cfRule type="expression" dxfId="3738" priority="744">
      <formula>$B52&lt;&gt;""</formula>
    </cfRule>
  </conditionalFormatting>
  <conditionalFormatting sqref="I51">
    <cfRule type="expression" dxfId="3737" priority="743">
      <formula>$B51&lt;&gt;""</formula>
    </cfRule>
  </conditionalFormatting>
  <conditionalFormatting sqref="I50">
    <cfRule type="expression" dxfId="3736" priority="742">
      <formula>$B50&lt;&gt;""</formula>
    </cfRule>
  </conditionalFormatting>
  <conditionalFormatting sqref="I49">
    <cfRule type="expression" dxfId="3735" priority="741">
      <formula>$B49&lt;&gt;""</formula>
    </cfRule>
  </conditionalFormatting>
  <conditionalFormatting sqref="I48">
    <cfRule type="expression" dxfId="3734" priority="740">
      <formula>$B48&lt;&gt;""</formula>
    </cfRule>
  </conditionalFormatting>
  <conditionalFormatting sqref="I46">
    <cfRule type="expression" dxfId="3733" priority="739">
      <formula>$C43&lt;&gt;""</formula>
    </cfRule>
  </conditionalFormatting>
  <conditionalFormatting sqref="J46">
    <cfRule type="expression" dxfId="3732" priority="726">
      <formula>$C43&lt;&gt;""</formula>
    </cfRule>
  </conditionalFormatting>
  <conditionalFormatting sqref="K76:M76">
    <cfRule type="expression" dxfId="3731" priority="629">
      <formula>J76&lt;&gt;""</formula>
    </cfRule>
  </conditionalFormatting>
  <conditionalFormatting sqref="K77:K78">
    <cfRule type="expression" dxfId="3730" priority="628">
      <formula>J77&lt;&gt;""</formula>
    </cfRule>
  </conditionalFormatting>
  <conditionalFormatting sqref="K80">
    <cfRule type="expression" dxfId="3729" priority="627">
      <formula>J80&lt;&gt;""</formula>
    </cfRule>
  </conditionalFormatting>
  <conditionalFormatting sqref="T80">
    <cfRule type="expression" dxfId="3728" priority="626">
      <formula>S80&lt;&gt;""</formula>
    </cfRule>
  </conditionalFormatting>
  <conditionalFormatting sqref="AC80">
    <cfRule type="expression" dxfId="3727" priority="625">
      <formula>AB80&lt;&gt;""</formula>
    </cfRule>
  </conditionalFormatting>
  <conditionalFormatting sqref="AL80">
    <cfRule type="expression" dxfId="3726" priority="624">
      <formula>AK80&lt;&gt;""</formula>
    </cfRule>
  </conditionalFormatting>
  <conditionalFormatting sqref="AU80">
    <cfRule type="expression" dxfId="3725" priority="623">
      <formula>AT80&lt;&gt;""</formula>
    </cfRule>
  </conditionalFormatting>
  <conditionalFormatting sqref="BD80">
    <cfRule type="expression" dxfId="3724" priority="622">
      <formula>BC80&lt;&gt;""</formula>
    </cfRule>
  </conditionalFormatting>
  <conditionalFormatting sqref="BM80">
    <cfRule type="expression" dxfId="3723" priority="621">
      <formula>BL80&lt;&gt;""</formula>
    </cfRule>
  </conditionalFormatting>
  <conditionalFormatting sqref="BV80">
    <cfRule type="expression" dxfId="3722" priority="620">
      <formula>BU80&lt;&gt;""</formula>
    </cfRule>
  </conditionalFormatting>
  <conditionalFormatting sqref="CE80">
    <cfRule type="expression" dxfId="3721" priority="619">
      <formula>CD80&lt;&gt;""</formula>
    </cfRule>
  </conditionalFormatting>
  <conditionalFormatting sqref="CN80">
    <cfRule type="expression" dxfId="3720" priority="618">
      <formula>CM80&lt;&gt;""</formula>
    </cfRule>
  </conditionalFormatting>
  <conditionalFormatting sqref="CW80">
    <cfRule type="expression" dxfId="3719" priority="617">
      <formula>CV80&lt;&gt;""</formula>
    </cfRule>
  </conditionalFormatting>
  <conditionalFormatting sqref="DF80">
    <cfRule type="expression" dxfId="3718" priority="616">
      <formula>DE80&lt;&gt;""</formula>
    </cfRule>
  </conditionalFormatting>
  <conditionalFormatting sqref="C85">
    <cfRule type="expression" dxfId="3717" priority="615">
      <formula>B85&lt;&gt;""</formula>
    </cfRule>
  </conditionalFormatting>
  <conditionalFormatting sqref="D85">
    <cfRule type="expression" dxfId="3716" priority="614">
      <formula>B85&lt;&gt;""</formula>
    </cfRule>
  </conditionalFormatting>
  <conditionalFormatting sqref="E85">
    <cfRule type="expression" dxfId="3715" priority="613">
      <formula>B85&lt;&gt;""</formula>
    </cfRule>
  </conditionalFormatting>
  <conditionalFormatting sqref="G85">
    <cfRule type="expression" dxfId="3714" priority="612">
      <formula>B85&lt;&gt;""</formula>
    </cfRule>
  </conditionalFormatting>
  <conditionalFormatting sqref="C80">
    <cfRule type="expression" dxfId="3713" priority="611">
      <formula>$C$80&lt;&gt;""</formula>
    </cfRule>
  </conditionalFormatting>
  <conditionalFormatting sqref="H85">
    <cfRule type="expression" dxfId="3712" priority="610">
      <formula>B85&lt;&gt;""</formula>
    </cfRule>
  </conditionalFormatting>
  <conditionalFormatting sqref="I85">
    <cfRule type="expression" dxfId="3711" priority="609">
      <formula>B85&lt;&gt;""</formula>
    </cfRule>
  </conditionalFormatting>
  <conditionalFormatting sqref="C86">
    <cfRule type="expression" dxfId="3710" priority="608">
      <formula>B86&lt;&gt;""</formula>
    </cfRule>
  </conditionalFormatting>
  <conditionalFormatting sqref="C87">
    <cfRule type="expression" dxfId="3709" priority="607">
      <formula>B87&lt;&gt;""</formula>
    </cfRule>
  </conditionalFormatting>
  <conditionalFormatting sqref="C88">
    <cfRule type="expression" dxfId="3708" priority="606">
      <formula>B88&lt;&gt;""</formula>
    </cfRule>
  </conditionalFormatting>
  <conditionalFormatting sqref="C89">
    <cfRule type="expression" dxfId="3707" priority="605">
      <formula>B89&lt;&gt;""</formula>
    </cfRule>
  </conditionalFormatting>
  <conditionalFormatting sqref="C90">
    <cfRule type="expression" dxfId="3706" priority="604">
      <formula>$B90&lt;&gt;""</formula>
    </cfRule>
  </conditionalFormatting>
  <conditionalFormatting sqref="C91">
    <cfRule type="expression" dxfId="3705" priority="603">
      <formula>$B91&lt;&gt;""</formula>
    </cfRule>
  </conditionalFormatting>
  <conditionalFormatting sqref="C92">
    <cfRule type="expression" dxfId="3704" priority="602">
      <formula>$B92&lt;&gt;""</formula>
    </cfRule>
  </conditionalFormatting>
  <conditionalFormatting sqref="C93">
    <cfRule type="expression" dxfId="3703" priority="601">
      <formula>$B93&lt;&gt;""</formula>
    </cfRule>
  </conditionalFormatting>
  <conditionalFormatting sqref="C94">
    <cfRule type="expression" dxfId="3702" priority="600">
      <formula>$B94&lt;&gt;""</formula>
    </cfRule>
  </conditionalFormatting>
  <conditionalFormatting sqref="C95">
    <cfRule type="expression" dxfId="3701" priority="599">
      <formula>$B95&lt;&gt;""</formula>
    </cfRule>
  </conditionalFormatting>
  <conditionalFormatting sqref="C96">
    <cfRule type="expression" dxfId="3700" priority="598">
      <formula>$B96&lt;&gt;""</formula>
    </cfRule>
  </conditionalFormatting>
  <conditionalFormatting sqref="D86">
    <cfRule type="expression" dxfId="3699" priority="597">
      <formula>B86&lt;&gt;""</formula>
    </cfRule>
  </conditionalFormatting>
  <conditionalFormatting sqref="D87">
    <cfRule type="expression" dxfId="3698" priority="596">
      <formula>B87&lt;&gt;""</formula>
    </cfRule>
  </conditionalFormatting>
  <conditionalFormatting sqref="D88">
    <cfRule type="expression" dxfId="3697" priority="595">
      <formula>B88&lt;&gt;""</formula>
    </cfRule>
  </conditionalFormatting>
  <conditionalFormatting sqref="D89">
    <cfRule type="expression" dxfId="3696" priority="594">
      <formula>B89&lt;&gt;""</formula>
    </cfRule>
  </conditionalFormatting>
  <conditionalFormatting sqref="D90">
    <cfRule type="expression" dxfId="3695" priority="593">
      <formula>$B90&lt;&gt;""</formula>
    </cfRule>
  </conditionalFormatting>
  <conditionalFormatting sqref="D91">
    <cfRule type="expression" dxfId="3694" priority="592">
      <formula>$B91&lt;&gt;""</formula>
    </cfRule>
  </conditionalFormatting>
  <conditionalFormatting sqref="D92">
    <cfRule type="expression" dxfId="3693" priority="591">
      <formula>$B92&lt;&gt;""</formula>
    </cfRule>
  </conditionalFormatting>
  <conditionalFormatting sqref="D93">
    <cfRule type="expression" dxfId="3692" priority="590">
      <formula>$B93&lt;&gt;""</formula>
    </cfRule>
  </conditionalFormatting>
  <conditionalFormatting sqref="D94">
    <cfRule type="expression" dxfId="3691" priority="589">
      <formula>$B94&lt;&gt;""</formula>
    </cfRule>
  </conditionalFormatting>
  <conditionalFormatting sqref="D95">
    <cfRule type="expression" dxfId="3690" priority="588">
      <formula>$B95&lt;&gt;""</formula>
    </cfRule>
  </conditionalFormatting>
  <conditionalFormatting sqref="D96">
    <cfRule type="expression" dxfId="3689" priority="587">
      <formula>$B96&lt;&gt;""</formula>
    </cfRule>
  </conditionalFormatting>
  <conditionalFormatting sqref="E86">
    <cfRule type="expression" dxfId="3688" priority="586">
      <formula>B86&lt;&gt;""</formula>
    </cfRule>
  </conditionalFormatting>
  <conditionalFormatting sqref="E87">
    <cfRule type="expression" dxfId="3687" priority="585">
      <formula>B87&lt;&gt;""</formula>
    </cfRule>
  </conditionalFormatting>
  <conditionalFormatting sqref="E88">
    <cfRule type="expression" dxfId="3686" priority="584">
      <formula>B88&lt;&gt;""</formula>
    </cfRule>
  </conditionalFormatting>
  <conditionalFormatting sqref="E89">
    <cfRule type="expression" dxfId="3685" priority="583">
      <formula>B89&lt;&gt;""</formula>
    </cfRule>
  </conditionalFormatting>
  <conditionalFormatting sqref="E90">
    <cfRule type="expression" dxfId="3684" priority="582">
      <formula>$B90&lt;&gt;""</formula>
    </cfRule>
  </conditionalFormatting>
  <conditionalFormatting sqref="E91">
    <cfRule type="expression" dxfId="3683" priority="581">
      <formula>$B91&lt;&gt;""</formula>
    </cfRule>
  </conditionalFormatting>
  <conditionalFormatting sqref="E92">
    <cfRule type="expression" dxfId="3682" priority="580">
      <formula>$B92&lt;&gt;""</formula>
    </cfRule>
  </conditionalFormatting>
  <conditionalFormatting sqref="E93">
    <cfRule type="expression" dxfId="3681" priority="579">
      <formula>$B93&lt;&gt;""</formula>
    </cfRule>
  </conditionalFormatting>
  <conditionalFormatting sqref="E94">
    <cfRule type="expression" dxfId="3680" priority="578">
      <formula>$B94&lt;&gt;""</formula>
    </cfRule>
  </conditionalFormatting>
  <conditionalFormatting sqref="E95">
    <cfRule type="expression" dxfId="3679" priority="577">
      <formula>$B95&lt;&gt;""</formula>
    </cfRule>
  </conditionalFormatting>
  <conditionalFormatting sqref="E96">
    <cfRule type="expression" dxfId="3678" priority="576">
      <formula>$B96&lt;&gt;""</formula>
    </cfRule>
  </conditionalFormatting>
  <conditionalFormatting sqref="G86">
    <cfRule type="expression" dxfId="3677" priority="575">
      <formula>B86&lt;&gt;""</formula>
    </cfRule>
  </conditionalFormatting>
  <conditionalFormatting sqref="G87">
    <cfRule type="expression" dxfId="3676" priority="574">
      <formula>B87&lt;&gt;""</formula>
    </cfRule>
  </conditionalFormatting>
  <conditionalFormatting sqref="G88">
    <cfRule type="expression" dxfId="3675" priority="573">
      <formula>B88&lt;&gt;""</formula>
    </cfRule>
  </conditionalFormatting>
  <conditionalFormatting sqref="G89">
    <cfRule type="expression" dxfId="3674" priority="572">
      <formula>B89&lt;&gt;""</formula>
    </cfRule>
  </conditionalFormatting>
  <conditionalFormatting sqref="G90">
    <cfRule type="expression" dxfId="3673" priority="571">
      <formula>$B90&lt;&gt;""</formula>
    </cfRule>
  </conditionalFormatting>
  <conditionalFormatting sqref="G91">
    <cfRule type="expression" dxfId="3672" priority="570">
      <formula>$B91&lt;&gt;""</formula>
    </cfRule>
  </conditionalFormatting>
  <conditionalFormatting sqref="G92">
    <cfRule type="expression" dxfId="3671" priority="569">
      <formula>$B92&lt;&gt;""</formula>
    </cfRule>
  </conditionalFormatting>
  <conditionalFormatting sqref="G93">
    <cfRule type="expression" dxfId="3670" priority="568">
      <formula>$B93&lt;&gt;""</formula>
    </cfRule>
  </conditionalFormatting>
  <conditionalFormatting sqref="G94">
    <cfRule type="expression" dxfId="3669" priority="567">
      <formula>$B94&lt;&gt;""</formula>
    </cfRule>
  </conditionalFormatting>
  <conditionalFormatting sqref="G95">
    <cfRule type="expression" dxfId="3668" priority="566">
      <formula>$B95&lt;&gt;""</formula>
    </cfRule>
  </conditionalFormatting>
  <conditionalFormatting sqref="G96">
    <cfRule type="expression" dxfId="3667" priority="565">
      <formula>$B96&lt;&gt;""</formula>
    </cfRule>
  </conditionalFormatting>
  <conditionalFormatting sqref="H86">
    <cfRule type="expression" dxfId="3666" priority="564">
      <formula>B86&lt;&gt;""</formula>
    </cfRule>
  </conditionalFormatting>
  <conditionalFormatting sqref="H87">
    <cfRule type="expression" dxfId="3665" priority="563">
      <formula>B87&lt;&gt;""</formula>
    </cfRule>
  </conditionalFormatting>
  <conditionalFormatting sqref="H88">
    <cfRule type="expression" dxfId="3664" priority="562">
      <formula>B88&lt;&gt;""</formula>
    </cfRule>
  </conditionalFormatting>
  <conditionalFormatting sqref="H89">
    <cfRule type="expression" dxfId="3663" priority="561">
      <formula>B89&lt;&gt;""</formula>
    </cfRule>
  </conditionalFormatting>
  <conditionalFormatting sqref="H90">
    <cfRule type="expression" dxfId="3662" priority="560">
      <formula>$B90&lt;&gt;""</formula>
    </cfRule>
  </conditionalFormatting>
  <conditionalFormatting sqref="H91">
    <cfRule type="expression" dxfId="3661" priority="559">
      <formula>$B91&lt;&gt;""</formula>
    </cfRule>
  </conditionalFormatting>
  <conditionalFormatting sqref="H92">
    <cfRule type="expression" dxfId="3660" priority="558">
      <formula>$B92&lt;&gt;""</formula>
    </cfRule>
  </conditionalFormatting>
  <conditionalFormatting sqref="H93">
    <cfRule type="expression" dxfId="3659" priority="557">
      <formula>$B93&lt;&gt;""</formula>
    </cfRule>
  </conditionalFormatting>
  <conditionalFormatting sqref="H94">
    <cfRule type="expression" dxfId="3658" priority="556">
      <formula>$B94&lt;&gt;""</formula>
    </cfRule>
  </conditionalFormatting>
  <conditionalFormatting sqref="H95">
    <cfRule type="expression" dxfId="3657" priority="555">
      <formula>$B95&lt;&gt;""</formula>
    </cfRule>
  </conditionalFormatting>
  <conditionalFormatting sqref="H96">
    <cfRule type="expression" dxfId="3656" priority="554">
      <formula>$B96&lt;&gt;""</formula>
    </cfRule>
  </conditionalFormatting>
  <conditionalFormatting sqref="I96">
    <cfRule type="expression" dxfId="3655" priority="553">
      <formula>$B96&lt;&gt;""</formula>
    </cfRule>
  </conditionalFormatting>
  <conditionalFormatting sqref="I95">
    <cfRule type="expression" dxfId="3654" priority="552">
      <formula>$B95&lt;&gt;""</formula>
    </cfRule>
  </conditionalFormatting>
  <conditionalFormatting sqref="I94">
    <cfRule type="expression" dxfId="3653" priority="551">
      <formula>$B94&lt;&gt;""</formula>
    </cfRule>
  </conditionalFormatting>
  <conditionalFormatting sqref="I93">
    <cfRule type="expression" dxfId="3652" priority="550">
      <formula>$B93&lt;&gt;""</formula>
    </cfRule>
  </conditionalFormatting>
  <conditionalFormatting sqref="I92">
    <cfRule type="expression" dxfId="3651" priority="549">
      <formula>$B92&lt;&gt;""</formula>
    </cfRule>
  </conditionalFormatting>
  <conditionalFormatting sqref="I91">
    <cfRule type="expression" dxfId="3650" priority="548">
      <formula>$B91&lt;&gt;""</formula>
    </cfRule>
  </conditionalFormatting>
  <conditionalFormatting sqref="I90">
    <cfRule type="expression" dxfId="3649" priority="547">
      <formula>$B90&lt;&gt;""</formula>
    </cfRule>
  </conditionalFormatting>
  <conditionalFormatting sqref="I89">
    <cfRule type="expression" dxfId="3648" priority="546">
      <formula>B89&lt;&gt;""</formula>
    </cfRule>
  </conditionalFormatting>
  <conditionalFormatting sqref="I88">
    <cfRule type="expression" dxfId="3647" priority="545">
      <formula>B88&lt;&gt;""</formula>
    </cfRule>
  </conditionalFormatting>
  <conditionalFormatting sqref="I87">
    <cfRule type="expression" dxfId="3646" priority="544">
      <formula>B87&lt;&gt;""</formula>
    </cfRule>
  </conditionalFormatting>
  <conditionalFormatting sqref="I86">
    <cfRule type="expression" dxfId="3645" priority="543">
      <formula>B86&lt;&gt;""</formula>
    </cfRule>
  </conditionalFormatting>
  <conditionalFormatting sqref="C106">
    <cfRule type="expression" dxfId="3644" priority="542">
      <formula>E76&gt;=1</formula>
    </cfRule>
  </conditionalFormatting>
  <conditionalFormatting sqref="C107">
    <cfRule type="expression" dxfId="3643" priority="541">
      <formula>E76&gt;=2</formula>
    </cfRule>
  </conditionalFormatting>
  <conditionalFormatting sqref="C108">
    <cfRule type="expression" dxfId="3642" priority="540">
      <formula>E76&gt;=3</formula>
    </cfRule>
  </conditionalFormatting>
  <conditionalFormatting sqref="C109">
    <cfRule type="expression" dxfId="3641" priority="539">
      <formula>E76&gt;=4</formula>
    </cfRule>
  </conditionalFormatting>
  <conditionalFormatting sqref="C110">
    <cfRule type="expression" dxfId="3640" priority="538">
      <formula>E76&gt;=5</formula>
    </cfRule>
  </conditionalFormatting>
  <conditionalFormatting sqref="C111">
    <cfRule type="expression" dxfId="3639" priority="537">
      <formula>E76&gt;=6</formula>
    </cfRule>
  </conditionalFormatting>
  <conditionalFormatting sqref="C112">
    <cfRule type="expression" dxfId="3638" priority="536">
      <formula>E76&gt;=7</formula>
    </cfRule>
  </conditionalFormatting>
  <conditionalFormatting sqref="C113">
    <cfRule type="expression" dxfId="3637" priority="535">
      <formula>E76&gt;=8</formula>
    </cfRule>
  </conditionalFormatting>
  <conditionalFormatting sqref="C114">
    <cfRule type="expression" dxfId="3636" priority="534">
      <formula>E76&gt;=9</formula>
    </cfRule>
  </conditionalFormatting>
  <conditionalFormatting sqref="C115">
    <cfRule type="expression" dxfId="3635" priority="533">
      <formula>E76&gt;=10</formula>
    </cfRule>
  </conditionalFormatting>
  <conditionalFormatting sqref="C116">
    <cfRule type="expression" dxfId="3634" priority="532">
      <formula>E76&gt;=11</formula>
    </cfRule>
  </conditionalFormatting>
  <conditionalFormatting sqref="C117">
    <cfRule type="expression" dxfId="3633" priority="531">
      <formula>E76&gt;=12</formula>
    </cfRule>
  </conditionalFormatting>
  <conditionalFormatting sqref="D106">
    <cfRule type="expression" dxfId="3632" priority="530">
      <formula>E76&gt;=1</formula>
    </cfRule>
  </conditionalFormatting>
  <conditionalFormatting sqref="D107">
    <cfRule type="expression" dxfId="3631" priority="529">
      <formula>E76&gt;=2</formula>
    </cfRule>
  </conditionalFormatting>
  <conditionalFormatting sqref="D108">
    <cfRule type="expression" dxfId="3630" priority="528">
      <formula>E76&gt;=3</formula>
    </cfRule>
  </conditionalFormatting>
  <conditionalFormatting sqref="D109">
    <cfRule type="expression" dxfId="3629" priority="527">
      <formula>E76&gt;=4</formula>
    </cfRule>
  </conditionalFormatting>
  <conditionalFormatting sqref="D110">
    <cfRule type="expression" dxfId="3628" priority="526">
      <formula>E76&gt;=5</formula>
    </cfRule>
  </conditionalFormatting>
  <conditionalFormatting sqref="D111">
    <cfRule type="expression" dxfId="3627" priority="525">
      <formula>E76&gt;=6</formula>
    </cfRule>
  </conditionalFormatting>
  <conditionalFormatting sqref="D112">
    <cfRule type="expression" dxfId="3626" priority="524">
      <formula>E76&gt;=7</formula>
    </cfRule>
  </conditionalFormatting>
  <conditionalFormatting sqref="D113">
    <cfRule type="expression" dxfId="3625" priority="523">
      <formula>E76&gt;=8</formula>
    </cfRule>
  </conditionalFormatting>
  <conditionalFormatting sqref="D114">
    <cfRule type="expression" dxfId="3624" priority="522">
      <formula>E76&gt;=9</formula>
    </cfRule>
  </conditionalFormatting>
  <conditionalFormatting sqref="D115">
    <cfRule type="expression" dxfId="3623" priority="521">
      <formula>E76&gt;=10</formula>
    </cfRule>
  </conditionalFormatting>
  <conditionalFormatting sqref="D116">
    <cfRule type="expression" dxfId="3622" priority="520">
      <formula>E76&gt;=11</formula>
    </cfRule>
  </conditionalFormatting>
  <conditionalFormatting sqref="D117">
    <cfRule type="expression" dxfId="3621" priority="519">
      <formula>E76&gt;=12</formula>
    </cfRule>
  </conditionalFormatting>
  <conditionalFormatting sqref="E106">
    <cfRule type="expression" dxfId="3620" priority="518">
      <formula>E76&gt;=1</formula>
    </cfRule>
  </conditionalFormatting>
  <conditionalFormatting sqref="E107">
    <cfRule type="expression" dxfId="3619" priority="517">
      <formula>E76&gt;=2</formula>
    </cfRule>
  </conditionalFormatting>
  <conditionalFormatting sqref="E108">
    <cfRule type="expression" dxfId="3618" priority="516">
      <formula>E76&gt;=3</formula>
    </cfRule>
  </conditionalFormatting>
  <conditionalFormatting sqref="E109">
    <cfRule type="expression" dxfId="3617" priority="515">
      <formula>E76&gt;=4</formula>
    </cfRule>
  </conditionalFormatting>
  <conditionalFormatting sqref="E110">
    <cfRule type="expression" dxfId="3616" priority="514">
      <formula>E76&gt;=5</formula>
    </cfRule>
  </conditionalFormatting>
  <conditionalFormatting sqref="E111">
    <cfRule type="expression" dxfId="3615" priority="513">
      <formula>E76&gt;=6</formula>
    </cfRule>
  </conditionalFormatting>
  <conditionalFormatting sqref="E112">
    <cfRule type="expression" dxfId="3614" priority="512">
      <formula>E76&gt;=7</formula>
    </cfRule>
  </conditionalFormatting>
  <conditionalFormatting sqref="E113">
    <cfRule type="expression" dxfId="3613" priority="511">
      <formula>E76&gt;=8</formula>
    </cfRule>
  </conditionalFormatting>
  <conditionalFormatting sqref="E114">
    <cfRule type="expression" dxfId="3612" priority="510">
      <formula>E76&gt;=9</formula>
    </cfRule>
  </conditionalFormatting>
  <conditionalFormatting sqref="E115">
    <cfRule type="expression" dxfId="3611" priority="509">
      <formula>E76&gt;=10</formula>
    </cfRule>
  </conditionalFormatting>
  <conditionalFormatting sqref="E116">
    <cfRule type="expression" dxfId="3610" priority="508">
      <formula>E76&gt;=11</formula>
    </cfRule>
  </conditionalFormatting>
  <conditionalFormatting sqref="E117">
    <cfRule type="expression" dxfId="3609" priority="507">
      <formula>E76&gt;=12</formula>
    </cfRule>
  </conditionalFormatting>
  <conditionalFormatting sqref="F106">
    <cfRule type="expression" dxfId="3608" priority="506">
      <formula>E76&gt;=1</formula>
    </cfRule>
  </conditionalFormatting>
  <conditionalFormatting sqref="F107">
    <cfRule type="expression" dxfId="3607" priority="505">
      <formula>E76&gt;=2</formula>
    </cfRule>
  </conditionalFormatting>
  <conditionalFormatting sqref="F108">
    <cfRule type="expression" dxfId="3606" priority="504">
      <formula>E76&gt;=3</formula>
    </cfRule>
  </conditionalFormatting>
  <conditionalFormatting sqref="F109">
    <cfRule type="expression" dxfId="3605" priority="503">
      <formula>E76&gt;=4</formula>
    </cfRule>
  </conditionalFormatting>
  <conditionalFormatting sqref="F110">
    <cfRule type="expression" dxfId="3604" priority="502">
      <formula>E76&gt;=5</formula>
    </cfRule>
  </conditionalFormatting>
  <conditionalFormatting sqref="F111">
    <cfRule type="expression" dxfId="3603" priority="501">
      <formula>E76&gt;=6</formula>
    </cfRule>
  </conditionalFormatting>
  <conditionalFormatting sqref="F112">
    <cfRule type="expression" dxfId="3602" priority="500">
      <formula>E76&gt;=7</formula>
    </cfRule>
  </conditionalFormatting>
  <conditionalFormatting sqref="F113">
    <cfRule type="expression" dxfId="3601" priority="499">
      <formula>E76&gt;=8</formula>
    </cfRule>
  </conditionalFormatting>
  <conditionalFormatting sqref="F114">
    <cfRule type="expression" dxfId="3600" priority="498">
      <formula>E76&gt;=9</formula>
    </cfRule>
  </conditionalFormatting>
  <conditionalFormatting sqref="F115">
    <cfRule type="expression" dxfId="3599" priority="497">
      <formula>E76&gt;=10</formula>
    </cfRule>
  </conditionalFormatting>
  <conditionalFormatting sqref="F116">
    <cfRule type="expression" dxfId="3598" priority="496">
      <formula>E76&gt;=11</formula>
    </cfRule>
  </conditionalFormatting>
  <conditionalFormatting sqref="F117">
    <cfRule type="expression" dxfId="3597" priority="495">
      <formula>E76&gt;=12</formula>
    </cfRule>
  </conditionalFormatting>
  <conditionalFormatting sqref="H106">
    <cfRule type="expression" dxfId="3596" priority="494">
      <formula>E76&gt;=1</formula>
    </cfRule>
  </conditionalFormatting>
  <conditionalFormatting sqref="I106">
    <cfRule type="expression" dxfId="3595" priority="493">
      <formula>E76&gt;=1</formula>
    </cfRule>
  </conditionalFormatting>
  <conditionalFormatting sqref="J106">
    <cfRule type="expression" dxfId="3594" priority="492">
      <formula>E76&gt;=1</formula>
    </cfRule>
  </conditionalFormatting>
  <conditionalFormatting sqref="H108">
    <cfRule type="expression" dxfId="3593" priority="491">
      <formula>E76&gt;=3</formula>
    </cfRule>
  </conditionalFormatting>
  <conditionalFormatting sqref="I107">
    <cfRule type="expression" dxfId="3592" priority="490">
      <formula>E76&gt;=2</formula>
    </cfRule>
  </conditionalFormatting>
  <conditionalFormatting sqref="J107">
    <cfRule type="expression" dxfId="3591" priority="489">
      <formula>E76&gt;=2</formula>
    </cfRule>
  </conditionalFormatting>
  <conditionalFormatting sqref="H107">
    <cfRule type="expression" dxfId="3590" priority="488">
      <formula>E76&gt;=2</formula>
    </cfRule>
  </conditionalFormatting>
  <conditionalFormatting sqref="H109">
    <cfRule type="expression" dxfId="3589" priority="487">
      <formula>E76&gt;=4</formula>
    </cfRule>
  </conditionalFormatting>
  <conditionalFormatting sqref="H110">
    <cfRule type="expression" dxfId="3588" priority="486">
      <formula>E76&gt;=5</formula>
    </cfRule>
  </conditionalFormatting>
  <conditionalFormatting sqref="H111">
    <cfRule type="expression" dxfId="3587" priority="485">
      <formula>E76&gt;=6</formula>
    </cfRule>
  </conditionalFormatting>
  <conditionalFormatting sqref="H112">
    <cfRule type="expression" dxfId="3586" priority="484">
      <formula>E76&gt;=7</formula>
    </cfRule>
  </conditionalFormatting>
  <conditionalFormatting sqref="H113">
    <cfRule type="expression" dxfId="3585" priority="483">
      <formula>E76&gt;=8</formula>
    </cfRule>
  </conditionalFormatting>
  <conditionalFormatting sqref="H114">
    <cfRule type="expression" dxfId="3584" priority="482">
      <formula>E76&gt;=9</formula>
    </cfRule>
  </conditionalFormatting>
  <conditionalFormatting sqref="H115">
    <cfRule type="expression" dxfId="3583" priority="481">
      <formula>E76&gt;=10</formula>
    </cfRule>
  </conditionalFormatting>
  <conditionalFormatting sqref="H116">
    <cfRule type="expression" dxfId="3582" priority="480">
      <formula>E76&gt;=11</formula>
    </cfRule>
  </conditionalFormatting>
  <conditionalFormatting sqref="H117">
    <cfRule type="expression" dxfId="3581" priority="479">
      <formula>E76&gt;=12</formula>
    </cfRule>
  </conditionalFormatting>
  <conditionalFormatting sqref="I108">
    <cfRule type="expression" dxfId="3580" priority="478">
      <formula>E76&gt;=3</formula>
    </cfRule>
  </conditionalFormatting>
  <conditionalFormatting sqref="I109">
    <cfRule type="expression" dxfId="3579" priority="477">
      <formula>E76&gt;=4</formula>
    </cfRule>
  </conditionalFormatting>
  <conditionalFormatting sqref="I110">
    <cfRule type="expression" dxfId="3578" priority="476">
      <formula>E76&gt;=5</formula>
    </cfRule>
  </conditionalFormatting>
  <conditionalFormatting sqref="I111">
    <cfRule type="expression" dxfId="3577" priority="475">
      <formula>E76&gt;=6</formula>
    </cfRule>
  </conditionalFormatting>
  <conditionalFormatting sqref="I112">
    <cfRule type="expression" dxfId="3576" priority="474">
      <formula>E76&gt;=7</formula>
    </cfRule>
  </conditionalFormatting>
  <conditionalFormatting sqref="I113">
    <cfRule type="expression" dxfId="3575" priority="473">
      <formula>E76&gt;=8</formula>
    </cfRule>
  </conditionalFormatting>
  <conditionalFormatting sqref="I114">
    <cfRule type="expression" dxfId="3574" priority="472">
      <formula>E76&gt;=9</formula>
    </cfRule>
  </conditionalFormatting>
  <conditionalFormatting sqref="I115">
    <cfRule type="expression" dxfId="3573" priority="471">
      <formula>E76&gt;=10</formula>
    </cfRule>
  </conditionalFormatting>
  <conditionalFormatting sqref="I116">
    <cfRule type="expression" dxfId="3572" priority="470">
      <formula>E76&gt;=11</formula>
    </cfRule>
  </conditionalFormatting>
  <conditionalFormatting sqref="I117">
    <cfRule type="expression" dxfId="3571" priority="469">
      <formula>E76&gt;=12</formula>
    </cfRule>
  </conditionalFormatting>
  <conditionalFormatting sqref="J108">
    <cfRule type="expression" dxfId="3570" priority="468">
      <formula>E76&gt;=3</formula>
    </cfRule>
  </conditionalFormatting>
  <conditionalFormatting sqref="J109">
    <cfRule type="expression" dxfId="3569" priority="467">
      <formula>E76&gt;=4</formula>
    </cfRule>
  </conditionalFormatting>
  <conditionalFormatting sqref="J110">
    <cfRule type="expression" dxfId="3568" priority="466">
      <formula>E76&gt;=5</formula>
    </cfRule>
  </conditionalFormatting>
  <conditionalFormatting sqref="J111">
    <cfRule type="expression" dxfId="3567" priority="465">
      <formula>E76&gt;=6</formula>
    </cfRule>
  </conditionalFormatting>
  <conditionalFormatting sqref="J112">
    <cfRule type="expression" dxfId="3566" priority="464">
      <formula>E76&gt;=7</formula>
    </cfRule>
  </conditionalFormatting>
  <conditionalFormatting sqref="J113">
    <cfRule type="expression" dxfId="3565" priority="463">
      <formula>E76&gt;=8</formula>
    </cfRule>
  </conditionalFormatting>
  <conditionalFormatting sqref="J114">
    <cfRule type="expression" dxfId="3564" priority="462">
      <formula>E76&gt;=9</formula>
    </cfRule>
  </conditionalFormatting>
  <conditionalFormatting sqref="J115">
    <cfRule type="expression" dxfId="3563" priority="461">
      <formula>E76&gt;=10</formula>
    </cfRule>
  </conditionalFormatting>
  <conditionalFormatting sqref="J116">
    <cfRule type="expression" dxfId="3562" priority="460">
      <formula>E76&gt;=11</formula>
    </cfRule>
  </conditionalFormatting>
  <conditionalFormatting sqref="J117">
    <cfRule type="expression" dxfId="3561" priority="459">
      <formula>E76&gt;=12</formula>
    </cfRule>
  </conditionalFormatting>
  <conditionalFormatting sqref="F77:F78">
    <cfRule type="expression" dxfId="3560" priority="458">
      <formula>$E$18&lt;$E$17</formula>
    </cfRule>
  </conditionalFormatting>
  <conditionalFormatting sqref="K75:M75">
    <cfRule type="expression" dxfId="3559" priority="457">
      <formula>J75&lt;&gt;""</formula>
    </cfRule>
  </conditionalFormatting>
  <conditionalFormatting sqref="E75">
    <cfRule type="expression" dxfId="3558" priority="456">
      <formula>E74="Yes"</formula>
    </cfRule>
  </conditionalFormatting>
  <conditionalFormatting sqref="E76">
    <cfRule type="expression" dxfId="3557" priority="455">
      <formula>E74="Yes"</formula>
    </cfRule>
  </conditionalFormatting>
  <conditionalFormatting sqref="E77:E78">
    <cfRule type="expression" dxfId="3556" priority="454">
      <formula>E77&lt;&gt;""</formula>
    </cfRule>
  </conditionalFormatting>
  <conditionalFormatting sqref="E84">
    <cfRule type="expression" dxfId="3555" priority="451">
      <formula>C82&lt;&gt;""</formula>
    </cfRule>
  </conditionalFormatting>
  <conditionalFormatting sqref="C84">
    <cfRule type="expression" dxfId="3554" priority="450">
      <formula>C82&lt;&gt;""</formula>
    </cfRule>
  </conditionalFormatting>
  <conditionalFormatting sqref="D84">
    <cfRule type="expression" dxfId="3553" priority="449">
      <formula>C82&lt;&gt;""</formula>
    </cfRule>
  </conditionalFormatting>
  <conditionalFormatting sqref="H84">
    <cfRule type="expression" dxfId="3552" priority="448">
      <formula>C82&lt;&gt;""</formula>
    </cfRule>
  </conditionalFormatting>
  <conditionalFormatting sqref="I84">
    <cfRule type="expression" dxfId="3551" priority="447">
      <formula>C82&lt;&gt;""</formula>
    </cfRule>
  </conditionalFormatting>
  <conditionalFormatting sqref="C105">
    <cfRule type="expression" dxfId="3550" priority="446">
      <formula>C102&lt;&gt;""</formula>
    </cfRule>
  </conditionalFormatting>
  <conditionalFormatting sqref="F105">
    <cfRule type="expression" dxfId="3549" priority="445">
      <formula>C102&lt;&gt;""</formula>
    </cfRule>
  </conditionalFormatting>
  <conditionalFormatting sqref="H105">
    <cfRule type="expression" dxfId="3548" priority="444">
      <formula>C102&lt;&gt;""</formula>
    </cfRule>
  </conditionalFormatting>
  <conditionalFormatting sqref="D105">
    <cfRule type="expression" dxfId="3547" priority="443">
      <formula>C102&lt;&gt;""</formula>
    </cfRule>
  </conditionalFormatting>
  <conditionalFormatting sqref="E105">
    <cfRule type="expression" dxfId="3546" priority="442">
      <formula>C102&lt;&gt;""</formula>
    </cfRule>
  </conditionalFormatting>
  <conditionalFormatting sqref="I105">
    <cfRule type="expression" dxfId="3545" priority="441">
      <formula>C102&lt;&gt;""</formula>
    </cfRule>
  </conditionalFormatting>
  <conditionalFormatting sqref="J105">
    <cfRule type="expression" dxfId="3544" priority="440">
      <formula>C102&lt;&gt;""</formula>
    </cfRule>
  </conditionalFormatting>
  <conditionalFormatting sqref="K70">
    <cfRule type="expression" dxfId="3543" priority="439">
      <formula>J70&lt;&gt;""</formula>
    </cfRule>
  </conditionalFormatting>
  <conditionalFormatting sqref="T70">
    <cfRule type="expression" dxfId="3542" priority="438">
      <formula>S70&lt;&gt;""</formula>
    </cfRule>
  </conditionalFormatting>
  <conditionalFormatting sqref="AC70">
    <cfRule type="expression" dxfId="3541" priority="437">
      <formula>AB70&lt;&gt;""</formula>
    </cfRule>
  </conditionalFormatting>
  <conditionalFormatting sqref="AL70">
    <cfRule type="expression" dxfId="3540" priority="436">
      <formula>AK70&lt;&gt;""</formula>
    </cfRule>
  </conditionalFormatting>
  <conditionalFormatting sqref="AU70">
    <cfRule type="expression" dxfId="3539" priority="435">
      <formula>AT70&lt;&gt;""</formula>
    </cfRule>
  </conditionalFormatting>
  <conditionalFormatting sqref="BD70">
    <cfRule type="expression" dxfId="3538" priority="434">
      <formula>BC70&lt;&gt;""</formula>
    </cfRule>
  </conditionalFormatting>
  <conditionalFormatting sqref="BM70">
    <cfRule type="expression" dxfId="3537" priority="433">
      <formula>BL70&lt;&gt;""</formula>
    </cfRule>
  </conditionalFormatting>
  <conditionalFormatting sqref="BV70">
    <cfRule type="expression" dxfId="3536" priority="432">
      <formula>BU70&lt;&gt;""</formula>
    </cfRule>
  </conditionalFormatting>
  <conditionalFormatting sqref="CE70">
    <cfRule type="expression" dxfId="3535" priority="431">
      <formula>CD70&lt;&gt;""</formula>
    </cfRule>
  </conditionalFormatting>
  <conditionalFormatting sqref="CN70">
    <cfRule type="expression" dxfId="3534" priority="430">
      <formula>CM70&lt;&gt;""</formula>
    </cfRule>
  </conditionalFormatting>
  <conditionalFormatting sqref="CW70">
    <cfRule type="expression" dxfId="3533" priority="429">
      <formula>CV70&lt;&gt;""</formula>
    </cfRule>
  </conditionalFormatting>
  <conditionalFormatting sqref="DF70">
    <cfRule type="expression" dxfId="3532" priority="428">
      <formula>DE70&lt;&gt;""</formula>
    </cfRule>
  </conditionalFormatting>
  <conditionalFormatting sqref="K69">
    <cfRule type="expression" dxfId="3531" priority="427">
      <formula>J69&lt;&gt;""</formula>
    </cfRule>
  </conditionalFormatting>
  <conditionalFormatting sqref="T69">
    <cfRule type="expression" dxfId="3530" priority="426">
      <formula>S69&lt;&gt;""</formula>
    </cfRule>
  </conditionalFormatting>
  <conditionalFormatting sqref="AC69">
    <cfRule type="expression" dxfId="3529" priority="425">
      <formula>AB69&lt;&gt;""</formula>
    </cfRule>
  </conditionalFormatting>
  <conditionalFormatting sqref="AL69">
    <cfRule type="expression" dxfId="3528" priority="424">
      <formula>AK69&lt;&gt;""</formula>
    </cfRule>
  </conditionalFormatting>
  <conditionalFormatting sqref="AU69">
    <cfRule type="expression" dxfId="3527" priority="423">
      <formula>AT69&lt;&gt;""</formula>
    </cfRule>
  </conditionalFormatting>
  <conditionalFormatting sqref="BD69">
    <cfRule type="expression" dxfId="3526" priority="422">
      <formula>BC69&lt;&gt;""</formula>
    </cfRule>
  </conditionalFormatting>
  <conditionalFormatting sqref="BM69">
    <cfRule type="expression" dxfId="3525" priority="421">
      <formula>BL69&lt;&gt;""</formula>
    </cfRule>
  </conditionalFormatting>
  <conditionalFormatting sqref="BV69">
    <cfRule type="expression" dxfId="3524" priority="420">
      <formula>BU69&lt;&gt;""</formula>
    </cfRule>
  </conditionalFormatting>
  <conditionalFormatting sqref="CE69">
    <cfRule type="expression" dxfId="3523" priority="419">
      <formula>CD69&lt;&gt;""</formula>
    </cfRule>
  </conditionalFormatting>
  <conditionalFormatting sqref="CN69">
    <cfRule type="expression" dxfId="3522" priority="418">
      <formula>CM69&lt;&gt;""</formula>
    </cfRule>
  </conditionalFormatting>
  <conditionalFormatting sqref="CW69">
    <cfRule type="expression" dxfId="3521" priority="417">
      <formula>CV69&lt;&gt;""</formula>
    </cfRule>
  </conditionalFormatting>
  <conditionalFormatting sqref="DF69">
    <cfRule type="expression" dxfId="3520" priority="416">
      <formula>DE69&lt;&gt;""</formula>
    </cfRule>
  </conditionalFormatting>
  <conditionalFormatting sqref="K85">
    <cfRule type="expression" dxfId="3519" priority="415">
      <formula>$B85&lt;&gt;""</formula>
    </cfRule>
  </conditionalFormatting>
  <conditionalFormatting sqref="K86">
    <cfRule type="expression" dxfId="3518" priority="414">
      <formula>$B86&lt;&gt;""</formula>
    </cfRule>
  </conditionalFormatting>
  <conditionalFormatting sqref="K87">
    <cfRule type="expression" dxfId="3517" priority="413">
      <formula>$B87&lt;&gt;""</formula>
    </cfRule>
  </conditionalFormatting>
  <conditionalFormatting sqref="K88">
    <cfRule type="expression" dxfId="3516" priority="412">
      <formula>$B88&lt;&gt;""</formula>
    </cfRule>
  </conditionalFormatting>
  <conditionalFormatting sqref="K89">
    <cfRule type="expression" dxfId="3515" priority="411">
      <formula>$B89&lt;&gt;""</formula>
    </cfRule>
  </conditionalFormatting>
  <conditionalFormatting sqref="K90">
    <cfRule type="expression" dxfId="3514" priority="410">
      <formula>$B90&lt;&gt;""</formula>
    </cfRule>
  </conditionalFormatting>
  <conditionalFormatting sqref="K91">
    <cfRule type="expression" dxfId="3513" priority="409">
      <formula>$B91&lt;&gt;""</formula>
    </cfRule>
  </conditionalFormatting>
  <conditionalFormatting sqref="K92">
    <cfRule type="expression" dxfId="3512" priority="408">
      <formula>$B92&lt;&gt;""</formula>
    </cfRule>
  </conditionalFormatting>
  <conditionalFormatting sqref="K93">
    <cfRule type="expression" dxfId="3511" priority="407">
      <formula>$B93&lt;&gt;""</formula>
    </cfRule>
  </conditionalFormatting>
  <conditionalFormatting sqref="K94">
    <cfRule type="expression" dxfId="3510" priority="406">
      <formula>$B94&lt;&gt;""</formula>
    </cfRule>
  </conditionalFormatting>
  <conditionalFormatting sqref="K95">
    <cfRule type="expression" dxfId="3509" priority="405">
      <formula>$B95&lt;&gt;""</formula>
    </cfRule>
  </conditionalFormatting>
  <conditionalFormatting sqref="K96">
    <cfRule type="expression" dxfId="3508" priority="404">
      <formula>$B96&lt;&gt;""</formula>
    </cfRule>
  </conditionalFormatting>
  <conditionalFormatting sqref="J85">
    <cfRule type="expression" dxfId="3507" priority="403">
      <formula>$B85&lt;&gt;""</formula>
    </cfRule>
  </conditionalFormatting>
  <conditionalFormatting sqref="J96">
    <cfRule type="expression" dxfId="3506" priority="402">
      <formula>$B96&lt;&gt;""</formula>
    </cfRule>
  </conditionalFormatting>
  <conditionalFormatting sqref="J95">
    <cfRule type="expression" dxfId="3505" priority="401">
      <formula>$B95&lt;&gt;""</formula>
    </cfRule>
  </conditionalFormatting>
  <conditionalFormatting sqref="J94">
    <cfRule type="expression" dxfId="3504" priority="400">
      <formula>$B94&lt;&gt;""</formula>
    </cfRule>
  </conditionalFormatting>
  <conditionalFormatting sqref="J93">
    <cfRule type="expression" dxfId="3503" priority="399">
      <formula>$B93&lt;&gt;""</formula>
    </cfRule>
  </conditionalFormatting>
  <conditionalFormatting sqref="J92">
    <cfRule type="expression" dxfId="3502" priority="398">
      <formula>$B92&lt;&gt;""</formula>
    </cfRule>
  </conditionalFormatting>
  <conditionalFormatting sqref="J91">
    <cfRule type="expression" dxfId="3501" priority="397">
      <formula>$B91&lt;&gt;""</formula>
    </cfRule>
  </conditionalFormatting>
  <conditionalFormatting sqref="J90">
    <cfRule type="expression" dxfId="3500" priority="396">
      <formula>$B90&lt;&gt;""</formula>
    </cfRule>
  </conditionalFormatting>
  <conditionalFormatting sqref="J89">
    <cfRule type="expression" dxfId="3499" priority="395">
      <formula>$B89&lt;&gt;""</formula>
    </cfRule>
  </conditionalFormatting>
  <conditionalFormatting sqref="J88">
    <cfRule type="expression" dxfId="3498" priority="394">
      <formula>$B88&lt;&gt;""</formula>
    </cfRule>
  </conditionalFormatting>
  <conditionalFormatting sqref="J87">
    <cfRule type="expression" dxfId="3497" priority="393">
      <formula>$B87&lt;&gt;""</formula>
    </cfRule>
  </conditionalFormatting>
  <conditionalFormatting sqref="J86">
    <cfRule type="expression" dxfId="3496" priority="392">
      <formula>$B86&lt;&gt;""</formula>
    </cfRule>
  </conditionalFormatting>
  <conditionalFormatting sqref="J84">
    <cfRule type="expression" dxfId="3495" priority="391">
      <formula>$C82&lt;&gt;""</formula>
    </cfRule>
  </conditionalFormatting>
  <conditionalFormatting sqref="G84">
    <cfRule type="expression" dxfId="3494" priority="390">
      <formula>C82&lt;&gt;""</formula>
    </cfRule>
  </conditionalFormatting>
  <conditionalFormatting sqref="K84">
    <cfRule type="expression" dxfId="3493" priority="389">
      <formula>$C82&lt;&gt;""</formula>
    </cfRule>
  </conditionalFormatting>
  <conditionalFormatting sqref="F85">
    <cfRule type="expression" dxfId="3492" priority="388">
      <formula>$B85&lt;&gt;""</formula>
    </cfRule>
  </conditionalFormatting>
  <conditionalFormatting sqref="F96">
    <cfRule type="expression" dxfId="3491" priority="387">
      <formula>$B96&lt;&gt;""</formula>
    </cfRule>
  </conditionalFormatting>
  <conditionalFormatting sqref="F95">
    <cfRule type="expression" dxfId="3490" priority="386">
      <formula>$B95&lt;&gt;""</formula>
    </cfRule>
  </conditionalFormatting>
  <conditionalFormatting sqref="F94">
    <cfRule type="expression" dxfId="3489" priority="385">
      <formula>$B94&lt;&gt;""</formula>
    </cfRule>
  </conditionalFormatting>
  <conditionalFormatting sqref="F93">
    <cfRule type="expression" dxfId="3488" priority="384">
      <formula>$B93&lt;&gt;""</formula>
    </cfRule>
  </conditionalFormatting>
  <conditionalFormatting sqref="F92">
    <cfRule type="expression" dxfId="3487" priority="383">
      <formula>$B92&lt;&gt;""</formula>
    </cfRule>
  </conditionalFormatting>
  <conditionalFormatting sqref="F91">
    <cfRule type="expression" dxfId="3486" priority="382">
      <formula>$B91&lt;&gt;""</formula>
    </cfRule>
  </conditionalFormatting>
  <conditionalFormatting sqref="F90">
    <cfRule type="expression" dxfId="3485" priority="381">
      <formula>$B90&lt;&gt;""</formula>
    </cfRule>
  </conditionalFormatting>
  <conditionalFormatting sqref="F89">
    <cfRule type="expression" dxfId="3484" priority="380">
      <formula>$B89&lt;&gt;""</formula>
    </cfRule>
  </conditionalFormatting>
  <conditionalFormatting sqref="F88">
    <cfRule type="expression" dxfId="3483" priority="379">
      <formula>$B88&lt;&gt;""</formula>
    </cfRule>
  </conditionalFormatting>
  <conditionalFormatting sqref="F87">
    <cfRule type="expression" dxfId="3482" priority="378">
      <formula>$B87&lt;&gt;""</formula>
    </cfRule>
  </conditionalFormatting>
  <conditionalFormatting sqref="F86">
    <cfRule type="expression" dxfId="3481" priority="377">
      <formula>$B86&lt;&gt;""</formula>
    </cfRule>
  </conditionalFormatting>
  <conditionalFormatting sqref="F84">
    <cfRule type="expression" dxfId="3480" priority="376">
      <formula>$C82&lt;&gt;""</formula>
    </cfRule>
  </conditionalFormatting>
  <conditionalFormatting sqref="G106">
    <cfRule type="expression" dxfId="3479" priority="375">
      <formula>$B106&lt;&gt;""</formula>
    </cfRule>
  </conditionalFormatting>
  <conditionalFormatting sqref="G117">
    <cfRule type="expression" dxfId="3478" priority="374">
      <formula>$B117&lt;&gt;""</formula>
    </cfRule>
  </conditionalFormatting>
  <conditionalFormatting sqref="G116">
    <cfRule type="expression" dxfId="3477" priority="373">
      <formula>$B116&lt;&gt;""</formula>
    </cfRule>
  </conditionalFormatting>
  <conditionalFormatting sqref="G115">
    <cfRule type="expression" dxfId="3476" priority="372">
      <formula>$B115&lt;&gt;""</formula>
    </cfRule>
  </conditionalFormatting>
  <conditionalFormatting sqref="G114">
    <cfRule type="expression" dxfId="3475" priority="371">
      <formula>$B114&lt;&gt;""</formula>
    </cfRule>
  </conditionalFormatting>
  <conditionalFormatting sqref="G113">
    <cfRule type="expression" dxfId="3474" priority="370">
      <formula>$B113&lt;&gt;""</formula>
    </cfRule>
  </conditionalFormatting>
  <conditionalFormatting sqref="G112">
    <cfRule type="expression" dxfId="3473" priority="369">
      <formula>$B112&lt;&gt;""</formula>
    </cfRule>
  </conditionalFormatting>
  <conditionalFormatting sqref="G111">
    <cfRule type="expression" dxfId="3472" priority="368">
      <formula>$B111&lt;&gt;""</formula>
    </cfRule>
  </conditionalFormatting>
  <conditionalFormatting sqref="G110">
    <cfRule type="expression" dxfId="3471" priority="367">
      <formula>$B110&lt;&gt;""</formula>
    </cfRule>
  </conditionalFormatting>
  <conditionalFormatting sqref="G109">
    <cfRule type="expression" dxfId="3470" priority="366">
      <formula>$B109&lt;&gt;""</formula>
    </cfRule>
  </conditionalFormatting>
  <conditionalFormatting sqref="G108">
    <cfRule type="expression" dxfId="3469" priority="365">
      <formula>$B108&lt;&gt;""</formula>
    </cfRule>
  </conditionalFormatting>
  <conditionalFormatting sqref="G107">
    <cfRule type="expression" dxfId="3468" priority="364">
      <formula>$B107&lt;&gt;""</formula>
    </cfRule>
  </conditionalFormatting>
  <conditionalFormatting sqref="G105">
    <cfRule type="expression" dxfId="3467" priority="363">
      <formula>$C102&lt;&gt;""</formula>
    </cfRule>
  </conditionalFormatting>
  <conditionalFormatting sqref="K106">
    <cfRule type="expression" dxfId="3466" priority="362">
      <formula>$B106&lt;&gt;""</formula>
    </cfRule>
  </conditionalFormatting>
  <conditionalFormatting sqref="K117">
    <cfRule type="expression" dxfId="3465" priority="361">
      <formula>$B117&lt;&gt;""</formula>
    </cfRule>
  </conditionalFormatting>
  <conditionalFormatting sqref="K116">
    <cfRule type="expression" dxfId="3464" priority="360">
      <formula>$B116&lt;&gt;""</formula>
    </cfRule>
  </conditionalFormatting>
  <conditionalFormatting sqref="K115">
    <cfRule type="expression" dxfId="3463" priority="359">
      <formula>$B115&lt;&gt;""</formula>
    </cfRule>
  </conditionalFormatting>
  <conditionalFormatting sqref="K114">
    <cfRule type="expression" dxfId="3462" priority="358">
      <formula>$B114&lt;&gt;""</formula>
    </cfRule>
  </conditionalFormatting>
  <conditionalFormatting sqref="K113">
    <cfRule type="expression" dxfId="3461" priority="357">
      <formula>$B113&lt;&gt;""</formula>
    </cfRule>
  </conditionalFormatting>
  <conditionalFormatting sqref="K112">
    <cfRule type="expression" dxfId="3460" priority="356">
      <formula>$B112&lt;&gt;""</formula>
    </cfRule>
  </conditionalFormatting>
  <conditionalFormatting sqref="K111">
    <cfRule type="expression" dxfId="3459" priority="355">
      <formula>$B111&lt;&gt;""</formula>
    </cfRule>
  </conditionalFormatting>
  <conditionalFormatting sqref="K110">
    <cfRule type="expression" dxfId="3458" priority="354">
      <formula>$B110&lt;&gt;""</formula>
    </cfRule>
  </conditionalFormatting>
  <conditionalFormatting sqref="K109">
    <cfRule type="expression" dxfId="3457" priority="353">
      <formula>$B109&lt;&gt;""</formula>
    </cfRule>
  </conditionalFormatting>
  <conditionalFormatting sqref="K108">
    <cfRule type="expression" dxfId="3456" priority="352">
      <formula>$B108&lt;&gt;""</formula>
    </cfRule>
  </conditionalFormatting>
  <conditionalFormatting sqref="K107">
    <cfRule type="expression" dxfId="3455" priority="351">
      <formula>$B107&lt;&gt;""</formula>
    </cfRule>
  </conditionalFormatting>
  <conditionalFormatting sqref="K105">
    <cfRule type="expression" dxfId="3454" priority="350">
      <formula>$C102&lt;&gt;""</formula>
    </cfRule>
  </conditionalFormatting>
  <conditionalFormatting sqref="L106">
    <cfRule type="expression" dxfId="3453" priority="349">
      <formula>$B106&lt;&gt;""</formula>
    </cfRule>
  </conditionalFormatting>
  <conditionalFormatting sqref="L107">
    <cfRule type="expression" dxfId="3452" priority="348">
      <formula>$B107&lt;&gt;""</formula>
    </cfRule>
  </conditionalFormatting>
  <conditionalFormatting sqref="L108">
    <cfRule type="expression" dxfId="3451" priority="347">
      <formula>$B108&lt;&gt;""</formula>
    </cfRule>
  </conditionalFormatting>
  <conditionalFormatting sqref="L109">
    <cfRule type="expression" dxfId="3450" priority="346">
      <formula>$B109&lt;&gt;""</formula>
    </cfRule>
  </conditionalFormatting>
  <conditionalFormatting sqref="L110">
    <cfRule type="expression" dxfId="3449" priority="345">
      <formula>$B110&lt;&gt;""</formula>
    </cfRule>
  </conditionalFormatting>
  <conditionalFormatting sqref="L111">
    <cfRule type="expression" dxfId="3448" priority="344">
      <formula>$B111&lt;&gt;""</formula>
    </cfRule>
  </conditionalFormatting>
  <conditionalFormatting sqref="L112">
    <cfRule type="expression" dxfId="3447" priority="343">
      <formula>$B112&lt;&gt;""</formula>
    </cfRule>
  </conditionalFormatting>
  <conditionalFormatting sqref="L113">
    <cfRule type="expression" dxfId="3446" priority="342">
      <formula>$B113&lt;&gt;""</formula>
    </cfRule>
  </conditionalFormatting>
  <conditionalFormatting sqref="L114">
    <cfRule type="expression" dxfId="3445" priority="341">
      <formula>$B114&lt;&gt;""</formula>
    </cfRule>
  </conditionalFormatting>
  <conditionalFormatting sqref="L115">
    <cfRule type="expression" dxfId="3444" priority="340">
      <formula>$B115&lt;&gt;""</formula>
    </cfRule>
  </conditionalFormatting>
  <conditionalFormatting sqref="L116">
    <cfRule type="expression" dxfId="3443" priority="339">
      <formula>$B116&lt;&gt;""</formula>
    </cfRule>
  </conditionalFormatting>
  <conditionalFormatting sqref="L117">
    <cfRule type="expression" dxfId="3442" priority="338">
      <formula>$B117&lt;&gt;""</formula>
    </cfRule>
  </conditionalFormatting>
  <conditionalFormatting sqref="L105">
    <cfRule type="expression" dxfId="3441" priority="337">
      <formula>$C102&lt;&gt;""</formula>
    </cfRule>
  </conditionalFormatting>
  <conditionalFormatting sqref="M106">
    <cfRule type="expression" dxfId="3440" priority="336">
      <formula>$B106&lt;&gt;""</formula>
    </cfRule>
  </conditionalFormatting>
  <conditionalFormatting sqref="M107">
    <cfRule type="expression" dxfId="3439" priority="335">
      <formula>$B107&lt;&gt;""</formula>
    </cfRule>
  </conditionalFormatting>
  <conditionalFormatting sqref="M108">
    <cfRule type="expression" dxfId="3438" priority="334">
      <formula>$B108&lt;&gt;""</formula>
    </cfRule>
  </conditionalFormatting>
  <conditionalFormatting sqref="M109">
    <cfRule type="expression" dxfId="3437" priority="333">
      <formula>$B109&lt;&gt;""</formula>
    </cfRule>
  </conditionalFormatting>
  <conditionalFormatting sqref="M110">
    <cfRule type="expression" dxfId="3436" priority="332">
      <formula>$B110&lt;&gt;""</formula>
    </cfRule>
  </conditionalFormatting>
  <conditionalFormatting sqref="M111">
    <cfRule type="expression" dxfId="3435" priority="331">
      <formula>$B111&lt;&gt;""</formula>
    </cfRule>
  </conditionalFormatting>
  <conditionalFormatting sqref="M112">
    <cfRule type="expression" dxfId="3434" priority="330">
      <formula>$B112&lt;&gt;""</formula>
    </cfRule>
  </conditionalFormatting>
  <conditionalFormatting sqref="M113">
    <cfRule type="expression" dxfId="3433" priority="329">
      <formula>$B113&lt;&gt;""</formula>
    </cfRule>
  </conditionalFormatting>
  <conditionalFormatting sqref="M114">
    <cfRule type="expression" dxfId="3432" priority="328">
      <formula>$B114&lt;&gt;""</formula>
    </cfRule>
  </conditionalFormatting>
  <conditionalFormatting sqref="M115">
    <cfRule type="expression" dxfId="3431" priority="327">
      <formula>$B115&lt;&gt;""</formula>
    </cfRule>
  </conditionalFormatting>
  <conditionalFormatting sqref="M116">
    <cfRule type="expression" dxfId="3430" priority="326">
      <formula>$B116&lt;&gt;""</formula>
    </cfRule>
  </conditionalFormatting>
  <conditionalFormatting sqref="M117">
    <cfRule type="expression" dxfId="3429" priority="325">
      <formula>$B117&lt;&gt;""</formula>
    </cfRule>
  </conditionalFormatting>
  <conditionalFormatting sqref="M105">
    <cfRule type="expression" dxfId="3428" priority="324">
      <formula>$C102&lt;&gt;""</formula>
    </cfRule>
  </conditionalFormatting>
  <conditionalFormatting sqref="C128:I128">
    <cfRule type="expression" dxfId="3427" priority="296">
      <formula>$C$128&lt;&gt;""</formula>
    </cfRule>
  </conditionalFormatting>
  <conditionalFormatting sqref="T124">
    <cfRule type="expression" dxfId="3426" priority="293">
      <formula>S124&lt;&gt;""</formula>
    </cfRule>
  </conditionalFormatting>
  <conditionalFormatting sqref="AC124">
    <cfRule type="expression" dxfId="3425" priority="292">
      <formula>AB124&lt;&gt;""</formula>
    </cfRule>
  </conditionalFormatting>
  <conditionalFormatting sqref="AL124">
    <cfRule type="expression" dxfId="3424" priority="291">
      <formula>AK124&lt;&gt;""</formula>
    </cfRule>
  </conditionalFormatting>
  <conditionalFormatting sqref="AU124">
    <cfRule type="expression" dxfId="3423" priority="290">
      <formula>AT124&lt;&gt;""</formula>
    </cfRule>
  </conditionalFormatting>
  <conditionalFormatting sqref="BD124">
    <cfRule type="expression" dxfId="3422" priority="289">
      <formula>BC124&lt;&gt;""</formula>
    </cfRule>
  </conditionalFormatting>
  <conditionalFormatting sqref="BM124">
    <cfRule type="expression" dxfId="3421" priority="288">
      <formula>BL124&lt;&gt;""</formula>
    </cfRule>
  </conditionalFormatting>
  <conditionalFormatting sqref="BV124">
    <cfRule type="expression" dxfId="3420" priority="287">
      <formula>BU124&lt;&gt;""</formula>
    </cfRule>
  </conditionalFormatting>
  <conditionalFormatting sqref="CE124">
    <cfRule type="expression" dxfId="3419" priority="286">
      <formula>CD124&lt;&gt;""</formula>
    </cfRule>
  </conditionalFormatting>
  <conditionalFormatting sqref="CN124">
    <cfRule type="expression" dxfId="3418" priority="285">
      <formula>CM124&lt;&gt;""</formula>
    </cfRule>
  </conditionalFormatting>
  <conditionalFormatting sqref="CW124">
    <cfRule type="expression" dxfId="3417" priority="284">
      <formula>CV124&lt;&gt;""</formula>
    </cfRule>
  </conditionalFormatting>
  <conditionalFormatting sqref="DF124">
    <cfRule type="expression" dxfId="3416" priority="283">
      <formula>DE124&lt;&gt;""</formula>
    </cfRule>
  </conditionalFormatting>
  <conditionalFormatting sqref="C124:H124">
    <cfRule type="expression" dxfId="3415" priority="282">
      <formula>C124&lt;&gt;""</formula>
    </cfRule>
  </conditionalFormatting>
  <conditionalFormatting sqref="J124 M124">
    <cfRule type="expression" dxfId="3414" priority="281">
      <formula>J124&lt;&gt;""</formula>
    </cfRule>
  </conditionalFormatting>
  <conditionalFormatting sqref="C26 H26">
    <cfRule type="expression" dxfId="3413" priority="277">
      <formula>$H$26="No"</formula>
    </cfRule>
  </conditionalFormatting>
  <conditionalFormatting sqref="H27">
    <cfRule type="expression" dxfId="3412" priority="276">
      <formula>$B27&lt;&gt;""</formula>
    </cfRule>
  </conditionalFormatting>
  <conditionalFormatting sqref="C27 H27">
    <cfRule type="expression" dxfId="3411" priority="275">
      <formula>$H27="No"</formula>
    </cfRule>
  </conditionalFormatting>
  <conditionalFormatting sqref="H28">
    <cfRule type="expression" dxfId="3410" priority="274">
      <formula>$B28&lt;&gt;""</formula>
    </cfRule>
  </conditionalFormatting>
  <conditionalFormatting sqref="C28 H28">
    <cfRule type="expression" dxfId="3409" priority="273">
      <formula>$H28="No"</formula>
    </cfRule>
  </conditionalFormatting>
  <conditionalFormatting sqref="H29">
    <cfRule type="expression" dxfId="3408" priority="272">
      <formula>$B29&lt;&gt;""</formula>
    </cfRule>
  </conditionalFormatting>
  <conditionalFormatting sqref="C29 H29">
    <cfRule type="expression" dxfId="3407" priority="271">
      <formula>$H29="No"</formula>
    </cfRule>
  </conditionalFormatting>
  <conditionalFormatting sqref="H30">
    <cfRule type="expression" dxfId="3406" priority="270">
      <formula>$B30&lt;&gt;""</formula>
    </cfRule>
  </conditionalFormatting>
  <conditionalFormatting sqref="C30 H30">
    <cfRule type="expression" dxfId="3405" priority="269">
      <formula>$H30="No"</formula>
    </cfRule>
  </conditionalFormatting>
  <conditionalFormatting sqref="H31">
    <cfRule type="expression" dxfId="3404" priority="268">
      <formula>$B31&lt;&gt;""</formula>
    </cfRule>
  </conditionalFormatting>
  <conditionalFormatting sqref="C31 H31">
    <cfRule type="expression" dxfId="3403" priority="267">
      <formula>$H31="No"</formula>
    </cfRule>
  </conditionalFormatting>
  <conditionalFormatting sqref="H32">
    <cfRule type="expression" dxfId="3402" priority="266">
      <formula>$B32&lt;&gt;""</formula>
    </cfRule>
  </conditionalFormatting>
  <conditionalFormatting sqref="C32 H32">
    <cfRule type="expression" dxfId="3401" priority="265">
      <formula>$H32="No"</formula>
    </cfRule>
  </conditionalFormatting>
  <conditionalFormatting sqref="H33">
    <cfRule type="expression" dxfId="3400" priority="264">
      <formula>$B33&lt;&gt;""</formula>
    </cfRule>
  </conditionalFormatting>
  <conditionalFormatting sqref="C33 H33">
    <cfRule type="expression" dxfId="3399" priority="263">
      <formula>$H33="No"</formula>
    </cfRule>
  </conditionalFormatting>
  <conditionalFormatting sqref="H34">
    <cfRule type="expression" dxfId="3398" priority="262">
      <formula>$B34&lt;&gt;""</formula>
    </cfRule>
  </conditionalFormatting>
  <conditionalFormatting sqref="C34 H34">
    <cfRule type="expression" dxfId="3397" priority="261">
      <formula>$H34="No"</formula>
    </cfRule>
  </conditionalFormatting>
  <conditionalFormatting sqref="H35">
    <cfRule type="expression" dxfId="3396" priority="260">
      <formula>$B35&lt;&gt;""</formula>
    </cfRule>
  </conditionalFormatting>
  <conditionalFormatting sqref="C35 H35">
    <cfRule type="expression" dxfId="3395" priority="259">
      <formula>$H35="No"</formula>
    </cfRule>
  </conditionalFormatting>
  <conditionalFormatting sqref="H36">
    <cfRule type="expression" dxfId="3394" priority="258">
      <formula>$B36&lt;&gt;""</formula>
    </cfRule>
  </conditionalFormatting>
  <conditionalFormatting sqref="C36 H36">
    <cfRule type="expression" dxfId="3393" priority="257">
      <formula>$H36="No"</formula>
    </cfRule>
  </conditionalFormatting>
  <conditionalFormatting sqref="H37">
    <cfRule type="expression" dxfId="3392" priority="256">
      <formula>$B37&lt;&gt;""</formula>
    </cfRule>
  </conditionalFormatting>
  <conditionalFormatting sqref="C37 H37">
    <cfRule type="expression" dxfId="3391" priority="255">
      <formula>$H37="No"</formula>
    </cfRule>
  </conditionalFormatting>
  <conditionalFormatting sqref="I26:M28">
    <cfRule type="expression" dxfId="3390" priority="254">
      <formula>$I$26&lt;&gt;""</formula>
    </cfRule>
  </conditionalFormatting>
  <conditionalFormatting sqref="C23:H23">
    <cfRule type="expression" dxfId="3389" priority="253">
      <formula>$C$23&lt;&gt;""</formula>
    </cfRule>
  </conditionalFormatting>
  <conditionalFormatting sqref="C24:H24">
    <cfRule type="expression" dxfId="3388" priority="252">
      <formula>$C$23&lt;&gt;""</formula>
    </cfRule>
  </conditionalFormatting>
  <conditionalFormatting sqref="J47">
    <cfRule type="expression" dxfId="3387" priority="248">
      <formula>$B47&lt;&gt;""</formula>
    </cfRule>
  </conditionalFormatting>
  <conditionalFormatting sqref="C47 J47:J61">
    <cfRule type="expression" dxfId="3386" priority="247">
      <formula>$J47="No"</formula>
    </cfRule>
  </conditionalFormatting>
  <conditionalFormatting sqref="J48">
    <cfRule type="expression" dxfId="3385" priority="246">
      <formula>$B48&lt;&gt;""</formula>
    </cfRule>
  </conditionalFormatting>
  <conditionalFormatting sqref="C48">
    <cfRule type="expression" dxfId="3384" priority="245">
      <formula>$J48="No"</formula>
    </cfRule>
  </conditionalFormatting>
  <conditionalFormatting sqref="J49">
    <cfRule type="expression" dxfId="3383" priority="244">
      <formula>$B49&lt;&gt;""</formula>
    </cfRule>
  </conditionalFormatting>
  <conditionalFormatting sqref="C49">
    <cfRule type="expression" dxfId="3382" priority="243">
      <formula>$J49="No"</formula>
    </cfRule>
  </conditionalFormatting>
  <conditionalFormatting sqref="J50">
    <cfRule type="expression" dxfId="3381" priority="242">
      <formula>$B50&lt;&gt;""</formula>
    </cfRule>
  </conditionalFormatting>
  <conditionalFormatting sqref="C50">
    <cfRule type="expression" dxfId="3380" priority="241">
      <formula>$J50="No"</formula>
    </cfRule>
  </conditionalFormatting>
  <conditionalFormatting sqref="J51">
    <cfRule type="expression" dxfId="3379" priority="240">
      <formula>$B51&lt;&gt;""</formula>
    </cfRule>
  </conditionalFormatting>
  <conditionalFormatting sqref="C51">
    <cfRule type="expression" dxfId="3378" priority="239">
      <formula>$J51="No"</formula>
    </cfRule>
  </conditionalFormatting>
  <conditionalFormatting sqref="J52">
    <cfRule type="expression" dxfId="3377" priority="238">
      <formula>$B52&lt;&gt;""</formula>
    </cfRule>
  </conditionalFormatting>
  <conditionalFormatting sqref="C52">
    <cfRule type="expression" dxfId="3376" priority="237">
      <formula>$J52="No"</formula>
    </cfRule>
  </conditionalFormatting>
  <conditionalFormatting sqref="J53">
    <cfRule type="expression" dxfId="3375" priority="236">
      <formula>$B53&lt;&gt;""</formula>
    </cfRule>
  </conditionalFormatting>
  <conditionalFormatting sqref="C53">
    <cfRule type="expression" dxfId="3374" priority="235">
      <formula>$J53="No"</formula>
    </cfRule>
  </conditionalFormatting>
  <conditionalFormatting sqref="J54">
    <cfRule type="expression" dxfId="3373" priority="234">
      <formula>$B54&lt;&gt;""</formula>
    </cfRule>
  </conditionalFormatting>
  <conditionalFormatting sqref="C54">
    <cfRule type="expression" dxfId="3372" priority="233">
      <formula>$J54="No"</formula>
    </cfRule>
  </conditionalFormatting>
  <conditionalFormatting sqref="J55">
    <cfRule type="expression" dxfId="3371" priority="232">
      <formula>$B55&lt;&gt;""</formula>
    </cfRule>
  </conditionalFormatting>
  <conditionalFormatting sqref="C55">
    <cfRule type="expression" dxfId="3370" priority="231">
      <formula>$J55="No"</formula>
    </cfRule>
  </conditionalFormatting>
  <conditionalFormatting sqref="J56">
    <cfRule type="expression" dxfId="3369" priority="230">
      <formula>$B56&lt;&gt;""</formula>
    </cfRule>
  </conditionalFormatting>
  <conditionalFormatting sqref="C56">
    <cfRule type="expression" dxfId="3368" priority="229">
      <formula>$J56="No"</formula>
    </cfRule>
  </conditionalFormatting>
  <conditionalFormatting sqref="J57">
    <cfRule type="expression" dxfId="3367" priority="228">
      <formula>$B57&lt;&gt;""</formula>
    </cfRule>
  </conditionalFormatting>
  <conditionalFormatting sqref="C57">
    <cfRule type="expression" dxfId="3366" priority="227">
      <formula>$J57="No"</formula>
    </cfRule>
  </conditionalFormatting>
  <conditionalFormatting sqref="J58">
    <cfRule type="expression" dxfId="3365" priority="226">
      <formula>$B58&lt;&gt;""</formula>
    </cfRule>
  </conditionalFormatting>
  <conditionalFormatting sqref="C58">
    <cfRule type="expression" dxfId="3364" priority="225">
      <formula>$J58="No"</formula>
    </cfRule>
  </conditionalFormatting>
  <conditionalFormatting sqref="K47:N50">
    <cfRule type="expression" dxfId="3363" priority="224">
      <formula>$K$47&lt;&gt;""</formula>
    </cfRule>
  </conditionalFormatting>
  <conditionalFormatting sqref="C38">
    <cfRule type="expression" dxfId="3362" priority="223">
      <formula>$B38&lt;&gt;""</formula>
    </cfRule>
  </conditionalFormatting>
  <conditionalFormatting sqref="C39">
    <cfRule type="expression" dxfId="3361" priority="222">
      <formula>$B39&lt;&gt;""</formula>
    </cfRule>
  </conditionalFormatting>
  <conditionalFormatting sqref="C40">
    <cfRule type="expression" dxfId="3360" priority="221">
      <formula>$B40&lt;&gt;""</formula>
    </cfRule>
  </conditionalFormatting>
  <conditionalFormatting sqref="D38">
    <cfRule type="expression" dxfId="3359" priority="220">
      <formula>$B38&lt;&gt;""</formula>
    </cfRule>
  </conditionalFormatting>
  <conditionalFormatting sqref="D39">
    <cfRule type="expression" dxfId="3358" priority="219">
      <formula>$B39&lt;&gt;""</formula>
    </cfRule>
  </conditionalFormatting>
  <conditionalFormatting sqref="D40">
    <cfRule type="expression" dxfId="3357" priority="218">
      <formula>$B40&lt;&gt;""</formula>
    </cfRule>
  </conditionalFormatting>
  <conditionalFormatting sqref="E38">
    <cfRule type="expression" dxfId="3356" priority="217">
      <formula>$B38&lt;&gt;""</formula>
    </cfRule>
  </conditionalFormatting>
  <conditionalFormatting sqref="E39">
    <cfRule type="expression" dxfId="3355" priority="216">
      <formula>$B39&lt;&gt;""</formula>
    </cfRule>
  </conditionalFormatting>
  <conditionalFormatting sqref="E40">
    <cfRule type="expression" dxfId="3354" priority="215">
      <formula>$B40&lt;&gt;""</formula>
    </cfRule>
  </conditionalFormatting>
  <conditionalFormatting sqref="F40">
    <cfRule type="expression" dxfId="3353" priority="214">
      <formula>$B40&lt;&gt;""</formula>
    </cfRule>
  </conditionalFormatting>
  <conditionalFormatting sqref="F39">
    <cfRule type="expression" dxfId="3352" priority="213">
      <formula>$B39&lt;&gt;""</formula>
    </cfRule>
  </conditionalFormatting>
  <conditionalFormatting sqref="F38">
    <cfRule type="expression" dxfId="3351" priority="212">
      <formula>$B38&lt;&gt;""</formula>
    </cfRule>
  </conditionalFormatting>
  <conditionalFormatting sqref="G40">
    <cfRule type="expression" dxfId="3350" priority="211">
      <formula>$B40&lt;&gt;""</formula>
    </cfRule>
  </conditionalFormatting>
  <conditionalFormatting sqref="G39">
    <cfRule type="expression" dxfId="3349" priority="210">
      <formula>$B39&lt;&gt;""</formula>
    </cfRule>
  </conditionalFormatting>
  <conditionalFormatting sqref="G38">
    <cfRule type="expression" dxfId="3348" priority="209">
      <formula>$B38&lt;&gt;""</formula>
    </cfRule>
  </conditionalFormatting>
  <conditionalFormatting sqref="H38">
    <cfRule type="expression" dxfId="3347" priority="208">
      <formula>$B38&lt;&gt;""</formula>
    </cfRule>
  </conditionalFormatting>
  <conditionalFormatting sqref="C38 H38">
    <cfRule type="expression" dxfId="3346" priority="207">
      <formula>$H38="No"</formula>
    </cfRule>
  </conditionalFormatting>
  <conditionalFormatting sqref="H39">
    <cfRule type="expression" dxfId="3345" priority="206">
      <formula>$B39&lt;&gt;""</formula>
    </cfRule>
  </conditionalFormatting>
  <conditionalFormatting sqref="C39 H39">
    <cfRule type="expression" dxfId="3344" priority="205">
      <formula>$H39="No"</formula>
    </cfRule>
  </conditionalFormatting>
  <conditionalFormatting sqref="H40">
    <cfRule type="expression" dxfId="3343" priority="204">
      <formula>$B40&lt;&gt;""</formula>
    </cfRule>
  </conditionalFormatting>
  <conditionalFormatting sqref="C40 H40">
    <cfRule type="expression" dxfId="3342" priority="203">
      <formula>$H40="No"</formula>
    </cfRule>
  </conditionalFormatting>
  <conditionalFormatting sqref="C59">
    <cfRule type="expression" dxfId="3341" priority="202">
      <formula>E17&gt;=13</formula>
    </cfRule>
  </conditionalFormatting>
  <conditionalFormatting sqref="C60">
    <cfRule type="expression" dxfId="3340" priority="201">
      <formula>E17&gt;=14</formula>
    </cfRule>
  </conditionalFormatting>
  <conditionalFormatting sqref="C61">
    <cfRule type="expression" dxfId="3339" priority="200">
      <formula>E17&gt;=15</formula>
    </cfRule>
  </conditionalFormatting>
  <conditionalFormatting sqref="D59">
    <cfRule type="expression" dxfId="3338" priority="199">
      <formula>E17&gt;=13</formula>
    </cfRule>
  </conditionalFormatting>
  <conditionalFormatting sqref="D60">
    <cfRule type="expression" dxfId="3337" priority="198">
      <formula>E17&gt;=14</formula>
    </cfRule>
  </conditionalFormatting>
  <conditionalFormatting sqref="D61">
    <cfRule type="expression" dxfId="3336" priority="197">
      <formula>E17&gt;=15</formula>
    </cfRule>
  </conditionalFormatting>
  <conditionalFormatting sqref="E59">
    <cfRule type="expression" dxfId="3335" priority="196">
      <formula>E17&gt;=13</formula>
    </cfRule>
  </conditionalFormatting>
  <conditionalFormatting sqref="E60">
    <cfRule type="expression" dxfId="3334" priority="195">
      <formula>E17&gt;=14</formula>
    </cfRule>
  </conditionalFormatting>
  <conditionalFormatting sqref="E61">
    <cfRule type="expression" dxfId="3333" priority="194">
      <formula>E17&gt;=15</formula>
    </cfRule>
  </conditionalFormatting>
  <conditionalFormatting sqref="F59">
    <cfRule type="expression" dxfId="3332" priority="193">
      <formula>E17&gt;=13</formula>
    </cfRule>
  </conditionalFormatting>
  <conditionalFormatting sqref="F60">
    <cfRule type="expression" dxfId="3331" priority="192">
      <formula>E17&gt;=14</formula>
    </cfRule>
  </conditionalFormatting>
  <conditionalFormatting sqref="F61">
    <cfRule type="expression" dxfId="3330" priority="191">
      <formula>E17&gt;=15</formula>
    </cfRule>
  </conditionalFormatting>
  <conditionalFormatting sqref="G59">
    <cfRule type="expression" dxfId="3329" priority="190">
      <formula>E17&gt;=13</formula>
    </cfRule>
  </conditionalFormatting>
  <conditionalFormatting sqref="G60">
    <cfRule type="expression" dxfId="3328" priority="189">
      <formula>E17&gt;=14</formula>
    </cfRule>
  </conditionalFormatting>
  <conditionalFormatting sqref="G61">
    <cfRule type="expression" dxfId="3327" priority="188">
      <formula>E17&gt;=15</formula>
    </cfRule>
  </conditionalFormatting>
  <conditionalFormatting sqref="I61">
    <cfRule type="expression" dxfId="3326" priority="187">
      <formula>$B61&lt;&gt;""</formula>
    </cfRule>
  </conditionalFormatting>
  <conditionalFormatting sqref="I60">
    <cfRule type="expression" dxfId="3325" priority="186">
      <formula>$B60&lt;&gt;""</formula>
    </cfRule>
  </conditionalFormatting>
  <conditionalFormatting sqref="I59">
    <cfRule type="expression" dxfId="3324" priority="185">
      <formula>$B59&lt;&gt;""</formula>
    </cfRule>
  </conditionalFormatting>
  <conditionalFormatting sqref="J59">
    <cfRule type="expression" dxfId="3323" priority="184">
      <formula>$B59&lt;&gt;""</formula>
    </cfRule>
  </conditionalFormatting>
  <conditionalFormatting sqref="C59">
    <cfRule type="expression" dxfId="3322" priority="183">
      <formula>$J59="No"</formula>
    </cfRule>
  </conditionalFormatting>
  <conditionalFormatting sqref="J60">
    <cfRule type="expression" dxfId="3321" priority="182">
      <formula>$B60&lt;&gt;""</formula>
    </cfRule>
  </conditionalFormatting>
  <conditionalFormatting sqref="C60">
    <cfRule type="expression" dxfId="3320" priority="181">
      <formula>$J60="No"</formula>
    </cfRule>
  </conditionalFormatting>
  <conditionalFormatting sqref="J61">
    <cfRule type="expression" dxfId="3319" priority="180">
      <formula>$B61&lt;&gt;""</formula>
    </cfRule>
  </conditionalFormatting>
  <conditionalFormatting sqref="C61">
    <cfRule type="expression" dxfId="3318" priority="179">
      <formula>$J61="No"</formula>
    </cfRule>
  </conditionalFormatting>
  <conditionalFormatting sqref="L84">
    <cfRule type="expression" dxfId="3317" priority="178">
      <formula>$C82&lt;&gt;""</formula>
    </cfRule>
  </conditionalFormatting>
  <conditionalFormatting sqref="L85">
    <cfRule type="expression" dxfId="3316" priority="177">
      <formula>$B85&lt;&gt;""</formula>
    </cfRule>
  </conditionalFormatting>
  <conditionalFormatting sqref="C85 L85">
    <cfRule type="expression" dxfId="3315" priority="176">
      <formula>$L85="No"</formula>
    </cfRule>
  </conditionalFormatting>
  <conditionalFormatting sqref="L86">
    <cfRule type="expression" dxfId="3314" priority="175">
      <formula>$B86&lt;&gt;""</formula>
    </cfRule>
  </conditionalFormatting>
  <conditionalFormatting sqref="C86 L86">
    <cfRule type="expression" dxfId="3313" priority="174">
      <formula>$L86="No"</formula>
    </cfRule>
  </conditionalFormatting>
  <conditionalFormatting sqref="L87">
    <cfRule type="expression" dxfId="3312" priority="173">
      <formula>$B87&lt;&gt;""</formula>
    </cfRule>
  </conditionalFormatting>
  <conditionalFormatting sqref="C87 L87">
    <cfRule type="expression" dxfId="3311" priority="172">
      <formula>$L87="No"</formula>
    </cfRule>
  </conditionalFormatting>
  <conditionalFormatting sqref="L88">
    <cfRule type="expression" dxfId="3310" priority="171">
      <formula>$B88&lt;&gt;""</formula>
    </cfRule>
  </conditionalFormatting>
  <conditionalFormatting sqref="C88 L88">
    <cfRule type="expression" dxfId="3309" priority="170">
      <formula>$L88="No"</formula>
    </cfRule>
  </conditionalFormatting>
  <conditionalFormatting sqref="L89">
    <cfRule type="expression" dxfId="3308" priority="169">
      <formula>$B89&lt;&gt;""</formula>
    </cfRule>
  </conditionalFormatting>
  <conditionalFormatting sqref="C89 L89">
    <cfRule type="expression" dxfId="3307" priority="168">
      <formula>$L89="No"</formula>
    </cfRule>
  </conditionalFormatting>
  <conditionalFormatting sqref="L90">
    <cfRule type="expression" dxfId="3306" priority="167">
      <formula>$B90&lt;&gt;""</formula>
    </cfRule>
  </conditionalFormatting>
  <conditionalFormatting sqref="C90 L90">
    <cfRule type="expression" dxfId="3305" priority="166">
      <formula>$L90="No"</formula>
    </cfRule>
  </conditionalFormatting>
  <conditionalFormatting sqref="L91">
    <cfRule type="expression" dxfId="3304" priority="165">
      <formula>$B91&lt;&gt;""</formula>
    </cfRule>
  </conditionalFormatting>
  <conditionalFormatting sqref="C91 L91">
    <cfRule type="expression" dxfId="3303" priority="164">
      <formula>$L91="No"</formula>
    </cfRule>
  </conditionalFormatting>
  <conditionalFormatting sqref="L92">
    <cfRule type="expression" dxfId="3302" priority="163">
      <formula>$B92&lt;&gt;""</formula>
    </cfRule>
  </conditionalFormatting>
  <conditionalFormatting sqref="C92 L92">
    <cfRule type="expression" dxfId="3301" priority="162">
      <formula>$L92="No"</formula>
    </cfRule>
  </conditionalFormatting>
  <conditionalFormatting sqref="L93">
    <cfRule type="expression" dxfId="3300" priority="161">
      <formula>$B93&lt;&gt;""</formula>
    </cfRule>
  </conditionalFormatting>
  <conditionalFormatting sqref="C93 L93">
    <cfRule type="expression" dxfId="3299" priority="160">
      <formula>$L93="No"</formula>
    </cfRule>
  </conditionalFormatting>
  <conditionalFormatting sqref="L94">
    <cfRule type="expression" dxfId="3298" priority="159">
      <formula>$B94&lt;&gt;""</formula>
    </cfRule>
  </conditionalFormatting>
  <conditionalFormatting sqref="C94 L94">
    <cfRule type="expression" dxfId="3297" priority="158">
      <formula>$L94="No"</formula>
    </cfRule>
  </conditionalFormatting>
  <conditionalFormatting sqref="L95">
    <cfRule type="expression" dxfId="3296" priority="157">
      <formula>$B95&lt;&gt;""</formula>
    </cfRule>
  </conditionalFormatting>
  <conditionalFormatting sqref="C95 L95">
    <cfRule type="expression" dxfId="3295" priority="156">
      <formula>$L95="No"</formula>
    </cfRule>
  </conditionalFormatting>
  <conditionalFormatting sqref="L96">
    <cfRule type="expression" dxfId="3294" priority="155">
      <formula>$B96&lt;&gt;""</formula>
    </cfRule>
  </conditionalFormatting>
  <conditionalFormatting sqref="C96 L96">
    <cfRule type="expression" dxfId="3293" priority="154">
      <formula>$L96="No"</formula>
    </cfRule>
  </conditionalFormatting>
  <conditionalFormatting sqref="C97">
    <cfRule type="expression" dxfId="3292" priority="153">
      <formula>$B97&lt;&gt;""</formula>
    </cfRule>
  </conditionalFormatting>
  <conditionalFormatting sqref="C98">
    <cfRule type="expression" dxfId="3291" priority="152">
      <formula>$B98&lt;&gt;""</formula>
    </cfRule>
  </conditionalFormatting>
  <conditionalFormatting sqref="C99">
    <cfRule type="expression" dxfId="3290" priority="151">
      <formula>$B99&lt;&gt;""</formula>
    </cfRule>
  </conditionalFormatting>
  <conditionalFormatting sqref="D97">
    <cfRule type="expression" dxfId="3289" priority="150">
      <formula>$B97&lt;&gt;""</formula>
    </cfRule>
  </conditionalFormatting>
  <conditionalFormatting sqref="D98">
    <cfRule type="expression" dxfId="3288" priority="149">
      <formula>$B98&lt;&gt;""</formula>
    </cfRule>
  </conditionalFormatting>
  <conditionalFormatting sqref="D99">
    <cfRule type="expression" dxfId="3287" priority="148">
      <formula>$B99&lt;&gt;""</formula>
    </cfRule>
  </conditionalFormatting>
  <conditionalFormatting sqref="E97">
    <cfRule type="expression" dxfId="3286" priority="147">
      <formula>$B97&lt;&gt;""</formula>
    </cfRule>
  </conditionalFormatting>
  <conditionalFormatting sqref="E98">
    <cfRule type="expression" dxfId="3285" priority="146">
      <formula>$B98&lt;&gt;""</formula>
    </cfRule>
  </conditionalFormatting>
  <conditionalFormatting sqref="E99">
    <cfRule type="expression" dxfId="3284" priority="145">
      <formula>$B99&lt;&gt;""</formula>
    </cfRule>
  </conditionalFormatting>
  <conditionalFormatting sqref="G97">
    <cfRule type="expression" dxfId="3283" priority="144">
      <formula>$B97&lt;&gt;""</formula>
    </cfRule>
  </conditionalFormatting>
  <conditionalFormatting sqref="G98">
    <cfRule type="expression" dxfId="3282" priority="143">
      <formula>$B98&lt;&gt;""</formula>
    </cfRule>
  </conditionalFormatting>
  <conditionalFormatting sqref="G99">
    <cfRule type="expression" dxfId="3281" priority="142">
      <formula>$B99&lt;&gt;""</formula>
    </cfRule>
  </conditionalFormatting>
  <conditionalFormatting sqref="H97">
    <cfRule type="expression" dxfId="3280" priority="141">
      <formula>$B97&lt;&gt;""</formula>
    </cfRule>
  </conditionalFormatting>
  <conditionalFormatting sqref="H98">
    <cfRule type="expression" dxfId="3279" priority="140">
      <formula>$B98&lt;&gt;""</formula>
    </cfRule>
  </conditionalFormatting>
  <conditionalFormatting sqref="H99">
    <cfRule type="expression" dxfId="3278" priority="139">
      <formula>$B99&lt;&gt;""</formula>
    </cfRule>
  </conditionalFormatting>
  <conditionalFormatting sqref="I99">
    <cfRule type="expression" dxfId="3277" priority="138">
      <formula>$B99&lt;&gt;""</formula>
    </cfRule>
  </conditionalFormatting>
  <conditionalFormatting sqref="I98">
    <cfRule type="expression" dxfId="3276" priority="137">
      <formula>$B98&lt;&gt;""</formula>
    </cfRule>
  </conditionalFormatting>
  <conditionalFormatting sqref="I97">
    <cfRule type="expression" dxfId="3275" priority="136">
      <formula>$B97&lt;&gt;""</formula>
    </cfRule>
  </conditionalFormatting>
  <conditionalFormatting sqref="K97">
    <cfRule type="expression" dxfId="3274" priority="135">
      <formula>$B97&lt;&gt;""</formula>
    </cfRule>
  </conditionalFormatting>
  <conditionalFormatting sqref="K98">
    <cfRule type="expression" dxfId="3273" priority="134">
      <formula>$B98&lt;&gt;""</formula>
    </cfRule>
  </conditionalFormatting>
  <conditionalFormatting sqref="K99">
    <cfRule type="expression" dxfId="3272" priority="133">
      <formula>$B99&lt;&gt;""</formula>
    </cfRule>
  </conditionalFormatting>
  <conditionalFormatting sqref="J99">
    <cfRule type="expression" dxfId="3271" priority="132">
      <formula>$B99&lt;&gt;""</formula>
    </cfRule>
  </conditionalFormatting>
  <conditionalFormatting sqref="J98">
    <cfRule type="expression" dxfId="3270" priority="131">
      <formula>$B98&lt;&gt;""</formula>
    </cfRule>
  </conditionalFormatting>
  <conditionalFormatting sqref="J97">
    <cfRule type="expression" dxfId="3269" priority="130">
      <formula>$B97&lt;&gt;""</formula>
    </cfRule>
  </conditionalFormatting>
  <conditionalFormatting sqref="F99">
    <cfRule type="expression" dxfId="3268" priority="129">
      <formula>$B99&lt;&gt;""</formula>
    </cfRule>
  </conditionalFormatting>
  <conditionalFormatting sqref="F98">
    <cfRule type="expression" dxfId="3267" priority="128">
      <formula>$B98&lt;&gt;""</formula>
    </cfRule>
  </conditionalFormatting>
  <conditionalFormatting sqref="F97">
    <cfRule type="expression" dxfId="3266" priority="127">
      <formula>$B97&lt;&gt;""</formula>
    </cfRule>
  </conditionalFormatting>
  <conditionalFormatting sqref="L97">
    <cfRule type="expression" dxfId="3265" priority="126">
      <formula>$B97&lt;&gt;""</formula>
    </cfRule>
  </conditionalFormatting>
  <conditionalFormatting sqref="C97 L97">
    <cfRule type="expression" dxfId="3264" priority="125">
      <formula>$L97="No"</formula>
    </cfRule>
  </conditionalFormatting>
  <conditionalFormatting sqref="L98">
    <cfRule type="expression" dxfId="3263" priority="124">
      <formula>$B98&lt;&gt;""</formula>
    </cfRule>
  </conditionalFormatting>
  <conditionalFormatting sqref="C98 L98">
    <cfRule type="expression" dxfId="3262" priority="123">
      <formula>$L98="No"</formula>
    </cfRule>
  </conditionalFormatting>
  <conditionalFormatting sqref="L99">
    <cfRule type="expression" dxfId="3261" priority="122">
      <formula>$B99&lt;&gt;""</formula>
    </cfRule>
  </conditionalFormatting>
  <conditionalFormatting sqref="C99 L99">
    <cfRule type="expression" dxfId="3260" priority="121">
      <formula>$L99="No"</formula>
    </cfRule>
  </conditionalFormatting>
  <conditionalFormatting sqref="M85:Q88">
    <cfRule type="expression" dxfId="3259" priority="120">
      <formula>$M$85&lt;&gt;""</formula>
    </cfRule>
  </conditionalFormatting>
  <conditionalFormatting sqref="H47">
    <cfRule type="expression" dxfId="3258" priority="119">
      <formula>$B47&lt;&gt;""</formula>
    </cfRule>
  </conditionalFormatting>
  <conditionalFormatting sqref="H58">
    <cfRule type="expression" dxfId="3257" priority="118">
      <formula>$B58&lt;&gt;""</formula>
    </cfRule>
  </conditionalFormatting>
  <conditionalFormatting sqref="H57">
    <cfRule type="expression" dxfId="3256" priority="117">
      <formula>$B57&lt;&gt;""</formula>
    </cfRule>
  </conditionalFormatting>
  <conditionalFormatting sqref="H56">
    <cfRule type="expression" dxfId="3255" priority="116">
      <formula>$B56&lt;&gt;""</formula>
    </cfRule>
  </conditionalFormatting>
  <conditionalFormatting sqref="H55">
    <cfRule type="expression" dxfId="3254" priority="115">
      <formula>$B55&lt;&gt;""</formula>
    </cfRule>
  </conditionalFormatting>
  <conditionalFormatting sqref="H54">
    <cfRule type="expression" dxfId="3253" priority="114">
      <formula>$B54&lt;&gt;""</formula>
    </cfRule>
  </conditionalFormatting>
  <conditionalFormatting sqref="H53">
    <cfRule type="expression" dxfId="3252" priority="113">
      <formula>$B53&lt;&gt;""</formula>
    </cfRule>
  </conditionalFormatting>
  <conditionalFormatting sqref="H52">
    <cfRule type="expression" dxfId="3251" priority="112">
      <formula>$B52&lt;&gt;""</formula>
    </cfRule>
  </conditionalFormatting>
  <conditionalFormatting sqref="H51">
    <cfRule type="expression" dxfId="3250" priority="111">
      <formula>$B51&lt;&gt;""</formula>
    </cfRule>
  </conditionalFormatting>
  <conditionalFormatting sqref="H50">
    <cfRule type="expression" dxfId="3249" priority="110">
      <formula>$B50&lt;&gt;""</formula>
    </cfRule>
  </conditionalFormatting>
  <conditionalFormatting sqref="H49">
    <cfRule type="expression" dxfId="3248" priority="109">
      <formula>$B49&lt;&gt;""</formula>
    </cfRule>
  </conditionalFormatting>
  <conditionalFormatting sqref="H48">
    <cfRule type="expression" dxfId="3247" priority="108">
      <formula>$B48&lt;&gt;""</formula>
    </cfRule>
  </conditionalFormatting>
  <conditionalFormatting sqref="H46">
    <cfRule type="expression" dxfId="3246" priority="107">
      <formula>$C43&lt;&gt;""</formula>
    </cfRule>
  </conditionalFormatting>
  <conditionalFormatting sqref="H61">
    <cfRule type="expression" dxfId="3245" priority="106">
      <formula>$B61&lt;&gt;""</formula>
    </cfRule>
  </conditionalFormatting>
  <conditionalFormatting sqref="H60">
    <cfRule type="expression" dxfId="3244" priority="105">
      <formula>$B60&lt;&gt;""</formula>
    </cfRule>
  </conditionalFormatting>
  <conditionalFormatting sqref="H59">
    <cfRule type="expression" dxfId="3243" priority="104">
      <formula>$B59&lt;&gt;""</formula>
    </cfRule>
  </conditionalFormatting>
  <conditionalFormatting sqref="N106">
    <cfRule type="expression" dxfId="3242" priority="102">
      <formula>$B106&lt;&gt;""</formula>
    </cfRule>
  </conditionalFormatting>
  <conditionalFormatting sqref="C106 N106">
    <cfRule type="expression" dxfId="3241" priority="101">
      <formula>$N106="No"</formula>
    </cfRule>
  </conditionalFormatting>
  <conditionalFormatting sqref="N105">
    <cfRule type="expression" dxfId="3240" priority="77">
      <formula>$C102&lt;&gt;""</formula>
    </cfRule>
  </conditionalFormatting>
  <conditionalFormatting sqref="N107">
    <cfRule type="expression" dxfId="3239" priority="76">
      <formula>$B107&lt;&gt;""</formula>
    </cfRule>
  </conditionalFormatting>
  <conditionalFormatting sqref="C107 N107">
    <cfRule type="expression" dxfId="3238" priority="75">
      <formula>$N107="No"</formula>
    </cfRule>
  </conditionalFormatting>
  <conditionalFormatting sqref="N108">
    <cfRule type="expression" dxfId="3237" priority="74">
      <formula>$B108&lt;&gt;""</formula>
    </cfRule>
  </conditionalFormatting>
  <conditionalFormatting sqref="C108 N108">
    <cfRule type="expression" dxfId="3236" priority="73">
      <formula>$N108="No"</formula>
    </cfRule>
  </conditionalFormatting>
  <conditionalFormatting sqref="N109">
    <cfRule type="expression" dxfId="3235" priority="72">
      <formula>$B109&lt;&gt;""</formula>
    </cfRule>
  </conditionalFormatting>
  <conditionalFormatting sqref="C109 N109">
    <cfRule type="expression" dxfId="3234" priority="71">
      <formula>$N109="No"</formula>
    </cfRule>
  </conditionalFormatting>
  <conditionalFormatting sqref="N110">
    <cfRule type="expression" dxfId="3233" priority="70">
      <formula>$B110&lt;&gt;""</formula>
    </cfRule>
  </conditionalFormatting>
  <conditionalFormatting sqref="C110 N110">
    <cfRule type="expression" dxfId="3232" priority="69">
      <formula>$N110="No"</formula>
    </cfRule>
  </conditionalFormatting>
  <conditionalFormatting sqref="N111">
    <cfRule type="expression" dxfId="3231" priority="68">
      <formula>$B111&lt;&gt;""</formula>
    </cfRule>
  </conditionalFormatting>
  <conditionalFormatting sqref="C111 N111">
    <cfRule type="expression" dxfId="3230" priority="67">
      <formula>$N111="No"</formula>
    </cfRule>
  </conditionalFormatting>
  <conditionalFormatting sqref="N112">
    <cfRule type="expression" dxfId="3229" priority="66">
      <formula>$B112&lt;&gt;""</formula>
    </cfRule>
  </conditionalFormatting>
  <conditionalFormatting sqref="C112 N112">
    <cfRule type="expression" dxfId="3228" priority="65">
      <formula>$N112="No"</formula>
    </cfRule>
  </conditionalFormatting>
  <conditionalFormatting sqref="N113">
    <cfRule type="expression" dxfId="3227" priority="64">
      <formula>$B113&lt;&gt;""</formula>
    </cfRule>
  </conditionalFormatting>
  <conditionalFormatting sqref="C113 N113">
    <cfRule type="expression" dxfId="3226" priority="63">
      <formula>$N113="No"</formula>
    </cfRule>
  </conditionalFormatting>
  <conditionalFormatting sqref="N114">
    <cfRule type="expression" dxfId="3225" priority="62">
      <formula>$B114&lt;&gt;""</formula>
    </cfRule>
  </conditionalFormatting>
  <conditionalFormatting sqref="C114 N114">
    <cfRule type="expression" dxfId="3224" priority="61">
      <formula>$N114="No"</formula>
    </cfRule>
  </conditionalFormatting>
  <conditionalFormatting sqref="N115">
    <cfRule type="expression" dxfId="3223" priority="60">
      <formula>$B115&lt;&gt;""</formula>
    </cfRule>
  </conditionalFormatting>
  <conditionalFormatting sqref="C115 N115">
    <cfRule type="expression" dxfId="3222" priority="59">
      <formula>$N115="No"</formula>
    </cfRule>
  </conditionalFormatting>
  <conditionalFormatting sqref="N116">
    <cfRule type="expression" dxfId="3221" priority="58">
      <formula>$B116&lt;&gt;""</formula>
    </cfRule>
  </conditionalFormatting>
  <conditionalFormatting sqref="C116 N116">
    <cfRule type="expression" dxfId="3220" priority="57">
      <formula>$N116="No"</formula>
    </cfRule>
  </conditionalFormatting>
  <conditionalFormatting sqref="N117">
    <cfRule type="expression" dxfId="3219" priority="56">
      <formula>$B117&lt;&gt;""</formula>
    </cfRule>
  </conditionalFormatting>
  <conditionalFormatting sqref="C117 N117">
    <cfRule type="expression" dxfId="3218" priority="55">
      <formula>$N117="No"</formula>
    </cfRule>
  </conditionalFormatting>
  <conditionalFormatting sqref="O106:T109">
    <cfRule type="expression" dxfId="3217" priority="54">
      <formula>$O$106&lt;&gt;""</formula>
    </cfRule>
  </conditionalFormatting>
  <conditionalFormatting sqref="C118">
    <cfRule type="expression" dxfId="3216" priority="53">
      <formula>E76&gt;=13</formula>
    </cfRule>
  </conditionalFormatting>
  <conditionalFormatting sqref="C119">
    <cfRule type="expression" dxfId="3215" priority="52">
      <formula>E76&gt;=14</formula>
    </cfRule>
  </conditionalFormatting>
  <conditionalFormatting sqref="C120">
    <cfRule type="expression" dxfId="3214" priority="51">
      <formula>E76&gt;=15</formula>
    </cfRule>
  </conditionalFormatting>
  <conditionalFormatting sqref="D118">
    <cfRule type="expression" dxfId="3213" priority="50">
      <formula>E76&gt;=13</formula>
    </cfRule>
  </conditionalFormatting>
  <conditionalFormatting sqref="D119">
    <cfRule type="expression" dxfId="3212" priority="49">
      <formula>E76&gt;=14</formula>
    </cfRule>
  </conditionalFormatting>
  <conditionalFormatting sqref="D120">
    <cfRule type="expression" dxfId="3211" priority="48">
      <formula>E76&gt;=15</formula>
    </cfRule>
  </conditionalFormatting>
  <conditionalFormatting sqref="E118">
    <cfRule type="expression" dxfId="3210" priority="47">
      <formula>E76&gt;=13</formula>
    </cfRule>
  </conditionalFormatting>
  <conditionalFormatting sqref="E119">
    <cfRule type="expression" dxfId="3209" priority="46">
      <formula>E76&gt;=14</formula>
    </cfRule>
  </conditionalFormatting>
  <conditionalFormatting sqref="E120">
    <cfRule type="expression" dxfId="3208" priority="45">
      <formula>E76&gt;=15</formula>
    </cfRule>
  </conditionalFormatting>
  <conditionalFormatting sqref="F118">
    <cfRule type="expression" dxfId="3207" priority="44">
      <formula>E76&gt;=13</formula>
    </cfRule>
  </conditionalFormatting>
  <conditionalFormatting sqref="F119">
    <cfRule type="expression" dxfId="3206" priority="43">
      <formula>E76&gt;=14</formula>
    </cfRule>
  </conditionalFormatting>
  <conditionalFormatting sqref="F120">
    <cfRule type="expression" dxfId="3205" priority="42">
      <formula>E76&gt;=15</formula>
    </cfRule>
  </conditionalFormatting>
  <conditionalFormatting sqref="H118">
    <cfRule type="expression" dxfId="3204" priority="41">
      <formula>E76&gt;=13</formula>
    </cfRule>
  </conditionalFormatting>
  <conditionalFormatting sqref="H119">
    <cfRule type="expression" dxfId="3203" priority="40">
      <formula>E76&gt;=14</formula>
    </cfRule>
  </conditionalFormatting>
  <conditionalFormatting sqref="H120">
    <cfRule type="expression" dxfId="3202" priority="39">
      <formula>E76&gt;=15</formula>
    </cfRule>
  </conditionalFormatting>
  <conditionalFormatting sqref="I118">
    <cfRule type="expression" dxfId="3201" priority="38">
      <formula>E76&gt;=13</formula>
    </cfRule>
  </conditionalFormatting>
  <conditionalFormatting sqref="I119">
    <cfRule type="expression" dxfId="3200" priority="37">
      <formula>E76&gt;=14</formula>
    </cfRule>
  </conditionalFormatting>
  <conditionalFormatting sqref="I120">
    <cfRule type="expression" dxfId="3199" priority="36">
      <formula>E76&gt;=15</formula>
    </cfRule>
  </conditionalFormatting>
  <conditionalFormatting sqref="J118">
    <cfRule type="expression" dxfId="3198" priority="35">
      <formula>E76&gt;=13</formula>
    </cfRule>
  </conditionalFormatting>
  <conditionalFormatting sqref="J119">
    <cfRule type="expression" dxfId="3197" priority="34">
      <formula>E76&gt;=14</formula>
    </cfRule>
  </conditionalFormatting>
  <conditionalFormatting sqref="J120">
    <cfRule type="expression" dxfId="3196" priority="33">
      <formula>E76&gt;=15</formula>
    </cfRule>
  </conditionalFormatting>
  <conditionalFormatting sqref="G120">
    <cfRule type="expression" dxfId="3195" priority="32">
      <formula>$B120&lt;&gt;""</formula>
    </cfRule>
  </conditionalFormatting>
  <conditionalFormatting sqref="G119">
    <cfRule type="expression" dxfId="3194" priority="31">
      <formula>$B119&lt;&gt;""</formula>
    </cfRule>
  </conditionalFormatting>
  <conditionalFormatting sqref="G118">
    <cfRule type="expression" dxfId="3193" priority="30">
      <formula>$B118&lt;&gt;""</formula>
    </cfRule>
  </conditionalFormatting>
  <conditionalFormatting sqref="K120">
    <cfRule type="expression" dxfId="3192" priority="29">
      <formula>$B120&lt;&gt;""</formula>
    </cfRule>
  </conditionalFormatting>
  <conditionalFormatting sqref="K119">
    <cfRule type="expression" dxfId="3191" priority="28">
      <formula>$B119&lt;&gt;""</formula>
    </cfRule>
  </conditionalFormatting>
  <conditionalFormatting sqref="K118">
    <cfRule type="expression" dxfId="3190" priority="27">
      <formula>$B118&lt;&gt;""</formula>
    </cfRule>
  </conditionalFormatting>
  <conditionalFormatting sqref="L118">
    <cfRule type="expression" dxfId="3189" priority="26">
      <formula>$B118&lt;&gt;""</formula>
    </cfRule>
  </conditionalFormatting>
  <conditionalFormatting sqref="L119">
    <cfRule type="expression" dxfId="3188" priority="25">
      <formula>$B119&lt;&gt;""</formula>
    </cfRule>
  </conditionalFormatting>
  <conditionalFormatting sqref="L120">
    <cfRule type="expression" dxfId="3187" priority="24">
      <formula>$B120&lt;&gt;""</formula>
    </cfRule>
  </conditionalFormatting>
  <conditionalFormatting sqref="M118">
    <cfRule type="expression" dxfId="3186" priority="23">
      <formula>$B118&lt;&gt;""</formula>
    </cfRule>
  </conditionalFormatting>
  <conditionalFormatting sqref="M119">
    <cfRule type="expression" dxfId="3185" priority="22">
      <formula>$B119&lt;&gt;""</formula>
    </cfRule>
  </conditionalFormatting>
  <conditionalFormatting sqref="M120">
    <cfRule type="expression" dxfId="3184" priority="21">
      <formula>$B120&lt;&gt;""</formula>
    </cfRule>
  </conditionalFormatting>
  <conditionalFormatting sqref="N118">
    <cfRule type="expression" dxfId="3183" priority="20">
      <formula>$B118&lt;&gt;""</formula>
    </cfRule>
  </conditionalFormatting>
  <conditionalFormatting sqref="C118 N118">
    <cfRule type="expression" dxfId="3182" priority="19">
      <formula>$N118="No"</formula>
    </cfRule>
  </conditionalFormatting>
  <conditionalFormatting sqref="N119">
    <cfRule type="expression" dxfId="3181" priority="18">
      <formula>$B119&lt;&gt;""</formula>
    </cfRule>
  </conditionalFormatting>
  <conditionalFormatting sqref="C119 N119">
    <cfRule type="expression" dxfId="3180" priority="17">
      <formula>$N119="No"</formula>
    </cfRule>
  </conditionalFormatting>
  <conditionalFormatting sqref="N120">
    <cfRule type="expression" dxfId="3179" priority="16">
      <formula>$B120&lt;&gt;""</formula>
    </cfRule>
  </conditionalFormatting>
  <conditionalFormatting sqref="C120 N120">
    <cfRule type="expression" dxfId="3178" priority="15">
      <formula>$N120="No"</formula>
    </cfRule>
  </conditionalFormatting>
  <conditionalFormatting sqref="C104:N104">
    <cfRule type="expression" dxfId="3177" priority="14">
      <formula>$C$102&lt;&gt;""</formula>
    </cfRule>
  </conditionalFormatting>
  <conditionalFormatting sqref="C103:N103">
    <cfRule type="expression" dxfId="3176" priority="13">
      <formula>$C$102&lt;&gt;""</formula>
    </cfRule>
  </conditionalFormatting>
  <conditionalFormatting sqref="C102:N102">
    <cfRule type="expression" dxfId="3175" priority="12">
      <formula>$C$102&lt;&gt;""</formula>
    </cfRule>
  </conditionalFormatting>
  <conditionalFormatting sqref="C43:J43">
    <cfRule type="expression" dxfId="3174" priority="11">
      <formula>$C$43&lt;&gt;""</formula>
    </cfRule>
  </conditionalFormatting>
  <conditionalFormatting sqref="C44:J44">
    <cfRule type="expression" dxfId="3173" priority="10">
      <formula>$C$43&lt;&gt;""</formula>
    </cfRule>
  </conditionalFormatting>
  <conditionalFormatting sqref="C45:J45">
    <cfRule type="expression" dxfId="3172" priority="9">
      <formula>$C$43&lt;&gt;""</formula>
    </cfRule>
  </conditionalFormatting>
  <conditionalFormatting sqref="C82:L82">
    <cfRule type="expression" dxfId="3171" priority="7">
      <formula>$C$82&lt;&gt;""</formula>
    </cfRule>
  </conditionalFormatting>
  <conditionalFormatting sqref="C83:L83">
    <cfRule type="expression" dxfId="3170" priority="6">
      <formula>$C$82&lt;&gt;""</formula>
    </cfRule>
  </conditionalFormatting>
  <conditionalFormatting sqref="B3:L3">
    <cfRule type="expression" dxfId="3169" priority="3">
      <formula>$B$3="Paramedic"</formula>
    </cfRule>
    <cfRule type="expression" dxfId="3168" priority="5">
      <formula>$B$3="AEMT"</formula>
    </cfRule>
  </conditionalFormatting>
  <conditionalFormatting sqref="B139:J139">
    <cfRule type="expression" dxfId="3167" priority="2">
      <formula>$B$139="Paramedic"</formula>
    </cfRule>
    <cfRule type="expression" dxfId="3166" priority="4">
      <formula>$B$139="AEMT"</formula>
    </cfRule>
  </conditionalFormatting>
  <conditionalFormatting sqref="C131:H131">
    <cfRule type="expression" dxfId="3165" priority="1">
      <formula>$C$131&lt;&gt;""</formula>
    </cfRule>
  </conditionalFormatting>
  <dataValidations count="3">
    <dataValidation type="list" allowBlank="1" showInputMessage="1" showErrorMessage="1" sqref="E15 N106:N120 Q110:R120 E74 H26:H40 J47:J61 L85:L99 O52:O61 N59:N61" xr:uid="{00000000-0002-0000-0B00-000000000000}">
      <formula1>"Yes, No"</formula1>
    </dataValidation>
    <dataValidation type="list" allowBlank="1" showInputMessage="1" showErrorMessage="1" sqref="E47:E61 E106:E120" xr:uid="{00000000-0002-0000-0B00-000001000000}">
      <formula1>"AK, AL, AR, AZ, CA, CO, CT, DC, DE, FL, GA, HI, IA, ID, IL, IN, KS, KY, LA, MA, MD, ME, MI, MN, MO, MS, MT, NC, ND, NE, NH, NJ, NM, NV, NY, OH, OK, OR, PA, RI, SC, SD, TN, TX, UT, VA, VT, WA, WI, WV, WY"</formula1>
    </dataValidation>
    <dataValidation type="list" allowBlank="1" showInputMessage="1" showErrorMessage="1" sqref="E16:E17 E75:E76" xr:uid="{00000000-0002-0000-0B00-000002000000}">
      <formula1>"0,1,2,3,4,5,6,7,8,9,10,11,12,13,14,15"</formula1>
    </dataValidation>
  </dataValidations>
  <hyperlinks>
    <hyperlink ref="K5:O5" r:id="rId1" display="Request for Approval of a Satellite Location" xr:uid="{00000000-0004-0000-0B00-000000000000}"/>
    <hyperlink ref="K68:O68" r:id="rId2" display="Request for Approval of a Satellite Location" xr:uid="{00000000-0004-0000-0B00-000001000000}"/>
  </hyperlinks>
  <printOptions horizontalCentered="1" verticalCentered="1"/>
  <pageMargins left="0.25" right="0.25" top="0.25" bottom="0.25" header="0.3" footer="0.3"/>
  <pageSetup scale="62" fitToHeight="0" orientation="landscape" horizontalDpi="300" verticalDpi="300" r:id="rId3"/>
  <colBreaks count="1" manualBreakCount="1">
    <brk id="13" max="1048575" man="1"/>
  </colBreaks>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sheetPr>
  <dimension ref="B1:K51"/>
  <sheetViews>
    <sheetView showGridLines="0" zoomScale="110" zoomScaleNormal="110" workbookViewId="0">
      <selection activeCell="D38" sqref="D38:E38"/>
    </sheetView>
  </sheetViews>
  <sheetFormatPr defaultRowHeight="15" x14ac:dyDescent="0.25"/>
  <cols>
    <col min="1" max="1" width="4.7109375" customWidth="1"/>
    <col min="2" max="2" width="3.42578125" customWidth="1"/>
    <col min="3" max="3" width="18" customWidth="1"/>
    <col min="4" max="4" width="31.28515625" customWidth="1"/>
    <col min="5" max="5" width="16.42578125" customWidth="1"/>
    <col min="6" max="6" width="18.140625" customWidth="1"/>
    <col min="7" max="7" width="11.140625" customWidth="1"/>
  </cols>
  <sheetData>
    <row r="1" spans="2:8" s="41" customFormat="1" ht="45.95" customHeight="1" x14ac:dyDescent="0.25">
      <c r="B1" s="4" t="s">
        <v>7</v>
      </c>
      <c r="F1" s="64"/>
      <c r="H1" s="64" t="str">
        <f>Instructions!C19</f>
        <v>SSR Revised 2025.02</v>
      </c>
    </row>
    <row r="2" spans="2:8" s="41" customFormat="1" ht="14.25" x14ac:dyDescent="0.2"/>
    <row r="3" spans="2:8" s="41" customFormat="1" ht="27" customHeight="1" x14ac:dyDescent="0.2">
      <c r="B3" s="68" t="s">
        <v>8</v>
      </c>
      <c r="C3" s="256" t="s">
        <v>16</v>
      </c>
      <c r="D3" s="286" t="s">
        <v>95</v>
      </c>
      <c r="E3" s="79" t="str">
        <f>IF(D3="Please Select", " &lt;=== Select from drop down list","")</f>
        <v xml:space="preserve"> &lt;=== Select from drop down list</v>
      </c>
    </row>
    <row r="4" spans="2:8" s="41" customFormat="1" ht="14.25" x14ac:dyDescent="0.2"/>
    <row r="5" spans="2:8" s="41" customFormat="1" ht="14.25" x14ac:dyDescent="0.2"/>
    <row r="6" spans="2:8" s="41" customFormat="1" ht="25.5" x14ac:dyDescent="0.2">
      <c r="B6" s="68" t="s">
        <v>9</v>
      </c>
      <c r="C6" s="19" t="s">
        <v>94</v>
      </c>
      <c r="D6" s="69"/>
      <c r="E6" s="289" t="s">
        <v>559</v>
      </c>
    </row>
    <row r="7" spans="2:8" s="41" customFormat="1" ht="14.25" x14ac:dyDescent="0.2"/>
    <row r="8" spans="2:8" s="41" customFormat="1" ht="30" customHeight="1" x14ac:dyDescent="0.2">
      <c r="B8" s="68" t="s">
        <v>10</v>
      </c>
      <c r="C8" s="41" t="s">
        <v>484</v>
      </c>
    </row>
    <row r="9" spans="2:8" s="41" customFormat="1" ht="45.75" customHeight="1" x14ac:dyDescent="0.2">
      <c r="B9" s="68"/>
      <c r="C9" s="312" t="s">
        <v>485</v>
      </c>
      <c r="D9" s="312"/>
      <c r="E9" s="312"/>
      <c r="F9" s="312"/>
    </row>
    <row r="10" spans="2:8" s="41" customFormat="1" ht="31.9" customHeight="1" x14ac:dyDescent="0.2">
      <c r="B10" s="70">
        <f>LEN(D10)</f>
        <v>0</v>
      </c>
      <c r="C10" s="10" t="s">
        <v>466</v>
      </c>
      <c r="D10" s="311"/>
      <c r="E10" s="311"/>
      <c r="F10" s="311"/>
      <c r="G10" s="71" t="str">
        <f>IF(B10&gt;100, "Name exceeds 100 characters, please shorten.","")</f>
        <v/>
      </c>
    </row>
    <row r="11" spans="2:8" s="41" customFormat="1" ht="31.9" customHeight="1" x14ac:dyDescent="0.2">
      <c r="B11" s="70">
        <f>LEN(D11)</f>
        <v>0</v>
      </c>
      <c r="C11" s="10" t="s">
        <v>483</v>
      </c>
      <c r="D11" s="311"/>
      <c r="E11" s="311"/>
      <c r="F11" s="311"/>
      <c r="G11" s="71" t="str">
        <f>IF(B11&gt;100, "Name exceeds 100 characters, please shorten.","")</f>
        <v/>
      </c>
    </row>
    <row r="12" spans="2:8" s="41" customFormat="1" ht="14.25" x14ac:dyDescent="0.2">
      <c r="C12" s="5" t="s">
        <v>18</v>
      </c>
      <c r="D12" s="316"/>
      <c r="E12" s="316"/>
    </row>
    <row r="13" spans="2:8" s="41" customFormat="1" ht="14.25" x14ac:dyDescent="0.2">
      <c r="C13" s="5" t="s">
        <v>18</v>
      </c>
      <c r="D13" s="313"/>
      <c r="E13" s="313"/>
    </row>
    <row r="14" spans="2:8" s="41" customFormat="1" ht="14.25" x14ac:dyDescent="0.2">
      <c r="C14" s="5" t="s">
        <v>93</v>
      </c>
      <c r="D14" s="72"/>
      <c r="E14" s="73" t="s">
        <v>91</v>
      </c>
      <c r="F14" s="74"/>
      <c r="G14" s="73" t="s">
        <v>92</v>
      </c>
      <c r="H14" s="75"/>
    </row>
    <row r="15" spans="2:8" s="41" customFormat="1" ht="14.25" x14ac:dyDescent="0.2">
      <c r="C15" s="5" t="s">
        <v>366</v>
      </c>
      <c r="D15" s="72"/>
    </row>
    <row r="16" spans="2:8" s="41" customFormat="1" ht="35.25" customHeight="1" x14ac:dyDescent="0.2">
      <c r="C16" s="55" t="s">
        <v>343</v>
      </c>
      <c r="D16" s="317"/>
      <c r="E16" s="318"/>
    </row>
    <row r="17" spans="2:8" s="41" customFormat="1" ht="34.5" customHeight="1" x14ac:dyDescent="0.2">
      <c r="C17" s="16" t="str">
        <f>IF(D3&lt;&gt;"Please Select",D3 &amp;" Program Homepage:","")</f>
        <v/>
      </c>
      <c r="D17" s="319"/>
      <c r="E17" s="320"/>
      <c r="F17" s="320"/>
      <c r="G17" s="320"/>
      <c r="H17" s="321"/>
    </row>
    <row r="18" spans="2:8" s="41" customFormat="1" ht="14.25" x14ac:dyDescent="0.2">
      <c r="C18" s="76"/>
    </row>
    <row r="19" spans="2:8" s="41" customFormat="1" ht="36.75" customHeight="1" x14ac:dyDescent="0.2">
      <c r="B19" s="77" t="s">
        <v>11</v>
      </c>
      <c r="C19" s="314" t="str">
        <f>"Is the "&amp;D3&amp; " program offered at the same physical address as the sponsor address listed in number 3 above?"</f>
        <v>Is the Please Select program offered at the same physical address as the sponsor address listed in number 3 above?</v>
      </c>
      <c r="D19" s="314"/>
      <c r="E19" s="314"/>
      <c r="F19" s="315"/>
      <c r="G19" s="78"/>
      <c r="H19" s="79" t="str">
        <f>IF(G19="", " &lt;=== Select from drop down list","")</f>
        <v xml:space="preserve"> &lt;=== Select from drop down list</v>
      </c>
    </row>
    <row r="20" spans="2:8" s="41" customFormat="1" ht="14.25" x14ac:dyDescent="0.2">
      <c r="C20" s="5" t="str">
        <f>IF(G19="No", "Program Name:", "")</f>
        <v/>
      </c>
      <c r="D20" s="322"/>
      <c r="E20" s="322"/>
    </row>
    <row r="21" spans="2:8" s="41" customFormat="1" ht="14.25" x14ac:dyDescent="0.2">
      <c r="C21" s="5" t="str">
        <f>IF(G19="No", "Program Address:", "")</f>
        <v/>
      </c>
      <c r="D21" s="322"/>
      <c r="E21" s="322"/>
    </row>
    <row r="22" spans="2:8" s="41" customFormat="1" ht="14.25" x14ac:dyDescent="0.2">
      <c r="C22" s="5"/>
      <c r="D22" s="323"/>
      <c r="E22" s="323"/>
    </row>
    <row r="23" spans="2:8" s="41" customFormat="1" ht="14.25" x14ac:dyDescent="0.2">
      <c r="C23" s="57" t="str">
        <f>IF(G19="No", "City:   ", "")</f>
        <v/>
      </c>
      <c r="D23" s="80"/>
      <c r="E23" s="73" t="str">
        <f>IF(G19="No", "State:   ", "")</f>
        <v/>
      </c>
      <c r="F23" s="81"/>
      <c r="G23" s="73" t="str">
        <f>IF(G19="No", "Zip:   ", "")</f>
        <v/>
      </c>
      <c r="H23" s="82"/>
    </row>
    <row r="24" spans="2:8" s="41" customFormat="1" ht="14.25" x14ac:dyDescent="0.2">
      <c r="C24" s="5"/>
      <c r="D24" s="80"/>
    </row>
    <row r="25" spans="2:8" s="41" customFormat="1" ht="14.25" x14ac:dyDescent="0.2">
      <c r="C25" s="76"/>
    </row>
    <row r="26" spans="2:8" s="41" customFormat="1" ht="14.25" x14ac:dyDescent="0.2"/>
    <row r="27" spans="2:8" s="41" customFormat="1" ht="79.5" customHeight="1" x14ac:dyDescent="0.2">
      <c r="B27" s="83" t="s">
        <v>12</v>
      </c>
      <c r="C27" s="84" t="s">
        <v>95</v>
      </c>
      <c r="D27" s="326" t="str">
        <f>IF(Instructions!A14="(CSSR)","By selecting 'Yes', I attest that the information in this submission is true and correct, and an accurate description of the "&amp;D3&amp;" program.  "&amp;"Also, selecting 'Yes' and submitting the CSSR is authorization for initiating the accreditation process by the President/CEO of record through the Commission on Accreditation of Allied Health Education Programs (CAAHEP) upon recommendation of the CoAEMSP.",IF(Instructions!A14="(ISSR)","By selecting 'Yes', I attest that the information in this submission is true and correct, and an accurate description of the "&amp;D3&amp;" program.  "&amp;"Also, selecting 'Yes' and submitting the ISSR is authorization for initiating the accreditation process by the President/CEO of record through the Commission on Accreditation of Allied Health Education Programs (CAAHEP) upon recommendation of the CoAEMSP.",IF(Instructions!A14="(LSSR)","By selecting 'Yes', I attest that the information in this submission is true and correct, and an accurate description of the "&amp;D3&amp;" program.  "&amp;"Also, selecting 'Yes' and submitting the LSSR is authorization for initiating the accreditation process by the President/CEO of record through the Commission on Accreditation of Allied Health Education Programs (CAAHEP) upon recommendation of the CoAEMSP.","")))</f>
        <v>By selecting 'Yes', I attest that the information in this submission is true and correct, and an accurate description of the Please Select program.  Also, selecting 'Yes' and submitting the LSSR is authorization for initiating the accreditation process by the President/CEO of record through the Commission on Accreditation of Allied Health Education Programs (CAAHEP) upon recommendation of the CoAEMSP.</v>
      </c>
      <c r="E27" s="326"/>
      <c r="F27" s="326"/>
      <c r="G27" s="326"/>
      <c r="H27" s="326"/>
    </row>
    <row r="28" spans="2:8" s="41" customFormat="1" ht="14.25" x14ac:dyDescent="0.2">
      <c r="C28" s="324" t="s">
        <v>80</v>
      </c>
      <c r="D28" s="324"/>
      <c r="E28" s="324"/>
      <c r="F28" s="324"/>
    </row>
    <row r="29" spans="2:8" s="41" customFormat="1" ht="79.5" customHeight="1" x14ac:dyDescent="0.2">
      <c r="B29" s="83" t="s">
        <v>13</v>
      </c>
      <c r="C29" s="84" t="s">
        <v>95</v>
      </c>
      <c r="D29" s="326" t="str">
        <f>IF(Instructions!A14="(CSSR)","By selecting 'Yes', and submitting this CSSR, I acknowledge and agree that the CoAEMSP may, at its discretion, share information regarding the program's accreditation status to the State Office(s) of EMS, "&amp;"NREMT, and the instutional accreditor at any time.",IF(Instructions!A14="(ISSR)","By selecting 'Yes', and submitting this ISSR, I acknowledge and agree that the CoAEMSP may, at its discretion, share information regarding the program's accreditation status to the State Office(s) of EMS, "&amp;"NREMT, and the instutional accreditor at any time.",IF(Instructions!A14="(LSSR)","By selecting 'Yes', and submitting this LSSR, I acknowledge and agree that the CoAEMSP may, at its discretion, share information regarding the program's Letter of Review status to the State Office(s) of EMS, "&amp;"NREMT, and the instutional accreditor at any time.","")))</f>
        <v>By selecting 'Yes', and submitting this LSSR, I acknowledge and agree that the CoAEMSP may, at its discretion, share information regarding the program's Letter of Review status to the State Office(s) of EMS, NREMT, and the instutional accreditor at any time.</v>
      </c>
      <c r="E29" s="326"/>
      <c r="F29" s="326"/>
      <c r="G29" s="326"/>
      <c r="H29" s="326"/>
    </row>
    <row r="30" spans="2:8" s="41" customFormat="1" ht="14.25" x14ac:dyDescent="0.2">
      <c r="C30" s="325" t="s">
        <v>81</v>
      </c>
      <c r="D30" s="325"/>
      <c r="E30" s="325"/>
    </row>
    <row r="31" spans="2:8" s="41" customFormat="1" ht="14.25" x14ac:dyDescent="0.2"/>
    <row r="32" spans="2:8" s="41" customFormat="1" ht="14.25" x14ac:dyDescent="0.2"/>
    <row r="33" spans="2:11" s="41" customFormat="1" ht="131.25" customHeight="1" x14ac:dyDescent="0.2">
      <c r="C33" s="618" t="str">
        <f>IF(Instructions!A14&lt;&gt;"(LSSR)","Student Questionnaire Reminder
Specific details along with a link to the Student Questionnaires were sent to the program in the email notifying them of the self study due date.  "&amp;"Please have all current students complete the questionnaires using the link provided.","")</f>
        <v/>
      </c>
      <c r="D33" s="618"/>
      <c r="E33" s="618"/>
      <c r="F33" s="618"/>
      <c r="G33" s="618"/>
      <c r="H33" s="618"/>
    </row>
    <row r="34" spans="2:11" s="41" customFormat="1" ht="14.25" x14ac:dyDescent="0.2"/>
    <row r="35" spans="2:11" s="41" customFormat="1" ht="14.25" x14ac:dyDescent="0.2"/>
    <row r="36" spans="2:11" s="41" customFormat="1" ht="14.25" x14ac:dyDescent="0.2"/>
    <row r="37" spans="2:11" s="41" customFormat="1" ht="21" customHeight="1" x14ac:dyDescent="0.2">
      <c r="B37" s="77" t="s">
        <v>14</v>
      </c>
      <c r="C37" s="43" t="s">
        <v>20</v>
      </c>
    </row>
    <row r="38" spans="2:11" s="41" customFormat="1" ht="14.25" x14ac:dyDescent="0.2">
      <c r="C38" s="5" t="s">
        <v>17</v>
      </c>
      <c r="D38" s="313"/>
      <c r="E38" s="313"/>
    </row>
    <row r="39" spans="2:11" s="41" customFormat="1" ht="14.25" x14ac:dyDescent="0.2">
      <c r="C39" s="1" t="s">
        <v>364</v>
      </c>
      <c r="D39" s="313"/>
      <c r="E39" s="313"/>
    </row>
    <row r="40" spans="2:11" s="41" customFormat="1" ht="14.25" x14ac:dyDescent="0.2">
      <c r="C40" s="5" t="s">
        <v>366</v>
      </c>
      <c r="D40" s="72"/>
    </row>
    <row r="41" spans="2:11" s="41" customFormat="1" ht="14.25" x14ac:dyDescent="0.2">
      <c r="C41" s="1"/>
    </row>
    <row r="42" spans="2:11" s="41" customFormat="1" ht="14.25" x14ac:dyDescent="0.2">
      <c r="C42" s="5" t="s">
        <v>17</v>
      </c>
      <c r="D42" s="313"/>
      <c r="E42" s="313"/>
    </row>
    <row r="43" spans="2:11" s="41" customFormat="1" ht="14.25" x14ac:dyDescent="0.2">
      <c r="C43" s="5" t="s">
        <v>19</v>
      </c>
      <c r="D43" s="313"/>
      <c r="E43" s="313"/>
    </row>
    <row r="44" spans="2:11" s="41" customFormat="1" ht="14.25" x14ac:dyDescent="0.2">
      <c r="C44" s="5" t="s">
        <v>366</v>
      </c>
      <c r="D44" s="72"/>
    </row>
    <row r="45" spans="2:11" s="41" customFormat="1" ht="14.25" x14ac:dyDescent="0.2"/>
    <row r="46" spans="2:11" s="41" customFormat="1" ht="14.25" x14ac:dyDescent="0.2">
      <c r="C46" s="41" t="s">
        <v>365</v>
      </c>
      <c r="D46" s="72"/>
    </row>
    <row r="47" spans="2:11" s="41" customFormat="1" x14ac:dyDescent="0.25">
      <c r="C47" s="64"/>
    </row>
    <row r="48" spans="2:11" s="41" customFormat="1" ht="24" customHeight="1" x14ac:dyDescent="0.25">
      <c r="B48" s="30" t="s">
        <v>273</v>
      </c>
      <c r="C48" s="30"/>
      <c r="D48" s="30"/>
      <c r="E48" s="85"/>
      <c r="F48" s="85"/>
      <c r="K48" s="64"/>
    </row>
    <row r="51" spans="3:10" ht="27" customHeight="1" x14ac:dyDescent="0.25">
      <c r="C51" s="310" t="str">
        <f>IF(D3&lt;&gt;"Please Select",D3,"")</f>
        <v/>
      </c>
      <c r="D51" s="310"/>
      <c r="E51" s="310"/>
      <c r="F51" s="310"/>
      <c r="G51" s="310"/>
      <c r="H51" s="310"/>
      <c r="I51" s="310"/>
      <c r="J51" s="310"/>
    </row>
  </sheetData>
  <sheetProtection algorithmName="SHA-512" hashValue="4OZ0xXixYIkGHDY1rzx2GlmweiFi5S2PWOsIcgYsKjkeBA3QO+jo8t/s0nlKcDRKFib0GvV6mtsmDonRaMoqeQ==" saltValue="Aq4FNQRZ31XsClI0Z8yAhg==" spinCount="100000" sheet="1" formatRows="0" selectLockedCells="1"/>
  <mergeCells count="21">
    <mergeCell ref="D39:E39"/>
    <mergeCell ref="D27:H27"/>
    <mergeCell ref="D29:H29"/>
    <mergeCell ref="D20:E20"/>
    <mergeCell ref="C33:H33"/>
    <mergeCell ref="C51:J51"/>
    <mergeCell ref="D11:F11"/>
    <mergeCell ref="C9:F9"/>
    <mergeCell ref="D10:F10"/>
    <mergeCell ref="D42:E42"/>
    <mergeCell ref="D38:E38"/>
    <mergeCell ref="C19:F19"/>
    <mergeCell ref="D43:E43"/>
    <mergeCell ref="D13:E13"/>
    <mergeCell ref="D12:E12"/>
    <mergeCell ref="D16:E16"/>
    <mergeCell ref="D17:H17"/>
    <mergeCell ref="D21:E21"/>
    <mergeCell ref="D22:E22"/>
    <mergeCell ref="C28:F28"/>
    <mergeCell ref="C30:E30"/>
  </mergeCells>
  <conditionalFormatting sqref="C3:J3">
    <cfRule type="expression" dxfId="8" priority="3">
      <formula>$D$3="Paramedic"</formula>
    </cfRule>
    <cfRule type="expression" dxfId="7" priority="6">
      <formula>$D$3="AEMT"</formula>
    </cfRule>
  </conditionalFormatting>
  <conditionalFormatting sqref="C51:J51">
    <cfRule type="expression" dxfId="6" priority="2">
      <formula>$C$51="Paramedic"</formula>
    </cfRule>
    <cfRule type="expression" dxfId="5" priority="4">
      <formula>$D$3="AEMT"</formula>
    </cfRule>
  </conditionalFormatting>
  <conditionalFormatting sqref="D23">
    <cfRule type="expression" dxfId="4" priority="10">
      <formula>$G$19="No"</formula>
    </cfRule>
  </conditionalFormatting>
  <conditionalFormatting sqref="D20:E22">
    <cfRule type="expression" dxfId="3" priority="7">
      <formula>$G$19="No"</formula>
    </cfRule>
  </conditionalFormatting>
  <conditionalFormatting sqref="F23">
    <cfRule type="expression" dxfId="2" priority="9">
      <formula>$G$19="No"</formula>
    </cfRule>
  </conditionalFormatting>
  <conditionalFormatting sqref="H23">
    <cfRule type="expression" dxfId="1" priority="8">
      <formula>$G$19="No"</formula>
    </cfRule>
  </conditionalFormatting>
  <conditionalFormatting sqref="C33:H33">
    <cfRule type="expression" dxfId="0" priority="1">
      <formula>$C$33&lt;&gt;""</formula>
    </cfRule>
  </conditionalFormatting>
  <dataValidations count="4">
    <dataValidation type="list" allowBlank="1" showInputMessage="1" showErrorMessage="1" sqref="F14 F23" xr:uid="{00000000-0002-0000-0100-000000000000}">
      <formula1>"AK, AL, AR, AZ, CA, CO, CT, DC, DE, FL, GA, HI, IA, ID, IL, IN, KS, KY, LA, MA, MD, ME, MI, MN, MO, MS, MT, NC, ND, NE, NH, NJ, NM, NV, NY, OH, OK, OR, PA, RI, SC, SD, TN, TX, UT, VA, VT, WA, WI, WV, WY"</formula1>
    </dataValidation>
    <dataValidation type="list" allowBlank="1" showInputMessage="1" showErrorMessage="1" sqref="C27 C29" xr:uid="{00000000-0002-0000-0100-000001000000}">
      <formula1>"Please Select, Yes"</formula1>
    </dataValidation>
    <dataValidation type="list" allowBlank="1" showInputMessage="1" showErrorMessage="1" sqref="G19" xr:uid="{00000000-0002-0000-0100-000002000000}">
      <formula1>"Yes, No"</formula1>
    </dataValidation>
    <dataValidation type="list" allowBlank="1" showInputMessage="1" showErrorMessage="1" sqref="D3" xr:uid="{D27BFF53-E279-4B24-BFC0-433F6C2B4806}">
      <formula1>"Please Select,AEMT, Paramedic"</formula1>
    </dataValidation>
  </dataValidations>
  <printOptions horizontalCentered="1" verticalCentered="1"/>
  <pageMargins left="0.25" right="0.25" top="0.25" bottom="0.25" header="0.3" footer="0.3"/>
  <pageSetup scale="84" fitToHeight="0" orientation="landscape" horizontalDpi="300" verticalDpi="300" r:id="rId1"/>
  <rowBreaks count="1" manualBreakCount="1">
    <brk id="25" max="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sheetPr>
  <dimension ref="A1:L93"/>
  <sheetViews>
    <sheetView showGridLines="0" zoomScaleNormal="100" workbookViewId="0">
      <selection activeCell="D5" sqref="D5"/>
    </sheetView>
  </sheetViews>
  <sheetFormatPr defaultRowHeight="15" x14ac:dyDescent="0.25"/>
  <cols>
    <col min="1" max="1" width="4.7109375" customWidth="1"/>
    <col min="2" max="2" width="3.42578125" customWidth="1"/>
    <col min="3" max="3" width="66" customWidth="1"/>
    <col min="4" max="4" width="14.140625" customWidth="1"/>
    <col min="5" max="5" width="4.7109375" customWidth="1"/>
    <col min="7" max="7" width="19.7109375" customWidth="1"/>
    <col min="9" max="9" width="7.5703125" customWidth="1"/>
    <col min="10" max="10" width="18.28515625" customWidth="1"/>
    <col min="19" max="19" width="24.7109375" customWidth="1"/>
    <col min="28" max="28" width="24.7109375" customWidth="1"/>
    <col min="37" max="37" width="24.7109375" customWidth="1"/>
    <col min="46" max="46" width="24.7109375" customWidth="1"/>
    <col min="55" max="55" width="24.7109375" customWidth="1"/>
    <col min="64" max="64" width="24.7109375" customWidth="1"/>
    <col min="73" max="73" width="24.7109375" customWidth="1"/>
    <col min="82" max="82" width="24.7109375" customWidth="1"/>
    <col min="91" max="91" width="24.7109375" customWidth="1"/>
    <col min="100" max="100" width="24.7109375" customWidth="1"/>
    <col min="109" max="109" width="24.7109375" customWidth="1"/>
  </cols>
  <sheetData>
    <row r="1" spans="2:10" ht="45.95" customHeight="1" x14ac:dyDescent="0.25">
      <c r="B1" s="4" t="s">
        <v>32</v>
      </c>
      <c r="C1" s="41"/>
      <c r="D1" s="41"/>
      <c r="E1" s="41"/>
      <c r="F1" s="41"/>
      <c r="G1" s="64" t="str">
        <f>Instructions!C19</f>
        <v>SSR Revised 2025.02</v>
      </c>
      <c r="H1" s="41"/>
      <c r="I1" s="41"/>
      <c r="J1" s="41"/>
    </row>
    <row r="2" spans="2:10" ht="19.5" customHeight="1" x14ac:dyDescent="0.25">
      <c r="B2" s="328">
        <f>'Title Page'!$D$10</f>
        <v>0</v>
      </c>
      <c r="C2" s="328"/>
      <c r="D2" s="328"/>
      <c r="E2" s="328"/>
      <c r="F2" s="328"/>
      <c r="G2" s="41"/>
      <c r="H2" s="41"/>
      <c r="I2" s="41"/>
      <c r="J2" s="41"/>
    </row>
    <row r="3" spans="2:10" ht="27" customHeight="1" x14ac:dyDescent="0.25">
      <c r="B3" s="335" t="str">
        <f>IF('Title Page'!D3&lt;&gt;"Please Select",'Title Page'!D3,"")</f>
        <v/>
      </c>
      <c r="C3" s="335"/>
      <c r="D3" s="335"/>
      <c r="E3" s="335"/>
      <c r="F3" s="335"/>
      <c r="G3" s="335"/>
      <c r="H3" s="335"/>
      <c r="I3" s="335"/>
      <c r="J3" s="335"/>
    </row>
    <row r="4" spans="2:10" x14ac:dyDescent="0.25">
      <c r="B4" s="41"/>
      <c r="C4" s="41"/>
      <c r="D4" s="41"/>
      <c r="E4" s="41"/>
      <c r="F4" s="41"/>
      <c r="G4" s="41"/>
      <c r="H4" s="41"/>
      <c r="I4" s="41"/>
      <c r="J4" s="41"/>
    </row>
    <row r="5" spans="2:10" ht="30" customHeight="1" x14ac:dyDescent="0.25">
      <c r="B5" s="77" t="s">
        <v>8</v>
      </c>
      <c r="C5" s="32" t="s">
        <v>344</v>
      </c>
      <c r="D5" s="78"/>
      <c r="E5" s="332" t="str">
        <f>IF(D5="", " &lt;=== Select from drop down list",IF(D5="No", " &lt;=== A pathway to award credit is required through an articluation agreement",""))</f>
        <v xml:space="preserve"> &lt;=== Select from drop down list</v>
      </c>
      <c r="F5" s="333"/>
      <c r="G5" s="333"/>
      <c r="H5" s="333"/>
      <c r="I5" s="333"/>
      <c r="J5" s="333"/>
    </row>
    <row r="6" spans="2:10" ht="30" customHeight="1" x14ac:dyDescent="0.25">
      <c r="B6" s="77" t="s">
        <v>9</v>
      </c>
      <c r="C6" s="32" t="s">
        <v>385</v>
      </c>
      <c r="D6" s="78"/>
      <c r="E6" s="79" t="str">
        <f>IF(D6="", " &lt;=== Select from drop down list","")</f>
        <v xml:space="preserve"> &lt;=== Select from drop down list</v>
      </c>
      <c r="F6" s="79"/>
      <c r="G6" s="79"/>
      <c r="H6" s="79"/>
      <c r="I6" s="79"/>
      <c r="J6" s="79"/>
    </row>
    <row r="7" spans="2:10" ht="26.25" customHeight="1" x14ac:dyDescent="0.25">
      <c r="B7" s="68" t="s">
        <v>10</v>
      </c>
      <c r="C7" s="33" t="s">
        <v>170</v>
      </c>
      <c r="D7" s="257"/>
      <c r="E7" s="41" t="s">
        <v>171</v>
      </c>
      <c r="F7" s="41"/>
      <c r="G7" s="41"/>
      <c r="H7" s="41"/>
      <c r="I7" s="41"/>
      <c r="J7" s="41"/>
    </row>
    <row r="8" spans="2:10" ht="26.25" customHeight="1" x14ac:dyDescent="0.25">
      <c r="B8" s="68" t="s">
        <v>11</v>
      </c>
      <c r="C8" s="33" t="s">
        <v>307</v>
      </c>
      <c r="D8" s="257"/>
      <c r="E8" s="41"/>
      <c r="F8" s="41"/>
      <c r="G8" s="41"/>
      <c r="H8" s="41"/>
      <c r="I8" s="41"/>
      <c r="J8" s="41"/>
    </row>
    <row r="9" spans="2:10" ht="26.25" customHeight="1" x14ac:dyDescent="0.25">
      <c r="B9" s="68" t="s">
        <v>12</v>
      </c>
      <c r="C9" s="33" t="s">
        <v>383</v>
      </c>
      <c r="D9" s="258"/>
      <c r="E9" s="79" t="str">
        <f>IF(D9="", " &lt;=== Select from drop down list","")</f>
        <v xml:space="preserve"> &lt;=== Select from drop down list</v>
      </c>
      <c r="F9" s="41"/>
      <c r="G9" s="41"/>
      <c r="H9" s="41"/>
      <c r="I9" s="41"/>
      <c r="J9" s="41"/>
    </row>
    <row r="10" spans="2:10" ht="26.25" customHeight="1" x14ac:dyDescent="0.25">
      <c r="B10" s="68" t="s">
        <v>13</v>
      </c>
      <c r="C10" s="33" t="str">
        <f>IF(Instructions!A14&lt;&gt;"(LSSR)","Does the program sponsor offer both a certificate/diploma and a degree option?","Will the program sponsor offer both a certificate/diploma and a degree option?")</f>
        <v>Will the program sponsor offer both a certificate/diploma and a degree option?</v>
      </c>
      <c r="D10" s="142"/>
      <c r="E10" s="79" t="str">
        <f>IF(D10="", " &lt;=== Select from drop down list","")</f>
        <v xml:space="preserve"> &lt;=== Select from drop down list</v>
      </c>
      <c r="F10" s="41"/>
      <c r="G10" s="41"/>
      <c r="H10" s="41"/>
      <c r="I10" s="41"/>
      <c r="J10" s="41"/>
    </row>
    <row r="11" spans="2:10" ht="36" customHeight="1" x14ac:dyDescent="0.25">
      <c r="B11" s="77" t="s">
        <v>14</v>
      </c>
      <c r="C11" s="19" t="str">
        <f>IF(Instructions!A14&lt;&gt;"(LSSR)","Is there more than one (1) track offered in the same program with different requirements or schedules?","Will there be more than one (1) track offered in the same program with different requirements or schedules?")</f>
        <v>Will there be more than one (1) track offered in the same program with different requirements or schedules?</v>
      </c>
      <c r="D11" s="142"/>
      <c r="E11" s="79" t="str">
        <f>IF(D11="", " &lt;=== Select from drop down list","")</f>
        <v xml:space="preserve"> &lt;=== Select from drop down list</v>
      </c>
      <c r="F11" s="41"/>
      <c r="G11" s="41"/>
      <c r="H11" s="41"/>
      <c r="I11" s="41"/>
      <c r="J11" s="41"/>
    </row>
    <row r="12" spans="2:10" ht="26.25" customHeight="1" x14ac:dyDescent="0.25">
      <c r="B12" s="77" t="s">
        <v>15</v>
      </c>
      <c r="C12" s="33" t="str">
        <f>IF(Instructions!A14&lt;&gt;"(LSSR)","Does the program enroll students in an Advanced Placement process?","Will the program enroll students in an Advanced Placement process?")</f>
        <v>Will the program enroll students in an Advanced Placement process?</v>
      </c>
      <c r="D12" s="142"/>
      <c r="E12" s="79" t="str">
        <f>IF(D12="", " &lt;=== Select from drop down list","")</f>
        <v xml:space="preserve"> &lt;=== Select from drop down list</v>
      </c>
      <c r="F12" s="41"/>
      <c r="G12" s="41"/>
      <c r="H12" s="41"/>
      <c r="I12" s="87"/>
      <c r="J12" s="41"/>
    </row>
    <row r="13" spans="2:10" ht="26.25" customHeight="1" x14ac:dyDescent="0.25">
      <c r="B13" s="77" t="s">
        <v>24</v>
      </c>
      <c r="C13" s="33" t="str">
        <f>IF(Instructions!A14&lt;&gt;"(LSSR)","How many cohorts are enrolled each calendar year?","How many cohorts are anticipated to be enrolled each calendar year?")</f>
        <v>How many cohorts are anticipated to be enrolled each calendar year?</v>
      </c>
      <c r="D13" s="259"/>
      <c r="E13" s="41"/>
      <c r="F13" s="41"/>
      <c r="G13" s="41"/>
      <c r="H13" s="41"/>
      <c r="I13" s="41"/>
      <c r="J13" s="41"/>
    </row>
    <row r="14" spans="2:10" ht="26.25" customHeight="1" x14ac:dyDescent="0.25">
      <c r="B14" s="77" t="s">
        <v>33</v>
      </c>
      <c r="C14" s="33" t="str">
        <f>IF(Instructions!A14&lt;&gt;"(LSSR)","In which month"&amp;IF(D13&gt;1,"s are cohorts"," is the cohort")&amp;" started?","In which month"&amp;IF(D13&gt;1,"s are cohorts anticipated to"," is the cohort anticipated to")&amp;" start?")</f>
        <v>In which month is the cohort anticipated to start?</v>
      </c>
      <c r="D14" s="329"/>
      <c r="E14" s="329"/>
      <c r="F14" s="329"/>
      <c r="G14" s="329"/>
      <c r="H14" s="41"/>
      <c r="I14" s="41"/>
      <c r="J14" s="41"/>
    </row>
    <row r="15" spans="2:10" ht="26.25" customHeight="1" x14ac:dyDescent="0.25">
      <c r="B15" s="77" t="s">
        <v>34</v>
      </c>
      <c r="C15" s="33" t="str">
        <f>IF(Instructions!A14&lt;&gt;"(LSSR)","In which month"&amp;IF(D13&gt;1,"s do cohorts"," does the cohort")&amp;" complete the program?","In which month"&amp;IF(D13&gt;1,"s are cohorts anticipated to"," is the cohort anticipated to")&amp;" complete the program?")</f>
        <v>In which month is the cohort anticipated to complete the program?</v>
      </c>
      <c r="D15" s="329"/>
      <c r="E15" s="329"/>
      <c r="F15" s="329"/>
      <c r="G15" s="329"/>
      <c r="H15" s="41"/>
      <c r="I15" s="41"/>
      <c r="J15" s="41"/>
    </row>
    <row r="16" spans="2:10" ht="26.25" customHeight="1" x14ac:dyDescent="0.25">
      <c r="B16" s="77" t="s">
        <v>35</v>
      </c>
      <c r="C16" s="33" t="str">
        <f>IF(Instructions!A14&lt;&gt;"(LSSR)","What was the most recent start date? (mm/dd/yyyy)","What is the anticipated start date? (mm/dd/yyyy)")</f>
        <v>What is the anticipated start date? (mm/dd/yyyy)</v>
      </c>
      <c r="D16" s="330"/>
      <c r="E16" s="330"/>
      <c r="F16" s="41"/>
      <c r="G16" s="41"/>
      <c r="H16" s="41"/>
      <c r="I16" s="41"/>
      <c r="J16" s="41"/>
    </row>
    <row r="17" spans="1:12" ht="26.25" customHeight="1" x14ac:dyDescent="0.25">
      <c r="B17" s="77" t="s">
        <v>36</v>
      </c>
      <c r="C17" s="33" t="str">
        <f>IF(Instructions!A14&lt;&gt;"(LSSR)","What is the next cohort start date? (mm/dd/yyyy)","What will be the next anticipated cohort start date? (mm/dd/yyyy)")</f>
        <v>What will be the next anticipated cohort start date? (mm/dd/yyyy)</v>
      </c>
      <c r="D17" s="331"/>
      <c r="E17" s="331"/>
      <c r="F17" s="41"/>
      <c r="G17" s="41"/>
      <c r="H17" s="41"/>
      <c r="I17" s="41"/>
      <c r="J17" s="41"/>
    </row>
    <row r="18" spans="1:12" ht="26.25" customHeight="1" x14ac:dyDescent="0.25">
      <c r="B18" s="77" t="s">
        <v>37</v>
      </c>
      <c r="C18" s="33" t="str">
        <f>IF(Instructions!A14&lt;&gt;"(LSSR)","What was the most recent completion date? (mm/dd/yyyy)","What will be the 1st anticipated cohort completion date? (mm/dd/yyyy)")</f>
        <v>What will be the 1st anticipated cohort completion date? (mm/dd/yyyy)</v>
      </c>
      <c r="D18" s="331"/>
      <c r="E18" s="331"/>
      <c r="F18" s="41"/>
      <c r="G18" s="41"/>
      <c r="H18" s="41"/>
      <c r="I18" s="41"/>
      <c r="J18" s="41"/>
    </row>
    <row r="19" spans="1:12" ht="26.25" customHeight="1" x14ac:dyDescent="0.25">
      <c r="B19" s="77" t="s">
        <v>85</v>
      </c>
      <c r="C19" s="33" t="str">
        <f>IF(Instructions!A14&lt;&gt;"(LSSR)","What is the next program on-time graduation date? (mm/dd/yyyy)","What is the first anticipated on-time graduation date? (mm/dd/yyyy)")</f>
        <v>What is the first anticipated on-time graduation date? (mm/dd/yyyy)</v>
      </c>
      <c r="D19" s="331"/>
      <c r="E19" s="331"/>
      <c r="F19" s="41"/>
      <c r="G19" s="41"/>
      <c r="H19" s="41"/>
      <c r="I19" s="41"/>
      <c r="J19" s="41"/>
    </row>
    <row r="20" spans="1:12" ht="26.25" customHeight="1" x14ac:dyDescent="0.25">
      <c r="B20" s="77" t="s">
        <v>38</v>
      </c>
      <c r="C20" s="33" t="str">
        <f>IF(Instructions!A14&lt;&gt;"(LSSR)","Total # of students currently enrolled in all cohorts?","Total # of students anticipated to start the program?")</f>
        <v>Total # of students anticipated to start the program?</v>
      </c>
      <c r="D20" s="260"/>
      <c r="E20" s="41"/>
      <c r="F20" s="41"/>
      <c r="G20" s="41"/>
      <c r="H20" s="41"/>
      <c r="I20" s="41"/>
      <c r="J20" s="41"/>
    </row>
    <row r="21" spans="1:12" ht="12.75" customHeight="1" x14ac:dyDescent="0.25">
      <c r="B21" s="68"/>
      <c r="C21" s="1"/>
      <c r="D21" s="41"/>
      <c r="E21" s="41"/>
      <c r="F21" s="87"/>
      <c r="G21" s="41"/>
      <c r="H21" s="41"/>
      <c r="I21" s="41"/>
      <c r="J21" s="41"/>
    </row>
    <row r="22" spans="1:12" s="45" customFormat="1" ht="12.75" customHeight="1" x14ac:dyDescent="0.25">
      <c r="B22" s="261"/>
      <c r="C22" s="46"/>
      <c r="D22" s="262"/>
      <c r="E22" s="262"/>
      <c r="F22" s="263"/>
      <c r="G22" s="262"/>
      <c r="H22" s="262"/>
      <c r="I22" s="262"/>
      <c r="J22" s="262"/>
    </row>
    <row r="23" spans="1:12" ht="45.75" customHeight="1" x14ac:dyDescent="0.25">
      <c r="B23" s="83" t="s">
        <v>39</v>
      </c>
      <c r="C23" s="56" t="s">
        <v>356</v>
      </c>
      <c r="D23" s="264">
        <f>'Standard III-Resources'!H114</f>
        <v>0</v>
      </c>
      <c r="E23" s="8"/>
      <c r="F23" s="334" t="s">
        <v>376</v>
      </c>
      <c r="G23" s="334"/>
      <c r="H23" s="334"/>
      <c r="I23" s="334"/>
      <c r="J23" s="334"/>
      <c r="K23" s="45"/>
    </row>
    <row r="24" spans="1:12" ht="45.75" customHeight="1" x14ac:dyDescent="0.25">
      <c r="B24" s="83" t="s">
        <v>40</v>
      </c>
      <c r="C24" s="56" t="s">
        <v>357</v>
      </c>
      <c r="D24" s="264">
        <f>'Standard III-Resources'!M115</f>
        <v>0</v>
      </c>
      <c r="E24" s="8"/>
      <c r="F24" s="334"/>
      <c r="G24" s="334"/>
      <c r="H24" s="334"/>
      <c r="I24" s="334"/>
      <c r="J24" s="334"/>
      <c r="K24" s="45"/>
    </row>
    <row r="25" spans="1:12" ht="26.25" customHeight="1" x14ac:dyDescent="0.25">
      <c r="B25" s="68" t="s">
        <v>41</v>
      </c>
      <c r="C25" s="1" t="str">
        <f>"# of active " &amp;'Program Info'!B3&amp;" clinical / field experience affiliates?"</f>
        <v># of active  clinical / field experience affiliates?</v>
      </c>
      <c r="D25" s="264">
        <f>SUM('Standard III-Affiliates'!H12,'Standard III-Affiliates'!H141)</f>
        <v>0</v>
      </c>
      <c r="E25" s="41"/>
      <c r="F25" s="327" t="s">
        <v>377</v>
      </c>
      <c r="G25" s="327"/>
      <c r="H25" s="327"/>
      <c r="I25" s="327"/>
      <c r="J25" s="327"/>
    </row>
    <row r="26" spans="1:12" ht="26.25" customHeight="1" x14ac:dyDescent="0.25">
      <c r="B26" s="68" t="s">
        <v>42</v>
      </c>
      <c r="C26" s="1" t="str">
        <f>"# of active " &amp;'Program Info'!B3&amp;" capstone field internship affiliates?"</f>
        <v># of active  capstone field internship affiliates?</v>
      </c>
      <c r="D26" s="264" t="str">
        <f>'Standard III-Affiliates'!H64</f>
        <v>Please Select</v>
      </c>
      <c r="E26" s="41"/>
      <c r="F26" s="327"/>
      <c r="G26" s="327"/>
      <c r="H26" s="327"/>
      <c r="I26" s="327"/>
      <c r="J26" s="327"/>
    </row>
    <row r="27" spans="1:12" ht="26.25" customHeight="1" x14ac:dyDescent="0.25">
      <c r="B27" s="68" t="s">
        <v>43</v>
      </c>
      <c r="C27" s="1" t="str">
        <f>"# of paid full-time " &amp;'Program Info'!B3&amp;" faculty?"</f>
        <v># of paid full-time  faculty?</v>
      </c>
      <c r="D27" s="264">
        <f>'Standard III-Personnel'!O112</f>
        <v>0</v>
      </c>
      <c r="E27" s="41"/>
      <c r="F27" s="327" t="s">
        <v>378</v>
      </c>
      <c r="G27" s="327"/>
      <c r="H27" s="327"/>
      <c r="I27" s="327"/>
      <c r="J27" s="327"/>
    </row>
    <row r="28" spans="1:12" ht="26.25" customHeight="1" x14ac:dyDescent="0.25">
      <c r="B28" s="68" t="s">
        <v>44</v>
      </c>
      <c r="C28" s="1" t="str">
        <f>"# of paid part-time " &amp;'Program Info'!B3&amp;" faculty?"</f>
        <v># of paid part-time  faculty?</v>
      </c>
      <c r="D28" s="264">
        <f>'Standard III-Personnel'!O163</f>
        <v>0</v>
      </c>
      <c r="E28" s="41"/>
      <c r="F28" s="327"/>
      <c r="G28" s="327"/>
      <c r="H28" s="327"/>
      <c r="I28" s="327"/>
      <c r="J28" s="327"/>
    </row>
    <row r="29" spans="1:12" ht="26.25" customHeight="1" x14ac:dyDescent="0.25">
      <c r="B29" s="68" t="s">
        <v>45</v>
      </c>
      <c r="C29" s="1" t="str">
        <f>"# of active " &amp;'Program Info'!B3&amp;" clinical / field experience liaison / preceptors?"</f>
        <v># of active  clinical / field experience liaison / preceptors?</v>
      </c>
      <c r="D29" s="264" t="str">
        <f>'Standard III-Affiliates'!H12</f>
        <v>Please Select</v>
      </c>
      <c r="E29" s="41"/>
      <c r="F29" s="327" t="s">
        <v>381</v>
      </c>
      <c r="G29" s="327"/>
      <c r="H29" s="327"/>
      <c r="I29" s="327"/>
      <c r="J29" s="327"/>
    </row>
    <row r="30" spans="1:12" ht="26.25" customHeight="1" x14ac:dyDescent="0.25">
      <c r="B30" s="68" t="s">
        <v>198</v>
      </c>
      <c r="C30" s="1" t="str">
        <f>"# of active " &amp;'Program Info'!B3&amp;" capstone field intership preceptors?"</f>
        <v># of active  capstone field intership preceptors?</v>
      </c>
      <c r="D30" s="264">
        <f>'Standard III-Affiliates'!H70</f>
        <v>0</v>
      </c>
      <c r="E30" s="41"/>
      <c r="F30" s="327"/>
      <c r="G30" s="327"/>
      <c r="H30" s="327"/>
      <c r="I30" s="327"/>
      <c r="J30" s="327"/>
    </row>
    <row r="31" spans="1:12" ht="29.25" customHeight="1" x14ac:dyDescent="0.25">
      <c r="A31" s="20"/>
      <c r="B31" s="265" t="s">
        <v>283</v>
      </c>
      <c r="C31" s="40" t="str">
        <f>"# of active " &amp;'Program Info'!B3&amp;" clinical affiliate sites in other states?"</f>
        <v># of active  clinical affiliate sites in other states?</v>
      </c>
      <c r="D31" s="266">
        <f>'Standard III-Affiliates'!H16</f>
        <v>0</v>
      </c>
      <c r="E31" s="6" t="str">
        <f>IF(D31="", " &lt;=== Select from drop down list","")</f>
        <v/>
      </c>
      <c r="F31" s="327" t="s">
        <v>546</v>
      </c>
      <c r="G31" s="327"/>
      <c r="H31" s="327"/>
      <c r="I31" s="327"/>
      <c r="J31" s="327"/>
      <c r="K31" s="38"/>
      <c r="L31" s="38"/>
    </row>
    <row r="32" spans="1:12" ht="30.75" customHeight="1" x14ac:dyDescent="0.25">
      <c r="A32" s="20"/>
      <c r="B32" s="265" t="s">
        <v>379</v>
      </c>
      <c r="C32" s="40" t="str">
        <f>"# of active " &amp;'Program Info'!B3&amp;"capstone field internship sites in other states?"</f>
        <v># of active capstone field internship sites in other states?</v>
      </c>
      <c r="D32" s="266">
        <f>'Standard III-Affiliates'!H68</f>
        <v>0</v>
      </c>
      <c r="E32" s="6" t="str">
        <f>IF(D32="", " &lt;=== Select from drop down list","")</f>
        <v/>
      </c>
      <c r="F32" s="327"/>
      <c r="G32" s="327"/>
      <c r="H32" s="327"/>
      <c r="I32" s="327"/>
      <c r="J32" s="327"/>
    </row>
    <row r="33" spans="2:10" ht="26.25" customHeight="1" x14ac:dyDescent="0.25">
      <c r="B33" s="68" t="s">
        <v>380</v>
      </c>
      <c r="C33" s="1" t="s">
        <v>547</v>
      </c>
      <c r="D33" s="264">
        <f>'Alternate &amp; Satellite Locations'!E15</f>
        <v>0</v>
      </c>
      <c r="E33" s="41"/>
      <c r="F33" s="327"/>
      <c r="G33" s="327"/>
      <c r="H33" s="327"/>
      <c r="I33" s="327"/>
      <c r="J33" s="327"/>
    </row>
    <row r="34" spans="2:10" ht="26.25" customHeight="1" x14ac:dyDescent="0.25">
      <c r="B34" s="68" t="s">
        <v>384</v>
      </c>
      <c r="C34" s="1" t="s">
        <v>538</v>
      </c>
      <c r="D34" s="264">
        <f>'Alternate &amp; Satellite Locations'!E74</f>
        <v>0</v>
      </c>
      <c r="E34" s="41"/>
      <c r="F34" s="327"/>
      <c r="G34" s="327"/>
      <c r="H34" s="327"/>
      <c r="I34" s="327"/>
      <c r="J34" s="327"/>
    </row>
    <row r="35" spans="2:10" x14ac:dyDescent="0.25">
      <c r="B35" s="41"/>
      <c r="C35" s="41"/>
      <c r="D35" s="41"/>
      <c r="E35" s="41"/>
      <c r="F35" s="41"/>
      <c r="G35" s="41"/>
      <c r="H35" s="41"/>
      <c r="I35" s="41"/>
      <c r="J35" s="41"/>
    </row>
    <row r="36" spans="2:10" x14ac:dyDescent="0.25">
      <c r="B36" s="41"/>
      <c r="C36" s="41"/>
      <c r="D36" s="41"/>
      <c r="E36" s="41"/>
      <c r="F36" s="41"/>
      <c r="G36" s="41"/>
      <c r="H36" s="41"/>
      <c r="I36" s="41"/>
      <c r="J36" s="41"/>
    </row>
    <row r="37" spans="2:10" x14ac:dyDescent="0.25">
      <c r="B37" s="41"/>
      <c r="C37" s="41"/>
      <c r="D37" s="41"/>
      <c r="E37" s="41"/>
      <c r="F37" s="41"/>
      <c r="G37" s="41"/>
      <c r="H37" s="41"/>
      <c r="I37" s="41"/>
      <c r="J37" s="41"/>
    </row>
    <row r="38" spans="2:10" x14ac:dyDescent="0.25">
      <c r="B38" s="41"/>
      <c r="C38" s="64"/>
      <c r="D38" s="41"/>
      <c r="E38" s="41"/>
      <c r="F38" s="41"/>
      <c r="G38" s="41"/>
      <c r="H38" s="41"/>
      <c r="I38" s="41"/>
      <c r="J38" s="41"/>
    </row>
    <row r="39" spans="2:10" s="20" customFormat="1" ht="55.5" customHeight="1" x14ac:dyDescent="0.25">
      <c r="B39" s="267" t="s">
        <v>548</v>
      </c>
      <c r="C39" s="337" t="s">
        <v>284</v>
      </c>
      <c r="D39" s="337"/>
      <c r="E39" s="337"/>
      <c r="F39" s="337"/>
      <c r="G39" s="268"/>
      <c r="H39" s="147"/>
      <c r="I39" s="147"/>
      <c r="J39" s="147"/>
    </row>
    <row r="40" spans="2:10" s="20" customFormat="1" x14ac:dyDescent="0.25">
      <c r="B40" s="147"/>
      <c r="C40" s="338"/>
      <c r="D40" s="338"/>
      <c r="E40" s="162"/>
      <c r="F40" s="162"/>
      <c r="G40" s="147"/>
      <c r="H40" s="147"/>
      <c r="I40" s="147"/>
      <c r="J40" s="147"/>
    </row>
    <row r="41" spans="2:10" s="20" customFormat="1" x14ac:dyDescent="0.25">
      <c r="B41" s="147"/>
      <c r="C41" s="338"/>
      <c r="D41" s="338"/>
      <c r="E41" s="90"/>
      <c r="F41" s="90"/>
      <c r="G41" s="147"/>
      <c r="H41" s="147"/>
      <c r="I41" s="147"/>
      <c r="J41" s="147"/>
    </row>
    <row r="42" spans="2:10" s="20" customFormat="1" x14ac:dyDescent="0.25">
      <c r="B42" s="147"/>
      <c r="C42" s="338"/>
      <c r="D42" s="338"/>
      <c r="E42" s="162"/>
      <c r="F42" s="162"/>
      <c r="G42" s="147"/>
      <c r="H42" s="147"/>
      <c r="I42" s="147"/>
      <c r="J42" s="147"/>
    </row>
    <row r="43" spans="2:10" s="20" customFormat="1" x14ac:dyDescent="0.25">
      <c r="B43" s="147"/>
      <c r="C43" s="338"/>
      <c r="D43" s="338"/>
      <c r="E43" s="162"/>
      <c r="F43" s="162"/>
      <c r="G43" s="147"/>
      <c r="H43" s="147"/>
      <c r="I43" s="147"/>
      <c r="J43" s="147"/>
    </row>
    <row r="44" spans="2:10" s="20" customFormat="1" x14ac:dyDescent="0.25">
      <c r="B44" s="147"/>
      <c r="C44" s="338"/>
      <c r="D44" s="338"/>
      <c r="E44" s="162"/>
      <c r="F44" s="162"/>
      <c r="G44" s="147"/>
      <c r="H44" s="147"/>
      <c r="I44" s="147"/>
      <c r="J44" s="147"/>
    </row>
    <row r="45" spans="2:10" s="20" customFormat="1" x14ac:dyDescent="0.25">
      <c r="B45" s="147"/>
      <c r="C45" s="338"/>
      <c r="D45" s="338"/>
      <c r="E45" s="162"/>
      <c r="F45" s="162"/>
      <c r="G45" s="147"/>
      <c r="H45" s="147"/>
      <c r="I45" s="147"/>
      <c r="J45" s="147"/>
    </row>
    <row r="46" spans="2:10" s="20" customFormat="1" x14ac:dyDescent="0.25">
      <c r="B46" s="147"/>
      <c r="C46" s="338"/>
      <c r="D46" s="338"/>
      <c r="E46" s="162"/>
      <c r="F46" s="162"/>
      <c r="G46" s="147"/>
      <c r="H46" s="147"/>
      <c r="I46" s="147"/>
      <c r="J46" s="147"/>
    </row>
    <row r="47" spans="2:10" s="20" customFormat="1" x14ac:dyDescent="0.25">
      <c r="B47" s="147"/>
      <c r="C47" s="338"/>
      <c r="D47" s="338"/>
      <c r="E47" s="162"/>
      <c r="F47" s="162"/>
      <c r="G47" s="147"/>
      <c r="H47" s="147"/>
      <c r="I47" s="147"/>
      <c r="J47" s="147"/>
    </row>
    <row r="48" spans="2:10" s="20" customFormat="1" x14ac:dyDescent="0.25">
      <c r="B48" s="147"/>
      <c r="C48" s="147"/>
      <c r="D48" s="336"/>
      <c r="E48" s="336"/>
      <c r="F48" s="336"/>
      <c r="G48" s="147"/>
      <c r="H48" s="147"/>
      <c r="I48" s="147"/>
      <c r="J48" s="147"/>
    </row>
    <row r="49" spans="2:10" s="20" customFormat="1" x14ac:dyDescent="0.25">
      <c r="B49" s="147"/>
      <c r="C49" s="147"/>
      <c r="D49" s="336"/>
      <c r="E49" s="336"/>
      <c r="F49" s="336"/>
      <c r="G49" s="147"/>
      <c r="H49" s="147"/>
      <c r="I49" s="147"/>
      <c r="J49" s="147"/>
    </row>
    <row r="50" spans="2:10" x14ac:dyDescent="0.25">
      <c r="B50" s="41"/>
      <c r="C50" s="41"/>
      <c r="D50" s="41"/>
      <c r="E50" s="41"/>
      <c r="F50" s="41"/>
      <c r="G50" s="41"/>
      <c r="H50" s="41"/>
      <c r="I50" s="41"/>
      <c r="J50" s="41"/>
    </row>
    <row r="51" spans="2:10" x14ac:dyDescent="0.25">
      <c r="B51" s="41"/>
      <c r="C51" s="41"/>
      <c r="D51" s="41"/>
      <c r="E51" s="41"/>
      <c r="F51" s="41"/>
      <c r="G51" s="41"/>
      <c r="H51" s="41"/>
      <c r="I51" s="41"/>
      <c r="J51" s="41"/>
    </row>
    <row r="52" spans="2:10" x14ac:dyDescent="0.25">
      <c r="B52" s="41"/>
      <c r="C52" s="41"/>
      <c r="D52" s="41"/>
      <c r="E52" s="41"/>
      <c r="F52" s="41"/>
      <c r="G52" s="41"/>
      <c r="H52" s="41"/>
      <c r="I52" s="41"/>
      <c r="J52" s="41"/>
    </row>
    <row r="53" spans="2:10" ht="24" customHeight="1" x14ac:dyDescent="0.25">
      <c r="B53" s="4" t="s">
        <v>25</v>
      </c>
      <c r="C53" s="64"/>
      <c r="D53" s="41"/>
      <c r="E53" s="41"/>
      <c r="F53" s="41"/>
      <c r="G53" s="41"/>
      <c r="H53" s="41"/>
      <c r="I53" s="41"/>
      <c r="J53" s="41"/>
    </row>
    <row r="54" spans="2:10" x14ac:dyDescent="0.25">
      <c r="B54" s="255"/>
      <c r="C54" s="41"/>
      <c r="D54" s="41"/>
      <c r="E54" s="41"/>
      <c r="F54" s="41"/>
      <c r="G54" s="41"/>
      <c r="H54" s="41"/>
      <c r="I54" s="41"/>
      <c r="J54" s="41"/>
    </row>
    <row r="55" spans="2:10" ht="26.25" customHeight="1" x14ac:dyDescent="0.25">
      <c r="B55" s="26" t="s">
        <v>50</v>
      </c>
      <c r="C55" s="41"/>
      <c r="D55" s="41"/>
      <c r="E55" s="41"/>
      <c r="F55" s="41"/>
      <c r="G55" s="41"/>
      <c r="H55" s="41"/>
      <c r="I55" s="41"/>
      <c r="J55" s="41"/>
    </row>
    <row r="56" spans="2:10" ht="11.25" customHeight="1" x14ac:dyDescent="0.25">
      <c r="B56" s="254"/>
      <c r="C56" s="41"/>
      <c r="D56" s="41"/>
      <c r="E56" s="41"/>
      <c r="F56" s="41"/>
      <c r="G56" s="41"/>
      <c r="H56" s="41"/>
      <c r="I56" s="41"/>
      <c r="J56" s="41"/>
    </row>
    <row r="57" spans="2:10" x14ac:dyDescent="0.25">
      <c r="B57" s="41" t="s">
        <v>367</v>
      </c>
      <c r="C57" s="41"/>
      <c r="D57" s="41"/>
      <c r="E57" s="41"/>
      <c r="F57" s="41"/>
      <c r="G57" s="41"/>
      <c r="H57" s="41"/>
      <c r="I57" s="41"/>
      <c r="J57" s="41"/>
    </row>
    <row r="58" spans="2:10" x14ac:dyDescent="0.25">
      <c r="B58" s="269" t="s">
        <v>66</v>
      </c>
      <c r="C58" s="41"/>
      <c r="D58" s="41"/>
      <c r="E58" s="41"/>
      <c r="F58" s="41"/>
      <c r="G58" s="41"/>
      <c r="H58" s="41"/>
      <c r="I58" s="41"/>
      <c r="J58" s="41"/>
    </row>
    <row r="59" spans="2:10" x14ac:dyDescent="0.25">
      <c r="B59" s="41"/>
      <c r="C59" s="41"/>
      <c r="D59" s="41"/>
      <c r="E59" s="41"/>
      <c r="F59" s="41"/>
      <c r="G59" s="41"/>
      <c r="H59" s="41"/>
      <c r="I59" s="41"/>
      <c r="J59" s="41"/>
    </row>
    <row r="60" spans="2:10" x14ac:dyDescent="0.25">
      <c r="B60" s="41"/>
      <c r="C60" s="41"/>
      <c r="D60" s="41"/>
      <c r="E60" s="41"/>
      <c r="F60" s="41"/>
      <c r="G60" s="41"/>
      <c r="H60" s="41"/>
      <c r="I60" s="41"/>
      <c r="J60" s="41"/>
    </row>
    <row r="61" spans="2:10" x14ac:dyDescent="0.25">
      <c r="B61" s="41"/>
      <c r="C61" s="41"/>
      <c r="D61" s="41"/>
      <c r="E61" s="41"/>
      <c r="F61" s="41"/>
      <c r="G61" s="41"/>
      <c r="H61" s="41"/>
      <c r="I61" s="41"/>
      <c r="J61" s="41"/>
    </row>
    <row r="62" spans="2:10" x14ac:dyDescent="0.25">
      <c r="B62" s="41"/>
      <c r="C62" s="41"/>
      <c r="D62" s="41"/>
      <c r="E62" s="41"/>
      <c r="F62" s="41"/>
      <c r="G62" s="41"/>
      <c r="H62" s="41"/>
      <c r="I62" s="41"/>
      <c r="J62" s="41"/>
    </row>
    <row r="63" spans="2:10" x14ac:dyDescent="0.25">
      <c r="B63" s="41"/>
      <c r="C63" s="41"/>
      <c r="D63" s="41"/>
      <c r="E63" s="41"/>
      <c r="F63" s="41"/>
      <c r="G63" s="41"/>
      <c r="H63" s="41"/>
      <c r="I63" s="41"/>
      <c r="J63" s="41"/>
    </row>
    <row r="64" spans="2:10" x14ac:dyDescent="0.25">
      <c r="B64" s="41"/>
      <c r="C64" s="41"/>
      <c r="D64" s="41"/>
      <c r="E64" s="41"/>
      <c r="F64" s="41"/>
      <c r="G64" s="41"/>
      <c r="H64" s="41"/>
      <c r="I64" s="41"/>
      <c r="J64" s="41"/>
    </row>
    <row r="65" spans="2:10" x14ac:dyDescent="0.25">
      <c r="B65" s="41"/>
      <c r="C65" s="41"/>
      <c r="D65" s="41"/>
      <c r="E65" s="41"/>
      <c r="F65" s="41"/>
      <c r="G65" s="41"/>
      <c r="H65" s="41"/>
      <c r="I65" s="41"/>
      <c r="J65" s="41"/>
    </row>
    <row r="66" spans="2:10" x14ac:dyDescent="0.25">
      <c r="B66" s="41"/>
      <c r="C66" s="41"/>
      <c r="D66" s="41"/>
      <c r="E66" s="41"/>
      <c r="F66" s="41"/>
      <c r="G66" s="41"/>
      <c r="H66" s="41"/>
      <c r="I66" s="41"/>
      <c r="J66" s="41"/>
    </row>
    <row r="67" spans="2:10" x14ac:dyDescent="0.25">
      <c r="B67" s="41"/>
      <c r="C67" s="41"/>
      <c r="D67" s="41"/>
      <c r="E67" s="41"/>
      <c r="F67" s="41"/>
      <c r="G67" s="41"/>
      <c r="H67" s="41"/>
      <c r="I67" s="41"/>
      <c r="J67" s="41"/>
    </row>
    <row r="68" spans="2:10" x14ac:dyDescent="0.25">
      <c r="B68" s="41"/>
      <c r="C68" s="41"/>
      <c r="D68" s="41"/>
      <c r="E68" s="41"/>
      <c r="F68" s="41"/>
      <c r="G68" s="41"/>
      <c r="H68" s="41"/>
      <c r="I68" s="41"/>
      <c r="J68" s="41"/>
    </row>
    <row r="69" spans="2:10" x14ac:dyDescent="0.25">
      <c r="B69" s="41"/>
      <c r="C69" s="41"/>
      <c r="D69" s="41"/>
      <c r="E69" s="41"/>
      <c r="F69" s="41"/>
      <c r="G69" s="41"/>
      <c r="H69" s="41"/>
      <c r="I69" s="41"/>
      <c r="J69" s="41"/>
    </row>
    <row r="70" spans="2:10" x14ac:dyDescent="0.25">
      <c r="B70" s="41"/>
      <c r="C70" s="41"/>
      <c r="D70" s="41"/>
      <c r="E70" s="41"/>
      <c r="F70" s="41"/>
      <c r="G70" s="41"/>
      <c r="H70" s="41"/>
      <c r="I70" s="41"/>
      <c r="J70" s="41"/>
    </row>
    <row r="71" spans="2:10" x14ac:dyDescent="0.25">
      <c r="B71" s="41"/>
      <c r="C71" s="41"/>
      <c r="D71" s="41"/>
      <c r="E71" s="41"/>
      <c r="F71" s="41"/>
      <c r="G71" s="41"/>
      <c r="H71" s="41"/>
      <c r="I71" s="41"/>
      <c r="J71" s="41"/>
    </row>
    <row r="72" spans="2:10" x14ac:dyDescent="0.25">
      <c r="B72" s="41"/>
      <c r="C72" s="41"/>
      <c r="D72" s="41"/>
      <c r="E72" s="41"/>
      <c r="F72" s="41"/>
      <c r="G72" s="41"/>
      <c r="H72" s="41"/>
      <c r="I72" s="41"/>
      <c r="J72" s="41"/>
    </row>
    <row r="73" spans="2:10" x14ac:dyDescent="0.25">
      <c r="B73" s="41"/>
      <c r="C73" s="41"/>
      <c r="D73" s="41"/>
      <c r="E73" s="41"/>
      <c r="F73" s="41"/>
      <c r="G73" s="41"/>
      <c r="H73" s="41"/>
      <c r="I73" s="41"/>
      <c r="J73" s="41"/>
    </row>
    <row r="74" spans="2:10" x14ac:dyDescent="0.25">
      <c r="B74" s="41"/>
      <c r="C74" s="41"/>
      <c r="D74" s="41"/>
      <c r="E74" s="41"/>
      <c r="F74" s="41"/>
      <c r="G74" s="41"/>
      <c r="H74" s="41"/>
      <c r="I74" s="41"/>
      <c r="J74" s="41"/>
    </row>
    <row r="75" spans="2:10" x14ac:dyDescent="0.25">
      <c r="B75" s="41"/>
      <c r="C75" s="41"/>
      <c r="D75" s="41"/>
      <c r="E75" s="41"/>
      <c r="F75" s="41"/>
      <c r="G75" s="41"/>
      <c r="H75" s="41"/>
      <c r="I75" s="41"/>
      <c r="J75" s="41"/>
    </row>
    <row r="76" spans="2:10" x14ac:dyDescent="0.25">
      <c r="B76" s="41"/>
      <c r="C76" s="41"/>
      <c r="D76" s="41"/>
      <c r="E76" s="41"/>
      <c r="F76" s="41"/>
      <c r="G76" s="41"/>
      <c r="H76" s="41"/>
      <c r="I76" s="41"/>
      <c r="J76" s="41"/>
    </row>
    <row r="77" spans="2:10" x14ac:dyDescent="0.25">
      <c r="B77" s="41"/>
      <c r="C77" s="41"/>
      <c r="D77" s="41"/>
      <c r="E77" s="41"/>
      <c r="F77" s="41"/>
      <c r="G77" s="41"/>
      <c r="H77" s="41"/>
      <c r="I77" s="41"/>
      <c r="J77" s="41"/>
    </row>
    <row r="78" spans="2:10" x14ac:dyDescent="0.25">
      <c r="B78" s="41"/>
      <c r="C78" s="41"/>
      <c r="D78" s="41"/>
      <c r="E78" s="41"/>
      <c r="F78" s="41"/>
      <c r="G78" s="41"/>
      <c r="H78" s="41"/>
      <c r="I78" s="41"/>
      <c r="J78" s="41"/>
    </row>
    <row r="79" spans="2:10" x14ac:dyDescent="0.25">
      <c r="B79" s="41"/>
      <c r="C79" s="41"/>
      <c r="D79" s="41"/>
      <c r="E79" s="41"/>
      <c r="F79" s="41"/>
      <c r="G79" s="41"/>
      <c r="H79" s="41"/>
      <c r="I79" s="41"/>
      <c r="J79" s="41"/>
    </row>
    <row r="80" spans="2:10" x14ac:dyDescent="0.25">
      <c r="B80" s="41"/>
      <c r="C80" s="41"/>
      <c r="D80" s="41"/>
      <c r="E80" s="41"/>
      <c r="F80" s="41"/>
      <c r="G80" s="41"/>
      <c r="H80" s="41"/>
      <c r="I80" s="41"/>
      <c r="J80" s="41"/>
    </row>
    <row r="81" spans="2:11" x14ac:dyDescent="0.25">
      <c r="B81" s="41"/>
      <c r="C81" s="41"/>
      <c r="D81" s="41"/>
      <c r="E81" s="41"/>
      <c r="F81" s="41"/>
      <c r="G81" s="41"/>
      <c r="H81" s="41"/>
      <c r="I81" s="41"/>
      <c r="J81" s="41"/>
    </row>
    <row r="82" spans="2:11" x14ac:dyDescent="0.25">
      <c r="B82" s="41"/>
      <c r="C82" s="41"/>
      <c r="D82" s="41"/>
      <c r="E82" s="41"/>
      <c r="F82" s="41"/>
      <c r="G82" s="41"/>
      <c r="H82" s="41"/>
      <c r="I82" s="41"/>
      <c r="J82" s="41"/>
    </row>
    <row r="83" spans="2:11" x14ac:dyDescent="0.25">
      <c r="B83" s="41"/>
      <c r="C83" s="41"/>
      <c r="D83" s="41"/>
      <c r="E83" s="41"/>
      <c r="F83" s="41"/>
      <c r="G83" s="41"/>
      <c r="H83" s="41"/>
      <c r="I83" s="41"/>
      <c r="J83" s="41"/>
    </row>
    <row r="84" spans="2:11" x14ac:dyDescent="0.25">
      <c r="B84" s="41"/>
      <c r="C84" s="41"/>
      <c r="D84" s="41"/>
      <c r="E84" s="41"/>
      <c r="F84" s="41"/>
      <c r="G84" s="41"/>
      <c r="H84" s="41"/>
      <c r="I84" s="41"/>
      <c r="J84" s="41"/>
    </row>
    <row r="85" spans="2:11" x14ac:dyDescent="0.25">
      <c r="B85" s="41"/>
      <c r="C85" s="41"/>
      <c r="D85" s="41"/>
      <c r="E85" s="41"/>
      <c r="F85" s="41"/>
      <c r="G85" s="41"/>
      <c r="H85" s="41"/>
      <c r="I85" s="41"/>
      <c r="J85" s="41"/>
    </row>
    <row r="86" spans="2:11" x14ac:dyDescent="0.25">
      <c r="B86" s="41"/>
      <c r="C86" s="41"/>
      <c r="D86" s="41"/>
      <c r="E86" s="41"/>
      <c r="F86" s="41"/>
      <c r="G86" s="41"/>
      <c r="H86" s="41"/>
      <c r="I86" s="41"/>
      <c r="J86" s="41"/>
    </row>
    <row r="87" spans="2:11" x14ac:dyDescent="0.25">
      <c r="B87" s="41"/>
      <c r="C87" s="41"/>
      <c r="D87" s="41"/>
      <c r="E87" s="41"/>
      <c r="F87" s="41"/>
      <c r="G87" s="41"/>
      <c r="H87" s="41"/>
      <c r="I87" s="41"/>
      <c r="J87" s="41"/>
    </row>
    <row r="88" spans="2:11" x14ac:dyDescent="0.25">
      <c r="B88" s="41"/>
      <c r="C88" s="41"/>
      <c r="D88" s="41"/>
      <c r="E88" s="41"/>
      <c r="F88" s="41"/>
      <c r="G88" s="41"/>
      <c r="H88" s="41"/>
      <c r="I88" s="41"/>
      <c r="J88" s="41"/>
    </row>
    <row r="89" spans="2:11" x14ac:dyDescent="0.25">
      <c r="B89" s="41"/>
      <c r="C89" s="41"/>
      <c r="D89" s="41"/>
      <c r="E89" s="41"/>
      <c r="F89" s="41"/>
      <c r="G89" s="41"/>
      <c r="H89" s="41"/>
      <c r="I89" s="41"/>
      <c r="J89" s="41"/>
    </row>
    <row r="90" spans="2:11" ht="24" customHeight="1" x14ac:dyDescent="0.25">
      <c r="B90" s="30" t="s">
        <v>274</v>
      </c>
      <c r="C90" s="30"/>
      <c r="D90" s="30"/>
      <c r="E90" s="85"/>
      <c r="F90" s="85"/>
      <c r="G90" s="41"/>
      <c r="H90" s="41"/>
      <c r="I90" s="41"/>
      <c r="J90" s="41"/>
      <c r="K90" s="18"/>
    </row>
    <row r="91" spans="2:11" x14ac:dyDescent="0.25">
      <c r="B91" s="41"/>
      <c r="C91" s="41"/>
      <c r="D91" s="41"/>
      <c r="E91" s="41"/>
      <c r="F91" s="41"/>
      <c r="G91" s="41"/>
      <c r="H91" s="41"/>
      <c r="I91" s="41"/>
      <c r="J91" s="41"/>
    </row>
    <row r="93" spans="2:11" ht="27" customHeight="1" x14ac:dyDescent="0.25">
      <c r="B93" s="310" t="str">
        <f>IF('Title Page'!D3&lt;&gt;"Please Select",'Title Page'!D3,"")</f>
        <v/>
      </c>
      <c r="C93" s="310"/>
      <c r="D93" s="310"/>
      <c r="E93" s="310"/>
      <c r="F93" s="310"/>
      <c r="G93" s="310"/>
      <c r="H93" s="310"/>
      <c r="I93" s="310"/>
      <c r="J93" s="310"/>
    </row>
  </sheetData>
  <sheetProtection algorithmName="SHA-512" hashValue="sGPfQLftfE9oO0hs8RJv8pPQZMDtLB0LMkB+YkLrrQmRAS6HRHVJfR+YK0AFpunLyNh38G5qrDNeMlf6gAM3vQ==" saltValue="/VOlnNrJ0u/O8eB+2EhfzA==" spinCount="100000" sheet="1" formatRows="0" selectLockedCells="1"/>
  <mergeCells count="19">
    <mergeCell ref="C39:F39"/>
    <mergeCell ref="F29:J30"/>
    <mergeCell ref="C40:D47"/>
    <mergeCell ref="B93:J93"/>
    <mergeCell ref="F25:J26"/>
    <mergeCell ref="B2:F2"/>
    <mergeCell ref="D14:G14"/>
    <mergeCell ref="D16:E16"/>
    <mergeCell ref="D17:E17"/>
    <mergeCell ref="D18:E18"/>
    <mergeCell ref="E5:J5"/>
    <mergeCell ref="F23:J24"/>
    <mergeCell ref="B3:J3"/>
    <mergeCell ref="D48:F48"/>
    <mergeCell ref="D49:F49"/>
    <mergeCell ref="F27:J28"/>
    <mergeCell ref="D19:E19"/>
    <mergeCell ref="D15:G15"/>
    <mergeCell ref="F31:J34"/>
  </mergeCells>
  <conditionalFormatting sqref="B3:J3">
    <cfRule type="expression" dxfId="3161" priority="2">
      <formula>$B$3="Paramedic"</formula>
    </cfRule>
  </conditionalFormatting>
  <conditionalFormatting sqref="B93:J93">
    <cfRule type="expression" dxfId="3159" priority="1">
      <formula>$B$93="Paramedic"</formula>
    </cfRule>
  </conditionalFormatting>
  <conditionalFormatting sqref="E5:J5">
    <cfRule type="expression" dxfId="3157" priority="5">
      <formula>$D$5="No"</formula>
    </cfRule>
  </conditionalFormatting>
  <dataValidations count="2">
    <dataValidation type="list" allowBlank="1" showInputMessage="1" showErrorMessage="1" sqref="D5:D6 D10:D12" xr:uid="{00000000-0002-0000-0200-000000000000}">
      <formula1>"Yes, No"</formula1>
    </dataValidation>
    <dataValidation type="list" allowBlank="1" showInputMessage="1" showErrorMessage="1" sqref="D9" xr:uid="{00000000-0002-0000-0200-000001000000}">
      <formula1>"Traditional, On-Line, Both"</formula1>
    </dataValidation>
  </dataValidations>
  <printOptions horizontalCentered="1" verticalCentered="1"/>
  <pageMargins left="0.25" right="0.25" top="0.25" bottom="0.25" header="0.3" footer="0.3"/>
  <pageSetup scale="84" fitToHeight="0" orientation="landscape" horizontalDpi="300" verticalDpi="300" r:id="rId1"/>
  <rowBreaks count="1" manualBreakCount="1">
    <brk id="51" max="10"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 id="{8E08AC55-34F5-4284-81B4-061A6CA876B1}">
            <xm:f>'Title Page'!$D$3="AEMT"</xm:f>
            <x14:dxf>
              <fill>
                <patternFill>
                  <bgColor rgb="FFFEDD79"/>
                </patternFill>
              </fill>
            </x14:dxf>
          </x14:cfRule>
          <xm:sqref>B3:J3</xm:sqref>
        </x14:conditionalFormatting>
        <x14:conditionalFormatting xmlns:xm="http://schemas.microsoft.com/office/excel/2006/main">
          <x14:cfRule type="expression" priority="3" id="{FD7AA092-21F4-487B-865F-6759A459A35D}">
            <xm:f>'Title Page'!$D$3="AEMT"</xm:f>
            <x14:dxf>
              <fill>
                <patternFill>
                  <bgColor rgb="FFFEDD29"/>
                </patternFill>
              </fill>
            </x14:dxf>
          </x14:cfRule>
          <xm:sqref>B93:J93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5B8EA"/>
  </sheetPr>
  <dimension ref="B1:AF137"/>
  <sheetViews>
    <sheetView showGridLines="0" zoomScaleNormal="100" workbookViewId="0">
      <selection activeCell="J10" sqref="J10"/>
    </sheetView>
  </sheetViews>
  <sheetFormatPr defaultColWidth="9.140625" defaultRowHeight="15" x14ac:dyDescent="0.25"/>
  <cols>
    <col min="1" max="1" width="2.42578125" customWidth="1"/>
    <col min="2" max="2" width="15.7109375" customWidth="1"/>
    <col min="3" max="3" width="7.7109375" style="24" customWidth="1"/>
    <col min="4" max="4" width="15" customWidth="1"/>
    <col min="5" max="5" width="14" customWidth="1"/>
    <col min="6" max="6" width="15.42578125" customWidth="1"/>
    <col min="7" max="8" width="14.28515625" customWidth="1"/>
    <col min="9" max="9" width="11.5703125" customWidth="1"/>
    <col min="12" max="12" width="13.5703125" customWidth="1"/>
  </cols>
  <sheetData>
    <row r="1" spans="2:32" s="41" customFormat="1" ht="45.95" customHeight="1" x14ac:dyDescent="0.25">
      <c r="C1" s="23" t="s">
        <v>26</v>
      </c>
      <c r="D1" s="4"/>
      <c r="L1" s="64" t="str">
        <f>Instructions!C19</f>
        <v>SSR Revised 2025.02</v>
      </c>
    </row>
    <row r="2" spans="2:32" s="41" customFormat="1" ht="14.25" x14ac:dyDescent="0.2">
      <c r="C2" s="373">
        <f>'Title Page'!$D$10</f>
        <v>0</v>
      </c>
      <c r="D2" s="373"/>
      <c r="E2" s="373"/>
      <c r="F2" s="373"/>
      <c r="G2" s="373"/>
      <c r="H2" s="373"/>
      <c r="I2" s="373"/>
      <c r="J2" s="373"/>
      <c r="L2" s="63" t="s">
        <v>28</v>
      </c>
      <c r="P2" s="87"/>
      <c r="Q2" s="63"/>
      <c r="R2" s="63"/>
      <c r="S2" s="63"/>
      <c r="T2" s="63"/>
      <c r="U2" s="63"/>
      <c r="V2" s="63"/>
      <c r="W2" s="63"/>
      <c r="X2" s="63"/>
      <c r="Y2" s="63"/>
      <c r="Z2" s="87"/>
      <c r="AA2" s="87"/>
      <c r="AB2" s="87"/>
    </row>
    <row r="3" spans="2:32" s="41" customFormat="1" ht="14.25" x14ac:dyDescent="0.2">
      <c r="C3" s="86"/>
      <c r="D3" s="86"/>
      <c r="E3" s="86"/>
      <c r="F3" s="86"/>
      <c r="G3" s="86"/>
      <c r="H3" s="86"/>
      <c r="I3" s="86"/>
      <c r="J3" s="86"/>
      <c r="L3" s="63"/>
      <c r="P3" s="87"/>
      <c r="Q3" s="63"/>
      <c r="R3" s="63"/>
      <c r="S3" s="63"/>
      <c r="T3" s="63"/>
      <c r="U3" s="63"/>
      <c r="V3" s="63"/>
      <c r="W3" s="63"/>
      <c r="X3" s="63"/>
      <c r="Y3" s="63"/>
      <c r="Z3" s="87"/>
      <c r="AA3" s="87"/>
      <c r="AB3" s="87"/>
    </row>
    <row r="4" spans="2:32" s="41" customFormat="1" ht="27" customHeight="1" x14ac:dyDescent="0.2">
      <c r="B4" s="310" t="str">
        <f>IF('Title Page'!D3&lt;&gt;"Please Select",'Title Page'!D3,"")</f>
        <v/>
      </c>
      <c r="C4" s="310"/>
      <c r="D4" s="310"/>
      <c r="E4" s="310"/>
      <c r="F4" s="310"/>
      <c r="G4" s="310"/>
      <c r="H4" s="310"/>
      <c r="I4" s="310"/>
      <c r="J4" s="310"/>
      <c r="K4" s="310"/>
      <c r="L4" s="310"/>
      <c r="M4" s="310"/>
      <c r="N4" s="310"/>
      <c r="O4" s="310"/>
      <c r="P4" s="87"/>
      <c r="Q4" s="63"/>
      <c r="R4" s="63"/>
      <c r="S4" s="63"/>
      <c r="T4" s="63"/>
      <c r="U4" s="63"/>
      <c r="V4" s="63"/>
      <c r="W4" s="63"/>
      <c r="X4" s="63"/>
      <c r="Y4" s="63"/>
      <c r="Z4" s="87"/>
      <c r="AA4" s="87"/>
      <c r="AB4" s="87"/>
    </row>
    <row r="5" spans="2:32" s="41" customFormat="1" ht="9" customHeight="1" x14ac:dyDescent="0.2">
      <c r="C5" s="88"/>
      <c r="D5" s="363"/>
      <c r="E5" s="363"/>
      <c r="F5" s="363"/>
      <c r="G5" s="363"/>
      <c r="H5" s="363"/>
      <c r="J5" s="271"/>
      <c r="K5" s="112"/>
      <c r="L5" s="63"/>
      <c r="P5" s="87"/>
      <c r="Q5" s="87"/>
      <c r="R5" s="63"/>
      <c r="S5" s="63" t="s">
        <v>28</v>
      </c>
      <c r="T5" s="63"/>
      <c r="U5" s="63"/>
      <c r="V5" s="63"/>
      <c r="W5" s="63"/>
      <c r="X5" s="63"/>
      <c r="Y5" s="87"/>
      <c r="Z5" s="87"/>
      <c r="AA5" s="87"/>
      <c r="AB5" s="87"/>
    </row>
    <row r="6" spans="2:32" s="41" customFormat="1" ht="31.5" customHeight="1" x14ac:dyDescent="0.25">
      <c r="C6" s="91"/>
      <c r="D6" s="367" t="str">
        <f>'Program Info'!C5</f>
        <v>Is the program sponsor authorized to award academic/college credit for the coursework?</v>
      </c>
      <c r="E6" s="367"/>
      <c r="F6" s="367"/>
      <c r="G6" s="367"/>
      <c r="H6" s="367"/>
      <c r="I6" s="367"/>
      <c r="J6" s="354">
        <f>'Program Info'!D5</f>
        <v>0</v>
      </c>
      <c r="K6" s="368" t="str">
        <f>IF(J6=0, " &lt;=== Autopopulated from question 1 on the 
          Program Info tab", IF(J6="No", " An Articulation Agreement is required based on 
 the answer to number 1 on the Program Info tab",""))</f>
        <v xml:space="preserve"> &lt;=== Autopopulated from question 1 on the 
          Program Info tab</v>
      </c>
      <c r="L6" s="369"/>
      <c r="M6" s="369"/>
      <c r="N6" s="369"/>
      <c r="O6" s="369"/>
      <c r="P6" s="87"/>
      <c r="Q6" s="87"/>
      <c r="R6" s="87"/>
      <c r="S6" s="63" t="s">
        <v>332</v>
      </c>
      <c r="T6" s="87"/>
      <c r="U6" s="87"/>
      <c r="V6" s="87"/>
      <c r="W6" s="87"/>
      <c r="X6" s="87"/>
      <c r="Y6" s="87"/>
      <c r="Z6" s="87"/>
      <c r="AA6" s="87"/>
      <c r="AB6" s="87"/>
    </row>
    <row r="7" spans="2:32" s="41" customFormat="1" ht="15" customHeight="1" x14ac:dyDescent="0.2">
      <c r="C7" s="88"/>
      <c r="D7" s="367"/>
      <c r="E7" s="367"/>
      <c r="F7" s="367"/>
      <c r="G7" s="367"/>
      <c r="H7" s="367"/>
      <c r="I7" s="367"/>
      <c r="J7" s="355"/>
      <c r="K7" s="368"/>
      <c r="L7" s="369"/>
      <c r="M7" s="369"/>
      <c r="N7" s="369"/>
      <c r="O7" s="369"/>
      <c r="P7" s="87"/>
      <c r="Q7" s="87"/>
      <c r="R7" s="87"/>
      <c r="S7" s="63" t="s">
        <v>333</v>
      </c>
      <c r="T7" s="87"/>
      <c r="U7" s="87"/>
      <c r="V7" s="87"/>
      <c r="W7" s="87"/>
      <c r="X7" s="87"/>
      <c r="Y7" s="87"/>
      <c r="Z7" s="87"/>
      <c r="AA7" s="87"/>
      <c r="AB7" s="87"/>
    </row>
    <row r="8" spans="2:32" s="41" customFormat="1" ht="14.25" x14ac:dyDescent="0.2">
      <c r="C8" s="88"/>
      <c r="L8" s="63" t="s">
        <v>29</v>
      </c>
      <c r="P8" s="87"/>
      <c r="Q8" s="63"/>
      <c r="R8" s="63"/>
      <c r="S8" s="63"/>
      <c r="T8" s="63"/>
      <c r="U8" s="63"/>
      <c r="V8" s="63"/>
      <c r="W8" s="63"/>
      <c r="X8" s="63"/>
      <c r="Y8" s="63"/>
      <c r="Z8" s="87"/>
      <c r="AA8" s="87"/>
      <c r="AB8" s="87"/>
    </row>
    <row r="9" spans="2:32" s="41" customFormat="1" ht="45" customHeight="1" x14ac:dyDescent="0.2">
      <c r="C9" s="88"/>
      <c r="P9" s="87"/>
      <c r="Q9" s="87"/>
      <c r="R9" s="87"/>
      <c r="S9" s="87"/>
      <c r="T9" s="87"/>
      <c r="U9" s="87"/>
      <c r="V9" s="87"/>
      <c r="W9" s="87"/>
      <c r="X9" s="87"/>
      <c r="Y9" s="87"/>
      <c r="Z9" s="87"/>
      <c r="AA9" s="87"/>
      <c r="AB9" s="87"/>
    </row>
    <row r="10" spans="2:32" s="41" customFormat="1" ht="25.5" customHeight="1" x14ac:dyDescent="0.25">
      <c r="C10" s="91" t="s">
        <v>8</v>
      </c>
      <c r="D10" s="26" t="s">
        <v>27</v>
      </c>
      <c r="E10" s="26"/>
      <c r="G10" s="6"/>
      <c r="I10" s="79"/>
      <c r="J10" s="92"/>
      <c r="K10" s="93" t="str">
        <f>IF(J10="", " &lt;=== Select from drop down list", "")</f>
        <v xml:space="preserve"> &lt;=== Select from drop down list</v>
      </c>
      <c r="L10" s="63"/>
      <c r="P10" s="87"/>
      <c r="Q10" s="87"/>
      <c r="R10" s="63"/>
      <c r="S10" s="87"/>
      <c r="T10" s="63"/>
      <c r="U10" s="63"/>
      <c r="V10" s="63"/>
      <c r="W10" s="63"/>
      <c r="X10" s="63"/>
      <c r="Y10" s="87"/>
      <c r="Z10" s="87"/>
      <c r="AA10" s="87"/>
      <c r="AB10" s="87"/>
    </row>
    <row r="11" spans="2:32" s="41" customFormat="1" ht="7.5" customHeight="1" x14ac:dyDescent="0.2">
      <c r="C11" s="88"/>
      <c r="E11" s="21"/>
      <c r="F11" s="271"/>
      <c r="G11" s="271"/>
      <c r="H11" s="271"/>
      <c r="I11" s="271"/>
      <c r="J11" s="271"/>
      <c r="K11" s="271"/>
      <c r="L11" s="63"/>
      <c r="P11" s="87"/>
      <c r="Q11" s="87"/>
      <c r="R11" s="63"/>
      <c r="S11" s="87"/>
      <c r="T11" s="63"/>
      <c r="U11" s="63"/>
      <c r="V11" s="63"/>
      <c r="W11" s="63"/>
      <c r="X11" s="63"/>
      <c r="Y11" s="87"/>
      <c r="Z11" s="87"/>
      <c r="AA11" s="87"/>
      <c r="AB11" s="87"/>
    </row>
    <row r="12" spans="2:32" s="41" customFormat="1" ht="13.5" customHeight="1" x14ac:dyDescent="0.2">
      <c r="C12" s="88"/>
      <c r="D12" s="374"/>
      <c r="E12" s="374"/>
      <c r="F12" s="374"/>
      <c r="G12" s="374"/>
      <c r="H12" s="374"/>
      <c r="I12" s="374"/>
      <c r="J12" s="374"/>
      <c r="K12" s="112"/>
      <c r="L12" s="63"/>
      <c r="P12" s="87"/>
      <c r="Q12" s="87"/>
      <c r="R12" s="63"/>
      <c r="S12" s="87"/>
      <c r="T12" s="63"/>
      <c r="U12" s="63"/>
      <c r="V12" s="63"/>
      <c r="W12" s="63"/>
      <c r="X12" s="63"/>
      <c r="Y12" s="87"/>
      <c r="Z12" s="87"/>
      <c r="AA12" s="87"/>
      <c r="AB12" s="87"/>
    </row>
    <row r="13" spans="2:32" s="41" customFormat="1" ht="14.25" x14ac:dyDescent="0.2">
      <c r="C13" s="88"/>
      <c r="L13" s="63" t="s">
        <v>29</v>
      </c>
      <c r="P13" s="87"/>
      <c r="Q13" s="63"/>
      <c r="R13" s="63"/>
      <c r="S13" s="87"/>
      <c r="T13" s="63"/>
      <c r="U13" s="63"/>
      <c r="V13" s="63"/>
      <c r="W13" s="63"/>
      <c r="X13" s="63"/>
      <c r="Y13" s="63"/>
      <c r="Z13" s="87"/>
      <c r="AA13" s="87"/>
      <c r="AB13" s="87"/>
    </row>
    <row r="14" spans="2:32" s="41" customFormat="1" ht="15.75" x14ac:dyDescent="0.25">
      <c r="B14" s="339" t="s">
        <v>118</v>
      </c>
      <c r="C14" s="91" t="s">
        <v>9</v>
      </c>
      <c r="D14" s="26" t="s">
        <v>134</v>
      </c>
      <c r="I14" s="63" t="str">
        <f>IF(D15="U.S. Post-secondary institution (Standard I.A.1)", 1, IF(D15="Hospital, clinic, or medical center (Standard I.A.3)", 3, IF(D15="Governmental education federal, state, local/municipal (Standard I.A.4)", 4, IF(D15="Outside U.S. Post-Secondary Institution (Standard I.A.2)", 2, IF(D15="Branch of the United States Armed Forces (Standard I.A.4)", 5, "")))))</f>
        <v/>
      </c>
      <c r="L14" s="95"/>
      <c r="P14" s="87"/>
      <c r="Q14" s="63">
        <f>IF(D15="U.S. Post-secondary institution (Standard I.A.1)", 1, IF(D15="Foreign Post-Secondary Institution (Standard I.A.2)",2, IF(D15="Hospital, clinic, or medical center (Standard I.A.3)",3, IF(D15="Governmental education or medical service (Standard I.A.4)",4, IF(D15="Branch of the United States Armed Forces (Standard I.A.4)", 5, 0)))))</f>
        <v>0</v>
      </c>
      <c r="R14" s="63"/>
      <c r="S14" s="87"/>
      <c r="T14" s="63"/>
      <c r="U14" s="63"/>
      <c r="V14" s="87"/>
      <c r="W14" s="63"/>
      <c r="X14" s="63"/>
      <c r="Y14" s="63"/>
      <c r="Z14" s="87"/>
      <c r="AA14" s="87"/>
      <c r="AB14" s="87"/>
    </row>
    <row r="15" spans="2:32" s="41" customFormat="1" ht="27" customHeight="1" x14ac:dyDescent="0.2">
      <c r="B15" s="339"/>
      <c r="C15" s="96" t="str">
        <f>IF(D15="U.S. Post-secondary institution (Standard I.A.1)",1,IF(D15="Outside U.S. Post-Secondary Institution (Standard I.A.2)",2,IF(D15="Hospital, clinic, or medical center (Standard I.A.3)",3,IF(D15="Governmental education federal, state, local/municipal (Standard I.A.4)",4,IF(D15="Branch of the United States Armed Forces (Standard I.A.4)",5,"")))))</f>
        <v/>
      </c>
      <c r="D15" s="349" t="s">
        <v>95</v>
      </c>
      <c r="E15" s="350"/>
      <c r="F15" s="350"/>
      <c r="G15" s="350"/>
      <c r="H15" s="351"/>
      <c r="I15" s="79" t="str">
        <f>IF(D15="Please Select", " &lt;=== Select from drop down list","")</f>
        <v xml:space="preserve"> &lt;=== Select from drop down list</v>
      </c>
      <c r="L15" s="95"/>
      <c r="P15" s="87"/>
      <c r="Q15" s="63"/>
      <c r="R15" s="63"/>
      <c r="S15" s="87"/>
      <c r="T15" s="63"/>
      <c r="U15" s="63"/>
      <c r="V15" s="63" t="s">
        <v>95</v>
      </c>
      <c r="W15" s="63" t="s">
        <v>28</v>
      </c>
      <c r="X15" s="63" t="s">
        <v>513</v>
      </c>
      <c r="Y15" s="63" t="s">
        <v>30</v>
      </c>
      <c r="Z15" s="63" t="s">
        <v>511</v>
      </c>
      <c r="AA15" s="63" t="s">
        <v>512</v>
      </c>
      <c r="AB15" s="63"/>
      <c r="AC15" s="63"/>
      <c r="AD15" s="63"/>
      <c r="AE15" s="63"/>
      <c r="AF15" s="63"/>
    </row>
    <row r="16" spans="2:32" s="41" customFormat="1" ht="27" customHeight="1" x14ac:dyDescent="0.2">
      <c r="B16" s="339"/>
      <c r="C16" s="88"/>
      <c r="E16" s="22"/>
      <c r="F16" s="271"/>
      <c r="G16" s="271"/>
      <c r="H16" s="271"/>
      <c r="I16" s="271"/>
      <c r="J16" s="271"/>
      <c r="K16" s="271"/>
      <c r="L16" s="63"/>
      <c r="P16" s="87"/>
      <c r="Q16" s="63"/>
      <c r="R16" s="63"/>
      <c r="S16" s="87"/>
      <c r="T16" s="63"/>
      <c r="U16" s="63"/>
      <c r="V16" s="87"/>
      <c r="W16" s="63"/>
      <c r="X16" s="63"/>
      <c r="Y16" s="63"/>
      <c r="Z16" s="87"/>
      <c r="AA16" s="87"/>
      <c r="AB16" s="87"/>
    </row>
    <row r="17" spans="2:30" s="41" customFormat="1" ht="28.9" customHeight="1" x14ac:dyDescent="0.2">
      <c r="C17" s="97" t="s">
        <v>10</v>
      </c>
      <c r="D17" s="98" t="str">
        <f>"Sponsoring Institution Accreditation "&amp;IF(I14=1,"- Post-Secondary Institution",""&amp;IF(I14=3,"- Hospital/Clinic/Medical Ctr",""&amp;IF(I14=2,"- Outside U.S. Post-Secondary Inst",IF(OR(I14=4,I14=5),"- Not Applicable",""))))</f>
        <v xml:space="preserve">Sponsoring Institution Accreditation </v>
      </c>
      <c r="E17" s="43"/>
      <c r="F17" s="43"/>
      <c r="G17" s="43"/>
      <c r="H17" s="43"/>
      <c r="J17" s="99" t="str">
        <f>IF(OR(I14=1,I14=3),"&lt;=== Hover cursor here to see definition",IF(OR(I14=2,I14=4,I14=5),"","&lt;=== Hover cursor here to see definition"))</f>
        <v>&lt;=== Hover cursor here to see definition</v>
      </c>
      <c r="K17" s="100"/>
      <c r="L17" s="272"/>
      <c r="P17" s="87"/>
      <c r="Q17" s="63"/>
      <c r="R17" s="63"/>
      <c r="S17" s="87"/>
      <c r="T17" s="63"/>
      <c r="U17" s="63"/>
      <c r="V17" s="87"/>
      <c r="W17" s="63"/>
      <c r="X17" s="63"/>
      <c r="Y17" s="63"/>
      <c r="Z17" s="87"/>
      <c r="AA17" s="87"/>
      <c r="AB17" s="87"/>
    </row>
    <row r="18" spans="2:30" s="41" customFormat="1" ht="17.25" customHeight="1" x14ac:dyDescent="0.2">
      <c r="B18" s="339" t="s">
        <v>387</v>
      </c>
      <c r="C18" s="88"/>
      <c r="E18" s="377" t="str">
        <f>IF(OR(I14=1,I14=2,I14=3),"Name of Institutional Accreditor","")</f>
        <v/>
      </c>
      <c r="F18" s="377"/>
      <c r="G18" s="375"/>
      <c r="H18" s="375"/>
      <c r="I18" s="375"/>
      <c r="J18" s="375"/>
      <c r="K18" s="100"/>
      <c r="L18" s="272"/>
      <c r="P18" s="87"/>
      <c r="Q18" s="63"/>
      <c r="R18" s="63"/>
      <c r="S18" s="87"/>
      <c r="T18" s="63"/>
      <c r="U18" s="63"/>
      <c r="V18" s="87"/>
      <c r="W18" s="63"/>
      <c r="X18" s="63"/>
      <c r="Y18" s="63"/>
      <c r="Z18" s="87"/>
      <c r="AA18" s="87"/>
      <c r="AB18" s="87"/>
    </row>
    <row r="19" spans="2:30" s="41" customFormat="1" ht="18" customHeight="1" x14ac:dyDescent="0.2">
      <c r="B19" s="339"/>
      <c r="C19" s="88"/>
      <c r="E19" s="41" t="str">
        <f>IF(OR(I14=1,I14=2,I14=3),"Current Accreditation Status","")</f>
        <v/>
      </c>
      <c r="G19" s="376"/>
      <c r="H19" s="376"/>
      <c r="I19" s="376"/>
      <c r="J19" s="376"/>
      <c r="P19" s="87"/>
      <c r="Q19" s="63"/>
      <c r="R19" s="63"/>
      <c r="S19" s="87"/>
      <c r="T19" s="63"/>
      <c r="U19" s="63"/>
      <c r="V19" s="87"/>
      <c r="W19" s="63"/>
      <c r="X19" s="63"/>
      <c r="Y19" s="63"/>
      <c r="Z19" s="87"/>
      <c r="AA19" s="87"/>
      <c r="AB19" s="87"/>
    </row>
    <row r="20" spans="2:30" s="41" customFormat="1" ht="24.75" customHeight="1" x14ac:dyDescent="0.2">
      <c r="B20" s="339"/>
      <c r="C20" s="88"/>
      <c r="E20" s="41" t="str">
        <f>IF(OR(I14=1,I14=2,I14=3),"Date of Last Award (mm, yyyy)","")</f>
        <v/>
      </c>
      <c r="G20" s="365"/>
      <c r="H20" s="365"/>
      <c r="L20" s="63"/>
      <c r="P20" s="87"/>
      <c r="Q20" s="63"/>
      <c r="R20" s="63"/>
      <c r="S20" s="87"/>
      <c r="T20" s="63"/>
      <c r="U20" s="63"/>
      <c r="V20" s="63"/>
      <c r="W20" s="63"/>
      <c r="X20" s="63"/>
      <c r="Y20" s="63"/>
      <c r="Z20" s="87"/>
      <c r="AA20" s="87"/>
      <c r="AB20" s="87"/>
    </row>
    <row r="21" spans="2:30" s="41" customFormat="1" ht="26.25" customHeight="1" x14ac:dyDescent="0.2">
      <c r="C21" s="88"/>
      <c r="E21" s="41" t="str">
        <f>IF(OR(I14=1,I14=2,I14=3),"Date of Expiration (mm,yyyy)","")</f>
        <v/>
      </c>
      <c r="G21" s="365"/>
      <c r="H21" s="365"/>
      <c r="L21" s="63"/>
      <c r="P21" s="87"/>
      <c r="Q21" s="63"/>
      <c r="R21" s="63"/>
      <c r="S21" s="87"/>
      <c r="T21" s="63"/>
      <c r="U21" s="63"/>
      <c r="V21" s="87"/>
      <c r="W21" s="63"/>
      <c r="X21" s="63"/>
      <c r="Y21" s="63"/>
      <c r="Z21" s="87"/>
      <c r="AA21" s="87"/>
      <c r="AB21" s="87"/>
    </row>
    <row r="22" spans="2:30" s="41" customFormat="1" ht="22.5" customHeight="1" x14ac:dyDescent="0.2">
      <c r="C22" s="88"/>
      <c r="P22" s="87"/>
      <c r="Q22" s="63"/>
      <c r="R22" s="63"/>
      <c r="S22" s="87"/>
      <c r="T22" s="63"/>
      <c r="U22" s="63"/>
      <c r="V22" s="87"/>
      <c r="W22" s="63"/>
      <c r="X22" s="63"/>
      <c r="Y22" s="63"/>
      <c r="Z22" s="87"/>
      <c r="AA22" s="87"/>
      <c r="AB22" s="87"/>
    </row>
    <row r="23" spans="2:30" s="41" customFormat="1" ht="14.25" x14ac:dyDescent="0.2">
      <c r="C23" s="88"/>
      <c r="P23" s="87"/>
      <c r="Q23" s="87"/>
      <c r="R23" s="87"/>
      <c r="S23" s="87"/>
      <c r="T23" s="63"/>
      <c r="U23" s="63"/>
      <c r="V23" s="87"/>
      <c r="W23" s="63"/>
      <c r="X23" s="87"/>
      <c r="Y23" s="87"/>
      <c r="Z23" s="87"/>
      <c r="AA23" s="87"/>
      <c r="AB23" s="87"/>
    </row>
    <row r="24" spans="2:30" s="41" customFormat="1" ht="18" customHeight="1" x14ac:dyDescent="0.2">
      <c r="C24" s="103" t="s">
        <v>11</v>
      </c>
      <c r="D24" s="346" t="s">
        <v>285</v>
      </c>
      <c r="E24" s="346"/>
      <c r="F24" s="346"/>
      <c r="G24" s="346"/>
      <c r="H24" s="346"/>
      <c r="I24" s="346"/>
      <c r="K24" s="79"/>
      <c r="P24" s="87"/>
      <c r="Q24" s="87"/>
      <c r="R24" s="87"/>
      <c r="S24" s="87"/>
      <c r="T24" s="63"/>
      <c r="U24" s="63"/>
      <c r="V24" s="87"/>
      <c r="W24" s="63"/>
      <c r="X24" s="87"/>
      <c r="Y24" s="87"/>
      <c r="Z24" s="87"/>
      <c r="AA24" s="87"/>
      <c r="AB24" s="87"/>
    </row>
    <row r="25" spans="2:30" s="41" customFormat="1" ht="22.5" customHeight="1" x14ac:dyDescent="0.2">
      <c r="C25" s="88"/>
      <c r="D25" s="349" t="s">
        <v>95</v>
      </c>
      <c r="E25" s="350"/>
      <c r="F25" s="350"/>
      <c r="G25" s="350"/>
      <c r="H25" s="351"/>
      <c r="P25" s="87"/>
      <c r="Q25" s="87"/>
      <c r="R25" s="87"/>
      <c r="S25" s="63" t="s">
        <v>95</v>
      </c>
      <c r="T25" s="63" t="s">
        <v>160</v>
      </c>
      <c r="U25" s="63" t="s">
        <v>161</v>
      </c>
      <c r="V25" s="63" t="s">
        <v>162</v>
      </c>
      <c r="W25" s="63" t="s">
        <v>163</v>
      </c>
      <c r="X25" s="63" t="s">
        <v>164</v>
      </c>
      <c r="Y25" s="63" t="s">
        <v>165</v>
      </c>
      <c r="Z25" s="63" t="s">
        <v>166</v>
      </c>
      <c r="AA25" s="63" t="s">
        <v>167</v>
      </c>
      <c r="AB25" s="63" t="s">
        <v>432</v>
      </c>
      <c r="AC25" s="63" t="s">
        <v>332</v>
      </c>
      <c r="AD25" s="63" t="s">
        <v>333</v>
      </c>
    </row>
    <row r="26" spans="2:30" s="41" customFormat="1" ht="14.25" x14ac:dyDescent="0.2">
      <c r="C26" s="88"/>
      <c r="P26" s="87"/>
      <c r="Q26" s="87"/>
      <c r="R26" s="87"/>
      <c r="S26" s="63"/>
      <c r="T26" s="63"/>
      <c r="U26" s="63"/>
      <c r="V26" s="87"/>
      <c r="W26" s="63"/>
      <c r="X26" s="87"/>
      <c r="Y26" s="87"/>
      <c r="Z26" s="87"/>
      <c r="AA26" s="87"/>
      <c r="AB26" s="87"/>
    </row>
    <row r="27" spans="2:30" s="41" customFormat="1" ht="14.25" x14ac:dyDescent="0.2">
      <c r="C27" s="88"/>
      <c r="P27" s="87"/>
      <c r="Q27" s="87"/>
      <c r="R27" s="87"/>
      <c r="S27" s="63"/>
      <c r="T27" s="63"/>
      <c r="U27" s="63"/>
      <c r="V27" s="87"/>
      <c r="W27" s="63"/>
      <c r="X27" s="87"/>
      <c r="Y27" s="87"/>
      <c r="Z27" s="87"/>
      <c r="AA27" s="87"/>
      <c r="AB27" s="87"/>
    </row>
    <row r="28" spans="2:30" s="41" customFormat="1" ht="18" customHeight="1" x14ac:dyDescent="0.2">
      <c r="C28" s="103" t="s">
        <v>12</v>
      </c>
      <c r="D28" s="346" t="s">
        <v>353</v>
      </c>
      <c r="E28" s="346"/>
      <c r="F28" s="346"/>
      <c r="G28" s="346"/>
      <c r="H28" s="346"/>
      <c r="I28" s="346"/>
      <c r="K28" s="79"/>
      <c r="P28" s="87"/>
      <c r="Q28" s="87"/>
      <c r="R28" s="87"/>
      <c r="S28" s="63"/>
      <c r="T28" s="63"/>
      <c r="U28" s="63"/>
      <c r="V28" s="87"/>
      <c r="W28" s="63"/>
      <c r="X28" s="87"/>
      <c r="Y28" s="87"/>
      <c r="Z28" s="87"/>
      <c r="AA28" s="87"/>
      <c r="AB28" s="87"/>
    </row>
    <row r="29" spans="2:30" s="41" customFormat="1" ht="22.5" customHeight="1" x14ac:dyDescent="0.2">
      <c r="C29" s="88"/>
      <c r="D29" s="349" t="s">
        <v>95</v>
      </c>
      <c r="E29" s="350"/>
      <c r="F29" s="350"/>
      <c r="G29" s="350"/>
      <c r="H29" s="351"/>
      <c r="P29" s="87"/>
      <c r="Q29" s="87"/>
      <c r="R29" s="87"/>
      <c r="S29" s="8"/>
      <c r="T29" s="87"/>
      <c r="U29" s="63" t="s">
        <v>95</v>
      </c>
      <c r="V29" s="63" t="s">
        <v>168</v>
      </c>
      <c r="W29" s="63" t="s">
        <v>433</v>
      </c>
      <c r="X29" s="63" t="s">
        <v>434</v>
      </c>
      <c r="Y29" s="63" t="s">
        <v>435</v>
      </c>
      <c r="Z29" s="63" t="s">
        <v>436</v>
      </c>
      <c r="AA29" s="63" t="s">
        <v>169</v>
      </c>
      <c r="AB29" s="63"/>
      <c r="AC29" s="63"/>
      <c r="AD29" s="63"/>
    </row>
    <row r="30" spans="2:30" s="41" customFormat="1" ht="14.25" x14ac:dyDescent="0.2">
      <c r="C30" s="88"/>
      <c r="P30" s="87"/>
      <c r="Q30" s="87"/>
      <c r="R30" s="87"/>
      <c r="S30" s="8"/>
      <c r="T30" s="87"/>
      <c r="U30" s="87"/>
      <c r="V30" s="87"/>
      <c r="W30" s="87"/>
      <c r="X30" s="87"/>
      <c r="Y30" s="87"/>
      <c r="Z30" s="87"/>
      <c r="AA30" s="87"/>
      <c r="AB30" s="87"/>
    </row>
    <row r="31" spans="2:30" s="41" customFormat="1" ht="17.25" customHeight="1" x14ac:dyDescent="0.2">
      <c r="C31" s="88"/>
      <c r="D31" s="105"/>
      <c r="E31" s="348"/>
      <c r="F31" s="348"/>
      <c r="G31" s="348"/>
      <c r="H31" s="348"/>
      <c r="I31" s="348"/>
      <c r="J31" s="348"/>
      <c r="K31" s="65"/>
      <c r="L31" s="63"/>
      <c r="P31" s="87"/>
      <c r="Q31" s="87"/>
      <c r="R31" s="87"/>
      <c r="S31" s="8"/>
      <c r="T31" s="87"/>
      <c r="U31" s="87"/>
      <c r="V31" s="87"/>
      <c r="W31" s="87"/>
      <c r="X31" s="87"/>
      <c r="Y31" s="87"/>
      <c r="Z31" s="87"/>
      <c r="AA31" s="87"/>
      <c r="AB31" s="87"/>
    </row>
    <row r="32" spans="2:30" s="41" customFormat="1" ht="56.45" customHeight="1" x14ac:dyDescent="0.2">
      <c r="C32" s="88"/>
      <c r="D32" s="370" t="str">
        <f>IF(AND(OR(C15=1,C15=2,C15=3,C15=4,C15=5),AND(J10="Yes")), "Place evidence that one member of the consortium holds valid institutional accreditation (i.e., website screenshot, official letter, certificate) in the Documentation folder.  "&amp;"This document must be titled with the 'EXACT document name' and must be included as the type of file format listed below (not Word 97-2003 [.doc], Word 2013 [.docx], or Excel [.xlsx]).", IF(OR(C15="",C15=1,C15=2,C15=3), "Place evidence of valid institutional accreditation (i.e., website screenshot, official letter, certificate) in the Documentation folder.   "&amp;"This document must be titled with the 'EXACT document name' and must be included as the type of file format listed below (not Word 97-2003 [.doc], Word 2013 [.docx], or Excel [.xlsx]).",IF(AND(C15=4,J10="No"), "State, county, or municipal governmental sponsors are not required to hold valid institutional accreditation.",IF(C15=5,"", ""))))</f>
        <v>Place evidence of valid institutional accreditation (i.e., website screenshot, official letter, certificate) in the Documentation folder.   This document must be titled with the 'EXACT document name' and must be included as the type of file format listed below (not Word 97-2003 [.doc], Word 2013 [.docx], or Excel [.xlsx]).</v>
      </c>
      <c r="E32" s="370"/>
      <c r="F32" s="370"/>
      <c r="G32" s="370"/>
      <c r="H32" s="370"/>
      <c r="I32" s="370"/>
      <c r="J32" s="370"/>
      <c r="K32" s="370"/>
      <c r="L32" s="370"/>
      <c r="M32" s="370"/>
      <c r="N32" s="370"/>
      <c r="O32" s="370"/>
      <c r="P32" s="87"/>
      <c r="Q32" s="87"/>
      <c r="R32" s="63"/>
      <c r="S32" s="8"/>
      <c r="T32" s="63"/>
      <c r="U32" s="63"/>
      <c r="V32" s="63"/>
      <c r="W32" s="63"/>
      <c r="X32" s="63"/>
      <c r="Y32" s="87"/>
      <c r="Z32" s="87"/>
      <c r="AA32" s="87"/>
      <c r="AB32" s="87"/>
    </row>
    <row r="33" spans="2:28" s="41" customFormat="1" ht="33" customHeight="1" x14ac:dyDescent="0.25">
      <c r="C33" s="88"/>
      <c r="E33" s="359"/>
      <c r="F33" s="359"/>
      <c r="G33" s="359"/>
      <c r="H33" s="342" t="str">
        <f>IF(OR(D32="",D32="State, county, or municipal governmental sponsors are not required to hold valid institutional accreditation."),"","      Exact Document Name:      01 Valid Accreditation")</f>
        <v xml:space="preserve">      Exact Document Name:      01 Valid Accreditation</v>
      </c>
      <c r="I33" s="342"/>
      <c r="J33" s="342"/>
      <c r="K33" s="342"/>
      <c r="L33" s="342"/>
      <c r="M33" s="342"/>
      <c r="N33" s="342"/>
      <c r="P33" s="87"/>
      <c r="Q33" s="87"/>
      <c r="R33" s="63"/>
      <c r="S33" s="8"/>
      <c r="T33" s="63"/>
      <c r="U33" s="63"/>
      <c r="V33" s="63"/>
      <c r="W33" s="63"/>
      <c r="X33" s="63"/>
      <c r="Y33" s="87"/>
      <c r="Z33" s="87"/>
      <c r="AA33" s="87"/>
      <c r="AB33" s="87"/>
    </row>
    <row r="34" spans="2:28" s="41" customFormat="1" ht="20.25" customHeight="1" x14ac:dyDescent="0.2">
      <c r="C34" s="106"/>
      <c r="E34" s="343"/>
      <c r="F34" s="343"/>
      <c r="G34" s="343"/>
      <c r="H34" s="344" t="str">
        <f>IF(OR(D32="",D32="State, county, or municipal governmental sponsors are not required to hold valid institutional accreditation."),"","                          Type of File:      Adobe Portable Document (.pdf)")</f>
        <v xml:space="preserve">                          Type of File:      Adobe Portable Document (.pdf)</v>
      </c>
      <c r="I34" s="344"/>
      <c r="J34" s="344"/>
      <c r="K34" s="344"/>
      <c r="L34" s="344"/>
      <c r="M34" s="344"/>
      <c r="N34" s="344"/>
      <c r="P34" s="87"/>
      <c r="Q34" s="87"/>
      <c r="R34" s="63"/>
      <c r="S34" s="8"/>
      <c r="T34" s="63"/>
      <c r="U34" s="63"/>
      <c r="V34" s="63"/>
      <c r="W34" s="63"/>
      <c r="X34" s="63"/>
      <c r="Y34" s="87"/>
      <c r="Z34" s="87"/>
      <c r="AA34" s="87"/>
      <c r="AB34" s="87"/>
    </row>
    <row r="35" spans="2:28" s="41" customFormat="1" ht="14.25" x14ac:dyDescent="0.2">
      <c r="C35" s="88"/>
      <c r="E35" s="21"/>
      <c r="F35" s="271"/>
      <c r="G35" s="271"/>
      <c r="H35" s="271"/>
      <c r="I35" s="271"/>
      <c r="J35" s="271"/>
      <c r="K35" s="271"/>
      <c r="L35" s="63"/>
      <c r="P35" s="87"/>
      <c r="Q35" s="87"/>
      <c r="R35" s="63"/>
      <c r="S35" s="8"/>
      <c r="T35" s="63"/>
      <c r="U35" s="63"/>
      <c r="V35" s="63"/>
      <c r="W35" s="63"/>
      <c r="X35" s="63"/>
      <c r="Y35" s="87"/>
      <c r="Z35" s="87"/>
      <c r="AA35" s="87"/>
      <c r="AB35" s="87"/>
    </row>
    <row r="36" spans="2:28" s="41" customFormat="1" ht="14.25" x14ac:dyDescent="0.2">
      <c r="C36" s="88"/>
      <c r="E36" s="21"/>
      <c r="F36" s="271"/>
      <c r="G36" s="271"/>
      <c r="H36" s="271"/>
      <c r="I36" s="271"/>
      <c r="J36" s="271"/>
      <c r="K36" s="271"/>
      <c r="L36" s="63"/>
      <c r="P36" s="87"/>
      <c r="Q36" s="87"/>
      <c r="R36" s="63"/>
      <c r="S36" s="8"/>
      <c r="T36" s="63"/>
      <c r="U36" s="63"/>
      <c r="V36" s="63"/>
      <c r="W36" s="63"/>
      <c r="X36" s="63"/>
      <c r="Y36" s="87"/>
      <c r="Z36" s="87"/>
      <c r="AA36" s="87"/>
      <c r="AB36" s="87"/>
    </row>
    <row r="37" spans="2:28" s="41" customFormat="1" ht="9" customHeight="1" x14ac:dyDescent="0.2">
      <c r="C37" s="88"/>
      <c r="D37" s="363"/>
      <c r="E37" s="363"/>
      <c r="F37" s="363"/>
      <c r="G37" s="363"/>
      <c r="H37" s="363"/>
      <c r="J37" s="271"/>
      <c r="K37" s="112"/>
      <c r="L37" s="63"/>
      <c r="P37" s="87"/>
      <c r="Q37" s="87"/>
      <c r="R37" s="87"/>
      <c r="S37" s="87"/>
      <c r="T37" s="87"/>
      <c r="U37" s="87"/>
      <c r="V37" s="87"/>
      <c r="W37" s="87"/>
      <c r="X37" s="87"/>
      <c r="Y37" s="87"/>
      <c r="Z37" s="87"/>
      <c r="AA37" s="87"/>
      <c r="AB37" s="87"/>
    </row>
    <row r="38" spans="2:28" s="41" customFormat="1" ht="56.45" customHeight="1" x14ac:dyDescent="0.2">
      <c r="C38" s="88"/>
      <c r="D38" s="358" t="str">
        <f>IF(J10="Yes", "Place evidence of the State Office of EMS approval (i.e., email, official letter) of the consortium in the Documentation folder.  "&amp;"This document must be titled with the 'EXACT document name' and must be included as the type of file format listed below (not Word 97-2003 [.doc], Word 2013 [.docx], or Excel [.xlsx]).", IF(OR(J10="No",J10=""), "Place evidence of the State Office of EMS approval (i.e., email, official letter) in the Documentation folder.  "&amp;"This document must be titled with the 'EXACT document name' and must be included as the type of file format listed below (not Word 97-2003 [.doc], Word 2013 [.docx], or Excel [.xlsx]).", ""))</f>
        <v>Place evidence of the State Office of EMS approval (i.e., email, official letter) in the Documentation folder.  This document must be titled with the 'EXACT document name' and must be included as the type of file format listed below (not Word 97-2003 [.doc], Word 2013 [.docx], or Excel [.xlsx]).</v>
      </c>
      <c r="E38" s="358"/>
      <c r="F38" s="358"/>
      <c r="G38" s="358"/>
      <c r="H38" s="358"/>
      <c r="I38" s="358"/>
      <c r="J38" s="358"/>
      <c r="K38" s="358"/>
      <c r="L38" s="358"/>
      <c r="M38" s="358"/>
      <c r="N38" s="358"/>
      <c r="O38" s="358"/>
      <c r="P38" s="87"/>
      <c r="Q38" s="87"/>
      <c r="R38" s="87"/>
      <c r="S38" s="87"/>
      <c r="T38" s="87"/>
      <c r="U38" s="87"/>
      <c r="V38" s="87"/>
      <c r="W38" s="87"/>
      <c r="X38" s="87"/>
      <c r="Y38" s="87"/>
      <c r="Z38" s="87"/>
      <c r="AA38" s="87"/>
      <c r="AB38" s="87"/>
    </row>
    <row r="39" spans="2:28" s="41" customFormat="1" ht="35.25" customHeight="1" x14ac:dyDescent="0.25">
      <c r="C39" s="88"/>
      <c r="E39" s="359" t="s">
        <v>111</v>
      </c>
      <c r="F39" s="359"/>
      <c r="G39" s="359"/>
      <c r="H39" s="360" t="s">
        <v>452</v>
      </c>
      <c r="I39" s="360"/>
      <c r="J39" s="360"/>
      <c r="K39" s="360"/>
      <c r="L39" s="360"/>
      <c r="M39" s="360"/>
      <c r="N39" s="360"/>
      <c r="S39" s="87"/>
      <c r="T39" s="87"/>
      <c r="U39" s="87"/>
      <c r="V39" s="87"/>
      <c r="W39" s="87"/>
      <c r="X39" s="87"/>
    </row>
    <row r="40" spans="2:28" s="41" customFormat="1" ht="24" customHeight="1" x14ac:dyDescent="0.2">
      <c r="C40" s="106"/>
      <c r="E40" s="343"/>
      <c r="F40" s="343"/>
      <c r="G40" s="343"/>
      <c r="H40" s="361" t="s">
        <v>430</v>
      </c>
      <c r="I40" s="361"/>
      <c r="J40" s="361"/>
      <c r="K40" s="361"/>
      <c r="L40" s="361"/>
      <c r="M40" s="361"/>
      <c r="N40" s="361"/>
      <c r="S40" s="87"/>
      <c r="T40" s="87"/>
      <c r="U40" s="87"/>
      <c r="V40" s="87"/>
      <c r="W40" s="87"/>
      <c r="X40" s="87"/>
    </row>
    <row r="41" spans="2:28" s="41" customFormat="1" ht="51" customHeight="1" x14ac:dyDescent="0.2">
      <c r="C41" s="106"/>
      <c r="E41" s="21"/>
      <c r="F41" s="271"/>
      <c r="G41" s="271"/>
      <c r="H41" s="271"/>
      <c r="I41" s="271"/>
      <c r="J41" s="271"/>
      <c r="L41" s="63"/>
      <c r="S41" s="87"/>
      <c r="T41" s="87"/>
      <c r="U41" s="87"/>
      <c r="V41" s="87"/>
      <c r="W41" s="87"/>
      <c r="X41" s="87"/>
    </row>
    <row r="42" spans="2:28" s="41" customFormat="1" ht="56.25" customHeight="1" x14ac:dyDescent="0.2">
      <c r="O42" s="353" t="s">
        <v>103</v>
      </c>
      <c r="P42" s="353"/>
      <c r="Q42" s="353"/>
      <c r="R42" s="356" t="s">
        <v>431</v>
      </c>
      <c r="S42" s="357"/>
      <c r="T42" s="357"/>
      <c r="U42" s="357"/>
      <c r="V42" s="357"/>
    </row>
    <row r="43" spans="2:28" s="41" customFormat="1" ht="102.75" customHeight="1" x14ac:dyDescent="0.2">
      <c r="C43" s="109" t="s">
        <v>429</v>
      </c>
      <c r="D43" s="340" t="s">
        <v>510</v>
      </c>
      <c r="E43" s="340"/>
      <c r="F43" s="340"/>
      <c r="G43" s="340"/>
      <c r="H43" s="340"/>
      <c r="I43" s="340"/>
      <c r="J43" s="340"/>
      <c r="K43" s="340"/>
      <c r="L43" s="340"/>
      <c r="M43" s="8"/>
      <c r="N43" s="8"/>
      <c r="O43" s="8"/>
      <c r="P43" s="8"/>
      <c r="Q43" s="8"/>
      <c r="R43" s="8"/>
    </row>
    <row r="44" spans="2:28" s="41" customFormat="1" ht="30.75" customHeight="1" x14ac:dyDescent="0.2">
      <c r="B44" s="110"/>
      <c r="D44" s="366" t="s">
        <v>204</v>
      </c>
      <c r="E44" s="366"/>
      <c r="F44" s="366"/>
      <c r="G44" s="366"/>
      <c r="H44" s="366"/>
      <c r="I44" s="366"/>
      <c r="J44" s="366"/>
    </row>
    <row r="45" spans="2:28" s="41" customFormat="1" ht="17.25" customHeight="1" x14ac:dyDescent="0.2">
      <c r="C45" s="106"/>
      <c r="E45" s="21"/>
      <c r="F45" s="271"/>
      <c r="G45" s="271"/>
      <c r="H45" s="271"/>
      <c r="I45" s="271"/>
      <c r="J45" s="271"/>
      <c r="L45" s="63"/>
      <c r="S45" s="87"/>
      <c r="T45" s="87"/>
      <c r="U45" s="87"/>
      <c r="V45" s="87"/>
      <c r="W45" s="87"/>
      <c r="X45" s="87"/>
    </row>
    <row r="46" spans="2:28" s="41" customFormat="1" ht="56.45" customHeight="1" x14ac:dyDescent="0.2">
      <c r="C46" s="88"/>
      <c r="D46" s="358" t="str">
        <f>IF(J10="Yes", "Place a copy of the CoAEMSP Action Plan for Unaticipated Program Interruption for the consortium in the Documentation folder.  "&amp;"This document must be titled with the 'EXACT document name' and must be included as the type of file format listed below (not Word 97-2003 [.doc], Word 2013 [.docx], or Excel [.xlsx]).", IF(OR(J10="No",J10=""), "Place a copy of the CoAEMSP Action Plan for Unaticipated Program Interruption in the Documentation folder.  "&amp;"This document must be titled with the 'EXACT document name' and must be included as the type of file format listed below (not Word 97-2003 [.doc], Word 2013 [.docx], or Excel [.xlsx]).", ""))</f>
        <v>Place a copy of the CoAEMSP Action Plan for Unaticipated Program Interruption in the Documentation folder.  This document must be titled with the 'EXACT document name' and must be included as the type of file format listed below (not Word 97-2003 [.doc], Word 2013 [.docx], or Excel [.xlsx]).</v>
      </c>
      <c r="E46" s="358"/>
      <c r="F46" s="358"/>
      <c r="G46" s="358"/>
      <c r="H46" s="358"/>
      <c r="I46" s="358"/>
      <c r="J46" s="358"/>
      <c r="K46" s="358"/>
      <c r="L46" s="358"/>
      <c r="M46" s="358"/>
      <c r="N46" s="358"/>
      <c r="O46" s="358"/>
      <c r="P46" s="87"/>
      <c r="Q46" s="87"/>
      <c r="R46" s="87"/>
      <c r="S46" s="87"/>
      <c r="T46" s="87"/>
      <c r="U46" s="87"/>
      <c r="V46" s="87"/>
      <c r="W46" s="87"/>
      <c r="X46" s="87"/>
      <c r="Y46" s="87"/>
      <c r="Z46" s="87"/>
      <c r="AA46" s="87"/>
      <c r="AB46" s="87"/>
    </row>
    <row r="47" spans="2:28" s="41" customFormat="1" ht="35.25" customHeight="1" x14ac:dyDescent="0.25">
      <c r="C47" s="88"/>
      <c r="E47" s="359"/>
      <c r="F47" s="359"/>
      <c r="G47" s="359"/>
      <c r="H47" s="360" t="s">
        <v>453</v>
      </c>
      <c r="I47" s="360"/>
      <c r="J47" s="360"/>
      <c r="K47" s="360"/>
      <c r="L47" s="360"/>
      <c r="M47" s="360"/>
      <c r="N47" s="360"/>
      <c r="S47" s="87"/>
      <c r="T47" s="87"/>
      <c r="U47" s="87"/>
      <c r="V47" s="87"/>
      <c r="W47" s="87"/>
      <c r="X47" s="87"/>
    </row>
    <row r="48" spans="2:28" s="41" customFormat="1" ht="24" customHeight="1" x14ac:dyDescent="0.2">
      <c r="C48" s="106"/>
      <c r="E48" s="343"/>
      <c r="F48" s="343"/>
      <c r="G48" s="343"/>
      <c r="H48" s="361" t="s">
        <v>430</v>
      </c>
      <c r="I48" s="361"/>
      <c r="J48" s="361"/>
      <c r="K48" s="361"/>
      <c r="L48" s="361"/>
      <c r="M48" s="361"/>
      <c r="N48" s="361"/>
      <c r="S48" s="87"/>
      <c r="T48" s="87"/>
      <c r="U48" s="87"/>
      <c r="V48" s="87"/>
      <c r="W48" s="87"/>
      <c r="X48" s="87"/>
    </row>
    <row r="49" spans="3:24" s="41" customFormat="1" ht="36" customHeight="1" x14ac:dyDescent="0.2">
      <c r="C49" s="106"/>
      <c r="D49" s="112"/>
      <c r="E49" s="21"/>
      <c r="F49" s="271"/>
      <c r="G49" s="271"/>
      <c r="H49" s="271"/>
      <c r="I49" s="271"/>
      <c r="J49" s="271"/>
      <c r="L49" s="63"/>
      <c r="S49" s="87"/>
      <c r="T49" s="87"/>
      <c r="U49" s="87"/>
      <c r="V49" s="87"/>
      <c r="W49" s="87"/>
      <c r="X49" s="87"/>
    </row>
    <row r="50" spans="3:24" s="41" customFormat="1" ht="39" customHeight="1" x14ac:dyDescent="0.25">
      <c r="C50" s="113" t="s">
        <v>14</v>
      </c>
      <c r="D50" s="352" t="str">
        <f>"Type of award(s) upon " &amp;'Program Info'!B3&amp;" educational program completion 
(select 'Yes' for ALL that apply to the " &amp;'Program Info'!B3&amp;" program ONLY and 'N/A' that do not apply)"</f>
        <v>Type of award(s) upon  educational program completion 
(select 'Yes' for ALL that apply to the  program ONLY and 'N/A' that do not apply)</v>
      </c>
      <c r="E50" s="352"/>
      <c r="F50" s="352"/>
      <c r="G50" s="352"/>
      <c r="H50" s="352"/>
      <c r="I50" s="352"/>
      <c r="J50" s="352"/>
      <c r="K50" s="352"/>
      <c r="L50" s="352"/>
      <c r="S50" s="87"/>
      <c r="T50" s="87"/>
      <c r="U50" s="87"/>
      <c r="V50" s="87"/>
      <c r="W50" s="87"/>
      <c r="X50" s="87"/>
    </row>
    <row r="51" spans="3:24" s="41" customFormat="1" ht="18" customHeight="1" x14ac:dyDescent="0.2">
      <c r="C51" s="115">
        <f>SUM(L34:L52)</f>
        <v>0</v>
      </c>
      <c r="K51" s="63"/>
      <c r="L51" s="63"/>
      <c r="S51" s="87"/>
      <c r="T51" s="87"/>
      <c r="U51" s="87"/>
      <c r="V51" s="87"/>
      <c r="W51" s="87"/>
      <c r="X51" s="87"/>
    </row>
    <row r="52" spans="3:24" s="41" customFormat="1" ht="18" customHeight="1" x14ac:dyDescent="0.2">
      <c r="C52" s="88"/>
      <c r="D52" s="92" t="s">
        <v>95</v>
      </c>
      <c r="E52" s="41" t="s">
        <v>67</v>
      </c>
      <c r="G52" s="92" t="s">
        <v>95</v>
      </c>
      <c r="H52" s="41" t="s">
        <v>69</v>
      </c>
      <c r="J52" s="112"/>
      <c r="K52" s="63"/>
      <c r="L52" s="63"/>
      <c r="S52" s="87"/>
      <c r="T52" s="87"/>
      <c r="U52" s="87"/>
      <c r="V52" s="87"/>
      <c r="W52" s="87"/>
      <c r="X52" s="87"/>
    </row>
    <row r="53" spans="3:24" s="41" customFormat="1" ht="19.5" customHeight="1" x14ac:dyDescent="0.2">
      <c r="C53" s="88"/>
      <c r="D53" s="92" t="s">
        <v>95</v>
      </c>
      <c r="E53" s="116" t="s">
        <v>68</v>
      </c>
      <c r="G53" s="92" t="s">
        <v>95</v>
      </c>
      <c r="H53" s="43" t="s">
        <v>70</v>
      </c>
      <c r="J53" s="112"/>
      <c r="K53" s="117"/>
      <c r="L53" s="117"/>
      <c r="S53" s="87"/>
      <c r="T53" s="87"/>
      <c r="U53" s="87"/>
      <c r="V53" s="87"/>
      <c r="W53" s="87"/>
      <c r="X53" s="87"/>
    </row>
    <row r="54" spans="3:24" s="41" customFormat="1" ht="14.25" x14ac:dyDescent="0.2">
      <c r="C54" s="88"/>
      <c r="E54" s="21"/>
      <c r="F54" s="271"/>
      <c r="G54" s="271"/>
      <c r="H54" s="271"/>
      <c r="I54" s="271"/>
      <c r="J54" s="271"/>
      <c r="K54" s="271"/>
      <c r="L54" s="63"/>
      <c r="S54" s="87"/>
      <c r="T54" s="87"/>
      <c r="U54" s="87"/>
      <c r="V54" s="87"/>
      <c r="W54" s="87"/>
      <c r="X54" s="87"/>
    </row>
    <row r="55" spans="3:24" s="41" customFormat="1" ht="12" customHeight="1" x14ac:dyDescent="0.2">
      <c r="C55" s="88"/>
      <c r="E55" s="21"/>
      <c r="F55" s="271"/>
      <c r="G55" s="271"/>
      <c r="H55" s="271"/>
      <c r="I55" s="271"/>
      <c r="J55" s="271"/>
      <c r="K55" s="271"/>
      <c r="L55" s="63"/>
      <c r="S55" s="87"/>
      <c r="T55" s="87"/>
      <c r="U55" s="87"/>
      <c r="V55" s="87"/>
      <c r="W55" s="87"/>
      <c r="X55" s="87"/>
    </row>
    <row r="56" spans="3:24" s="41" customFormat="1" ht="14.25" x14ac:dyDescent="0.2">
      <c r="C56" s="88"/>
      <c r="D56" s="371"/>
      <c r="E56" s="371"/>
      <c r="F56" s="371"/>
      <c r="G56" s="371"/>
      <c r="H56" s="371"/>
      <c r="I56" s="371"/>
      <c r="J56" s="371"/>
      <c r="K56" s="371"/>
      <c r="L56" s="371"/>
      <c r="M56" s="371"/>
      <c r="N56" s="371"/>
      <c r="O56" s="371"/>
      <c r="S56" s="87"/>
      <c r="T56" s="87"/>
      <c r="U56" s="87"/>
      <c r="V56" s="87"/>
      <c r="W56" s="87"/>
      <c r="X56" s="87"/>
    </row>
    <row r="57" spans="3:24" s="41" customFormat="1" ht="9" customHeight="1" x14ac:dyDescent="0.2">
      <c r="C57" s="88"/>
      <c r="D57" s="363"/>
      <c r="E57" s="363"/>
      <c r="F57" s="363"/>
      <c r="G57" s="363"/>
      <c r="H57" s="363"/>
      <c r="J57" s="271"/>
      <c r="K57" s="112"/>
      <c r="L57" s="63"/>
      <c r="S57" s="87"/>
      <c r="T57" s="87"/>
      <c r="U57" s="87"/>
      <c r="V57" s="87"/>
      <c r="W57" s="87"/>
      <c r="X57" s="87"/>
    </row>
    <row r="58" spans="3:24" s="41" customFormat="1" ht="73.5" customHeight="1" x14ac:dyDescent="0.2">
      <c r="C58" s="88"/>
      <c r="D58" s="370" t="str">
        <f>IF(AND(D52="Yes",D53&lt;&gt;"Yes",G52&lt;&gt;"Yes",G53&lt;&gt;"Yes"),"Place a copy of the program's actual Certificate/Diploma in the Documentation folder.  "&amp;"This document must be titled with the 'EXACT document name' and must be included as the type of file format listed below (not Word, 97-2003 [.doc], Word 2013 [.docx], or Excel [.xlsx]).", IF(AND(D52="Yes",D53="Yes",G52&lt;&gt;"Yes",G53&lt;&gt;"Yes"),"Place a copy of the program's actual Certificate/Diploma and Associate Degree (one of each) in the Documentation folder.  "&amp;"Each document must be titled with the 'EXACT document name' and must be included as the type of file format listed below (not Word, 97-2003 [.doc], Word 2013 [.docx], or Excel [.xlsx]).", IF(AND(D52="Yes",D53="Yes",G52="Yes",G53&lt;&gt;"Yes"),"Place a copy of the program's actual Certificate/Diploma, Associate Degree, and Baccalaurete Degree (one of each) in the Documentation folder.  "&amp;"Each document must be titled with the 'EXACT document name' and must be included as the type of file format listed below (not Word, 97-2003 [.doc], Word 2013 [.docx], or Excel [.xlsx]).",IF(AND(D52="Yes",D53="Yes",G52="Yes",G53="Yes"),"Place a copy of the program's actual Certificate/Diploma, Associate Degree, Baccalaurete Degree, and Master's Degree (one of each) in the Documentation folder.  "&amp;"Each document must be titled with the 'EXACT document name' and must be included as the type of file format listed below (not Word, 97-2003 [.doc], Word 2013 [.docx], or Excel [.xlsx]).", IF(AND(D52&lt;&gt;"Yes",D53="Yes",G52="Yes",G53="Yes"),"Place a copy of the program's actual Associate Degree, Baccalaurete Degree, and Master's Degree (one of each) in the Documentation folder.  "&amp;"Each document must be titled with the 'EXACT document name' and must be included as the type of file format listed below (not Word, 97-2003 [.doc], Word 2013 [.docx], or Excel [.xlsx]).", IF(AND(D52&lt;&gt;"Yes",D53&lt;&gt;"Yes",G52="Yes",G53="Yes"),"Place a copy of the program's actual Baccalaurete Degree and Master's Degree (one of each) in the Documentation folder.  "&amp;"Each document must be titled with the 'EXACT document name' and must be included as the type of file format listed below (not Word, 97-2003 [.doc], Word 2013 [.docx], or Excel [.xlsx]).", IF(AND(D52&lt;&gt;"Yes",D53&lt;&gt;"Yes",G52&lt;&gt;"Yes",G53="Yes"),"Place a copy of the program's actual Master's Degree in the Documentation folder.  "&amp;"This document must be titled with the 'EXACT document name' and must be included as the type of file format listed below (not Word, 97-2003 [.doc], Word 2013 [.docx], or Excel [.xlsx]).", IF(AND(D52&lt;&gt;"Yes",D53="Yes",G52&lt;&gt;"Yes",G53&lt;&gt;"Yes"),"Place a copy of the program's actual Associate Degree in the Documentation folder.  "&amp;"This document must be titled with the 'EXACT document name' and must be included as the type of file format listed below (not Word, 97-2003 [.doc], Word 2013 [.docx], or Excel [.xlsx]).", IF(AND(D52&lt;&gt;"Yes",D53="Yes",G52="Yes",G53&lt;&gt;"Yes"),"Place a copy of the program's actual Associate Degree and Baccalaureate Degree (one of each) in the Documenation folder.  "&amp;"Each document must be titled with the 'EXACT document name' and must be included as the type of file format listed below (not Word, 97-2003 [.doc], Word 2013 [.docx], or Excel [.xlsx]).", IF(AND(D52&lt;&gt;"Yes",D53&lt;&gt;"Yes",G52="Yes",G53&lt;&gt;"Yes"),"Place a copy of the program's actual Baccalaureate Degree in the Documentation folder.  "&amp;"This document must be titled with the 'EXACT document name' and must be included as the type of file format listed below (not Word, 97-2003 [.doc], Word 2013 [.docx], or Excel [.xlsx]).", IF(AND(D52&lt;&gt;"Yes",D53="Yes",G52&lt;&gt;"Yes",G53="Yes"),"Place a copy of the program's actual Associate Degree and Master's Degree (one of each) in the Documentation folder.  "&amp;"Each document must be titled with the 'EXACT document name' and must be included as the type of file format listed below (not Word, 97-2003 [.doc], Word 2013 [.docx], or Excel [.xlsx]).", IF(AND(D52="Yes",D53="Yes",G52&lt;&gt;"Yes",G53="Yes"),"Place a copy of the program's actual Certificate/Diploma, Associate Degree, and Master's Degree (one of each) in the Documentation folder.  "&amp;"Each document must be titled with the 'EXACT document name' and must be included as the type of file format listed below (not Word, 97-2003 [.doc], Word 2013 [.docx], or Excel [.xlsx]).", IF(AND(D52="Yes",D53&lt;&gt;"Yes",G52="Yes",G53&lt;&gt;"Yes"),"Place a copy of the program's actual Certificate/Diploma and Baccalaureate Degree (one of each) in the Documentation folder.  "&amp;"Each document must be titled with the 'EXACT document name' and must be included as the type of file format listed below (not Word, 97-2003 [.doc], Word 2013 [.docx], or Excel [.xlsx]).",IF(AND(D52="Yes",D53&lt;&gt;"Yes",G52&lt;&gt;"Yes",G53="Yes"),"Place a copy of the program's actual Certificate/Diploma and Master's Degree (one of each) in the Documentation folder.  "&amp;"Each document must be titled with the 'EXACT document name' and must be included as the type of file format listed below (not Word, 97-2003 [.doc], Word 2013 [.docx], or Excel [.xlsx]).", IF(AND(D52="Yes",D53&lt;&gt;"Yes",G52="Yes",G53="Yes"),"Place a copy of the program's actual Certificate/Diploma, Baccalaureate Degree, and Master's Degree (one of each) in the Documentation folder.  "&amp;"Each document must be titled with the 'EXACT document name' and must be included as the type of file format listed below (not Word, 97-2003 [.doc], Word 2013 [.docx], or Excel [.xlsx]).","")))))))))))))))</f>
        <v/>
      </c>
      <c r="E58" s="370"/>
      <c r="F58" s="370"/>
      <c r="G58" s="370"/>
      <c r="H58" s="370"/>
      <c r="I58" s="370"/>
      <c r="J58" s="370"/>
      <c r="K58" s="370"/>
      <c r="L58" s="370"/>
      <c r="M58" s="370"/>
      <c r="N58" s="370"/>
      <c r="O58" s="370"/>
      <c r="S58" s="87"/>
      <c r="T58" s="87"/>
      <c r="U58" s="87"/>
      <c r="V58" s="87"/>
      <c r="W58" s="87"/>
      <c r="X58" s="87"/>
    </row>
    <row r="59" spans="3:24" s="41" customFormat="1" ht="27" customHeight="1" x14ac:dyDescent="0.2">
      <c r="C59" s="88"/>
      <c r="H59" s="342" t="str">
        <f>IF(AND(D52="Yes",D53="N/A",G52="N/A",G53="N/A"),"        Exact Document Name:", IF(OR(D52="Yes",D53="Yes",G52="Yes",G53="Yes"),"            Exact Document Name (one of each):", ""))</f>
        <v/>
      </c>
      <c r="I59" s="342"/>
      <c r="J59" s="342"/>
      <c r="K59" s="342"/>
      <c r="L59" s="342"/>
      <c r="M59" s="342"/>
      <c r="N59" s="342"/>
      <c r="S59" s="87"/>
      <c r="T59" s="87"/>
      <c r="U59" s="87"/>
      <c r="V59" s="87"/>
      <c r="W59" s="87"/>
      <c r="X59" s="87"/>
    </row>
    <row r="60" spans="3:24" s="41" customFormat="1" ht="30.75" customHeight="1" x14ac:dyDescent="0.2">
      <c r="C60" s="88"/>
      <c r="H60" s="342" t="str">
        <f>IF(D52="Yes", "                                               04a Certificate-Diploma", "")</f>
        <v/>
      </c>
      <c r="I60" s="342"/>
      <c r="J60" s="342"/>
      <c r="K60" s="342"/>
      <c r="L60" s="342"/>
      <c r="M60" s="342"/>
      <c r="N60" s="342"/>
      <c r="S60" s="87"/>
      <c r="T60" s="87"/>
      <c r="U60" s="87"/>
      <c r="V60" s="87"/>
      <c r="W60" s="87"/>
      <c r="X60" s="87"/>
    </row>
    <row r="61" spans="3:24" s="41" customFormat="1" ht="29.25" customHeight="1" x14ac:dyDescent="0.2">
      <c r="C61" s="88"/>
      <c r="E61" s="118"/>
      <c r="F61" s="118"/>
      <c r="G61" s="118"/>
      <c r="H61" s="342" t="str">
        <f>IF(D53="Yes", "                                               04b AS Degree", "")</f>
        <v/>
      </c>
      <c r="I61" s="342"/>
      <c r="J61" s="342"/>
      <c r="K61" s="342"/>
      <c r="L61" s="342"/>
      <c r="M61" s="342"/>
      <c r="N61" s="342"/>
      <c r="S61" s="87"/>
      <c r="T61" s="87"/>
      <c r="U61" s="87"/>
      <c r="V61" s="87"/>
      <c r="W61" s="87"/>
      <c r="X61" s="87"/>
    </row>
    <row r="62" spans="3:24" s="41" customFormat="1" ht="27" customHeight="1" x14ac:dyDescent="0.2">
      <c r="C62" s="88"/>
      <c r="H62" s="342" t="str">
        <f>IF(G52="Yes", "                                               04c BS Degree", "")</f>
        <v/>
      </c>
      <c r="I62" s="342"/>
      <c r="J62" s="342"/>
      <c r="K62" s="342"/>
      <c r="L62" s="342"/>
      <c r="M62" s="342"/>
      <c r="N62" s="342"/>
      <c r="S62" s="87"/>
      <c r="T62" s="87"/>
      <c r="U62" s="87"/>
      <c r="V62" s="87"/>
      <c r="W62" s="87"/>
      <c r="X62" s="87"/>
    </row>
    <row r="63" spans="3:24" s="41" customFormat="1" ht="28.5" customHeight="1" x14ac:dyDescent="0.2">
      <c r="C63" s="88"/>
      <c r="H63" s="342" t="str">
        <f>IF(G53="Yes", "                                               04d MS Degree", "")</f>
        <v/>
      </c>
      <c r="I63" s="342"/>
      <c r="J63" s="342"/>
      <c r="K63" s="342"/>
      <c r="L63" s="342"/>
      <c r="M63" s="342"/>
      <c r="N63" s="342"/>
      <c r="S63" s="87"/>
      <c r="T63" s="87"/>
      <c r="U63" s="87"/>
      <c r="V63" s="87"/>
      <c r="W63" s="87"/>
      <c r="X63" s="87"/>
    </row>
    <row r="64" spans="3:24" s="41" customFormat="1" ht="27.75" customHeight="1" x14ac:dyDescent="0.2">
      <c r="C64" s="88"/>
      <c r="H64" s="345" t="str">
        <f>IF(H59&lt;&gt;"", "                   Type of File(s):    Adobe Portable Document (.pdf)", "")</f>
        <v/>
      </c>
      <c r="I64" s="345"/>
      <c r="J64" s="345"/>
      <c r="K64" s="345"/>
      <c r="L64" s="345"/>
      <c r="M64" s="345"/>
      <c r="N64" s="345"/>
      <c r="S64" s="87"/>
      <c r="T64" s="87"/>
      <c r="U64" s="87"/>
      <c r="V64" s="87"/>
      <c r="W64" s="87"/>
      <c r="X64" s="87"/>
    </row>
    <row r="65" spans="2:24" s="41" customFormat="1" ht="17.25" customHeight="1" x14ac:dyDescent="0.2">
      <c r="C65" s="106"/>
      <c r="E65" s="21"/>
      <c r="F65" s="271"/>
      <c r="G65" s="271"/>
      <c r="H65" s="271"/>
      <c r="I65" s="271"/>
      <c r="J65" s="271"/>
      <c r="L65" s="63"/>
      <c r="S65" s="87"/>
      <c r="T65" s="87"/>
      <c r="U65" s="87"/>
      <c r="V65" s="87"/>
      <c r="W65" s="87"/>
      <c r="X65" s="87"/>
    </row>
    <row r="66" spans="2:24" s="41" customFormat="1" ht="14.25" x14ac:dyDescent="0.2">
      <c r="C66" s="88"/>
      <c r="S66" s="87"/>
      <c r="T66" s="87"/>
      <c r="U66" s="87"/>
      <c r="V66" s="87"/>
      <c r="W66" s="87"/>
      <c r="X66" s="87"/>
    </row>
    <row r="67" spans="2:24" s="41" customFormat="1" ht="18" x14ac:dyDescent="0.25">
      <c r="B67" s="25" t="str">
        <f>IF(OR(J6="No", J68="Yes", J10="Yes"), "Articulation Agreement(s)", "")</f>
        <v/>
      </c>
      <c r="C67" s="64"/>
      <c r="E67" s="79" t="str">
        <f>IF(B67&lt;&gt;"", "&lt;=== Hover cursor here to see definition", "")</f>
        <v/>
      </c>
      <c r="I67" s="8"/>
      <c r="J67" s="8"/>
      <c r="K67" s="8"/>
      <c r="L67" s="8"/>
      <c r="M67" s="8"/>
      <c r="N67" s="8"/>
      <c r="O67" s="8"/>
      <c r="P67" s="8"/>
      <c r="Q67" s="8"/>
      <c r="R67" s="8"/>
      <c r="S67" s="87"/>
      <c r="T67" s="87"/>
      <c r="U67" s="87"/>
      <c r="V67" s="87"/>
      <c r="W67" s="87"/>
      <c r="X67" s="87"/>
    </row>
    <row r="68" spans="2:24" s="41" customFormat="1" ht="45.75" customHeight="1" x14ac:dyDescent="0.2">
      <c r="B68" s="68"/>
      <c r="C68" s="1"/>
      <c r="D68" s="367" t="str">
        <f>'Program Info'!C6</f>
        <v>Does the program sponsor have an articulation agreement(s)?</v>
      </c>
      <c r="E68" s="367"/>
      <c r="F68" s="367"/>
      <c r="G68" s="367"/>
      <c r="H68" s="367"/>
      <c r="I68" s="367"/>
      <c r="J68" s="354">
        <f>'Program Info'!D6</f>
        <v>0</v>
      </c>
      <c r="K68" s="368" t="s">
        <v>428</v>
      </c>
      <c r="L68" s="369"/>
      <c r="M68" s="369"/>
      <c r="N68" s="369"/>
      <c r="O68" s="369"/>
    </row>
    <row r="69" spans="2:24" s="41" customFormat="1" ht="14.25" x14ac:dyDescent="0.2">
      <c r="D69" s="367"/>
      <c r="E69" s="367"/>
      <c r="F69" s="367"/>
      <c r="G69" s="367"/>
      <c r="H69" s="367"/>
      <c r="I69" s="367"/>
      <c r="J69" s="355"/>
      <c r="K69" s="368"/>
      <c r="L69" s="369"/>
      <c r="M69" s="369"/>
      <c r="N69" s="369"/>
      <c r="O69" s="369"/>
      <c r="P69" s="8"/>
      <c r="Q69" s="8"/>
      <c r="R69" s="8"/>
      <c r="S69" s="87"/>
      <c r="T69" s="87"/>
      <c r="U69" s="87"/>
      <c r="V69" s="87"/>
      <c r="W69" s="87"/>
      <c r="X69" s="87"/>
    </row>
    <row r="70" spans="2:24" s="41" customFormat="1" ht="34.5" customHeight="1" x14ac:dyDescent="0.2">
      <c r="C70" s="103" t="str">
        <f>IF(B67&lt;&gt;"", "8.", "")</f>
        <v/>
      </c>
      <c r="D70" s="346" t="str">
        <f>IF($B$67&lt;&gt;"", "Number of articulation agreements:", "")</f>
        <v/>
      </c>
      <c r="E70" s="346"/>
      <c r="F70" s="346"/>
      <c r="G70" s="346"/>
      <c r="H70" s="346"/>
      <c r="I70" s="346"/>
      <c r="J70" s="102"/>
      <c r="K70" s="8"/>
      <c r="L70" s="8"/>
      <c r="M70" s="8"/>
      <c r="N70" s="8"/>
      <c r="O70" s="8"/>
      <c r="P70" s="8"/>
      <c r="Q70" s="8"/>
      <c r="R70" s="8"/>
      <c r="S70" s="87"/>
      <c r="T70" s="87"/>
      <c r="U70" s="87"/>
      <c r="V70" s="87"/>
      <c r="W70" s="87"/>
      <c r="X70" s="87"/>
    </row>
    <row r="71" spans="2:24" s="41" customFormat="1" ht="14.25" x14ac:dyDescent="0.2">
      <c r="I71" s="8"/>
      <c r="J71" s="8"/>
      <c r="K71" s="8"/>
      <c r="L71" s="8"/>
      <c r="M71" s="8"/>
      <c r="N71" s="8"/>
      <c r="O71" s="8"/>
      <c r="P71" s="8"/>
      <c r="Q71" s="8"/>
      <c r="R71" s="8"/>
      <c r="S71" s="87"/>
      <c r="T71" s="87"/>
      <c r="U71" s="87"/>
      <c r="V71" s="87"/>
      <c r="W71" s="87"/>
      <c r="X71" s="87"/>
    </row>
    <row r="72" spans="2:24" s="41" customFormat="1" ht="51" customHeight="1" x14ac:dyDescent="0.2">
      <c r="B72" s="68"/>
      <c r="C72" s="113" t="str">
        <f>IF(J70&lt;&gt;"", "9.","")</f>
        <v/>
      </c>
      <c r="D72" s="346" t="str">
        <f>IF(J70&lt;&gt;"", "Name of educational institution (college) and number of credits granted in the articulation agreement if graduates enroll at the educational institution:","")</f>
        <v/>
      </c>
      <c r="E72" s="346"/>
      <c r="F72" s="346"/>
      <c r="G72" s="346"/>
      <c r="H72" s="346"/>
      <c r="I72" s="346"/>
      <c r="J72" s="346"/>
      <c r="K72" s="346"/>
      <c r="L72" s="8"/>
      <c r="M72" s="8"/>
      <c r="N72" s="8"/>
      <c r="O72" s="8"/>
      <c r="P72" s="8"/>
      <c r="Q72" s="8"/>
      <c r="R72" s="8"/>
      <c r="S72" s="87"/>
      <c r="T72" s="87"/>
      <c r="U72" s="87"/>
      <c r="V72" s="87"/>
      <c r="W72" s="87"/>
      <c r="X72" s="87"/>
    </row>
    <row r="73" spans="2:24" s="41" customFormat="1" ht="18.75" customHeight="1" x14ac:dyDescent="0.2">
      <c r="C73" s="117"/>
      <c r="D73" s="100" t="str">
        <f>IF(J70&gt;=1, "First:     ", "")</f>
        <v/>
      </c>
      <c r="E73" s="364"/>
      <c r="F73" s="364"/>
      <c r="G73" s="364"/>
      <c r="H73" s="364"/>
      <c r="J73" s="119"/>
      <c r="K73" s="8"/>
      <c r="L73" s="8"/>
      <c r="M73" s="8"/>
      <c r="N73" s="8"/>
      <c r="O73" s="8"/>
      <c r="P73" s="8"/>
      <c r="Q73" s="8"/>
      <c r="R73" s="8"/>
      <c r="S73" s="87"/>
      <c r="T73" s="87"/>
      <c r="U73" s="87"/>
      <c r="V73" s="87"/>
      <c r="W73" s="87"/>
      <c r="X73" s="87"/>
    </row>
    <row r="74" spans="2:24" s="41" customFormat="1" ht="18.75" customHeight="1" x14ac:dyDescent="0.2">
      <c r="C74" s="117"/>
      <c r="D74" s="100" t="str">
        <f>IF(J70&gt;=2, "Second:     ", "")</f>
        <v/>
      </c>
      <c r="E74" s="364"/>
      <c r="F74" s="364"/>
      <c r="G74" s="364"/>
      <c r="H74" s="364"/>
      <c r="J74" s="119"/>
      <c r="K74" s="8"/>
      <c r="L74" s="8"/>
      <c r="M74" s="8"/>
      <c r="N74" s="8"/>
      <c r="O74" s="8"/>
      <c r="P74" s="8"/>
      <c r="Q74" s="8"/>
      <c r="R74" s="8"/>
      <c r="S74" s="87"/>
      <c r="T74" s="87"/>
      <c r="U74" s="87"/>
      <c r="V74" s="87"/>
      <c r="W74" s="87"/>
      <c r="X74" s="87"/>
    </row>
    <row r="75" spans="2:24" s="41" customFormat="1" ht="18.75" customHeight="1" x14ac:dyDescent="0.2">
      <c r="C75" s="117"/>
      <c r="D75" s="100" t="str">
        <f>IF(J70&gt;=3, "Third:     ", "")</f>
        <v/>
      </c>
      <c r="E75" s="364"/>
      <c r="F75" s="364"/>
      <c r="G75" s="364"/>
      <c r="H75" s="364"/>
      <c r="J75" s="119"/>
      <c r="K75" s="8"/>
      <c r="L75" s="8"/>
      <c r="M75" s="8"/>
      <c r="N75" s="8"/>
      <c r="O75" s="8"/>
      <c r="P75" s="8"/>
      <c r="Q75" s="8"/>
      <c r="R75" s="8"/>
      <c r="S75" s="87"/>
      <c r="T75" s="87"/>
      <c r="U75" s="87"/>
      <c r="V75" s="87"/>
      <c r="W75" s="87"/>
      <c r="X75" s="87"/>
    </row>
    <row r="76" spans="2:24" s="41" customFormat="1" ht="18.75" customHeight="1" x14ac:dyDescent="0.2">
      <c r="C76" s="117"/>
      <c r="D76" s="100" t="str">
        <f>IF(J70&gt;=4, "Fourth:     ", "")</f>
        <v/>
      </c>
      <c r="E76" s="364"/>
      <c r="F76" s="364"/>
      <c r="G76" s="364"/>
      <c r="H76" s="364"/>
      <c r="J76" s="119"/>
      <c r="K76" s="8"/>
      <c r="L76" s="8"/>
      <c r="M76" s="8"/>
      <c r="N76" s="8"/>
      <c r="O76" s="8"/>
      <c r="P76" s="8"/>
      <c r="Q76" s="8"/>
      <c r="R76" s="8"/>
      <c r="S76" s="87"/>
      <c r="T76" s="87"/>
      <c r="U76" s="87"/>
      <c r="V76" s="87"/>
      <c r="W76" s="87"/>
      <c r="X76" s="87"/>
    </row>
    <row r="77" spans="2:24" s="41" customFormat="1" ht="14.25" x14ac:dyDescent="0.2">
      <c r="I77" s="8"/>
      <c r="J77" s="8"/>
      <c r="K77" s="8"/>
      <c r="L77" s="8"/>
      <c r="M77" s="8"/>
      <c r="N77" s="8"/>
      <c r="O77" s="8"/>
      <c r="P77" s="8"/>
      <c r="Q77" s="8"/>
      <c r="R77" s="8"/>
      <c r="S77" s="87"/>
      <c r="T77" s="87"/>
      <c r="U77" s="87"/>
      <c r="V77" s="87"/>
      <c r="W77" s="87"/>
      <c r="X77" s="87"/>
    </row>
    <row r="78" spans="2:24" s="41" customFormat="1" ht="14.25" x14ac:dyDescent="0.2">
      <c r="C78" s="88"/>
      <c r="S78" s="87"/>
      <c r="T78" s="87"/>
      <c r="U78" s="87"/>
      <c r="V78" s="87"/>
      <c r="W78" s="87"/>
      <c r="X78" s="87"/>
    </row>
    <row r="79" spans="2:24" s="41" customFormat="1" ht="63.75" customHeight="1" x14ac:dyDescent="0.2">
      <c r="C79" s="88"/>
      <c r="D79" s="341" t="str">
        <f>IF(AND(B67&lt;&gt;"",J70=1),"Place a copy of the fully executed articulation agreement in the Documentation folder. "&amp;"This document must be titled with the 'EXACT document name' and must be included as the type of file format listed below (not Word, 97-2003 [.doc], Word 2013 [.docx], or Excel [.xlsx]).", IF(AND(B67&lt;&gt;"",J70&gt;=2),"Place a copy of the fully executed articulation agreements in the Documentation folder.  "&amp;"Each document must be titled with the 'EXACT document name' and must be included as the type of file format listed below (not Word, 97-2003 [.doc], Word 2013 [.docx], or Excel [.xlsx]).",""))</f>
        <v/>
      </c>
      <c r="E79" s="341"/>
      <c r="F79" s="341"/>
      <c r="G79" s="341"/>
      <c r="H79" s="341"/>
      <c r="I79" s="341"/>
      <c r="J79" s="341"/>
      <c r="K79" s="341"/>
      <c r="L79" s="341"/>
      <c r="M79" s="341"/>
      <c r="N79" s="341"/>
      <c r="O79" s="341"/>
      <c r="S79" s="87"/>
      <c r="T79" s="87"/>
      <c r="U79" s="87"/>
      <c r="V79" s="87"/>
      <c r="W79" s="87"/>
      <c r="X79" s="87"/>
    </row>
    <row r="80" spans="2:24" s="41" customFormat="1" ht="27" customHeight="1" x14ac:dyDescent="0.2">
      <c r="C80" s="88"/>
      <c r="H80" s="347" t="str">
        <f>IF(AND(B67&lt;&gt;"",J70=1),"        Exact Document Name:", IF(AND(B67&lt;&gt;"",J70&gt;=2), "            Exact Document Name (for each):", ""))</f>
        <v/>
      </c>
      <c r="I80" s="347"/>
      <c r="J80" s="347"/>
      <c r="K80" s="347"/>
      <c r="L80" s="347"/>
      <c r="M80" s="347"/>
      <c r="N80" s="347"/>
      <c r="S80" s="87"/>
      <c r="T80" s="87"/>
      <c r="U80" s="87"/>
      <c r="V80" s="87"/>
      <c r="W80" s="87"/>
      <c r="X80" s="87"/>
    </row>
    <row r="81" spans="2:27" s="41" customFormat="1" ht="30.75" customHeight="1" x14ac:dyDescent="0.2">
      <c r="C81" s="88"/>
      <c r="H81" s="342" t="str">
        <f>IF(J70&gt;=1, "                                               05 Articulation 01", "")</f>
        <v/>
      </c>
      <c r="I81" s="342"/>
      <c r="J81" s="342"/>
      <c r="K81" s="342"/>
      <c r="L81" s="342"/>
      <c r="M81" s="342"/>
      <c r="N81" s="342"/>
      <c r="S81" s="87"/>
      <c r="T81" s="87"/>
      <c r="U81" s="87"/>
      <c r="V81" s="87"/>
      <c r="W81" s="87"/>
      <c r="X81" s="87"/>
    </row>
    <row r="82" spans="2:27" s="41" customFormat="1" ht="29.25" customHeight="1" x14ac:dyDescent="0.2">
      <c r="C82" s="88"/>
      <c r="E82" s="118"/>
      <c r="F82" s="118"/>
      <c r="G82" s="118"/>
      <c r="H82" s="342" t="str">
        <f>IF(J70&gt;=2, "                                               05 Articulation 02", "")</f>
        <v/>
      </c>
      <c r="I82" s="342"/>
      <c r="J82" s="342"/>
      <c r="K82" s="342"/>
      <c r="L82" s="342"/>
      <c r="M82" s="342"/>
      <c r="N82" s="342"/>
      <c r="S82" s="87"/>
      <c r="T82" s="87"/>
      <c r="U82" s="87"/>
      <c r="V82" s="87"/>
      <c r="W82" s="87"/>
      <c r="X82" s="87"/>
    </row>
    <row r="83" spans="2:27" s="41" customFormat="1" ht="27" customHeight="1" x14ac:dyDescent="0.2">
      <c r="C83" s="88"/>
      <c r="H83" s="342" t="str">
        <f>IF(J70&gt;=3, "                                               05 Articulation 03", "")</f>
        <v/>
      </c>
      <c r="I83" s="342"/>
      <c r="J83" s="342"/>
      <c r="K83" s="342"/>
      <c r="L83" s="342"/>
      <c r="M83" s="342"/>
      <c r="N83" s="342"/>
      <c r="S83" s="87"/>
      <c r="T83" s="87"/>
      <c r="U83" s="87"/>
      <c r="V83" s="87"/>
      <c r="W83" s="87"/>
      <c r="X83" s="87"/>
    </row>
    <row r="84" spans="2:27" s="41" customFormat="1" ht="27" customHeight="1" x14ac:dyDescent="0.2">
      <c r="C84" s="88"/>
      <c r="H84" s="342" t="str">
        <f>IF(J70=4, "                                               05 Articulation 04", "")</f>
        <v/>
      </c>
      <c r="I84" s="342"/>
      <c r="J84" s="342"/>
      <c r="K84" s="342"/>
      <c r="L84" s="342"/>
      <c r="M84" s="342"/>
      <c r="N84" s="342"/>
      <c r="S84" s="87"/>
      <c r="T84" s="87"/>
      <c r="U84" s="87"/>
      <c r="V84" s="87"/>
      <c r="W84" s="87"/>
      <c r="X84" s="87"/>
    </row>
    <row r="85" spans="2:27" s="41" customFormat="1" ht="27.75" customHeight="1" x14ac:dyDescent="0.2">
      <c r="C85" s="88"/>
      <c r="H85" s="344" t="str">
        <f>IF(B67&lt;&gt;"", "                   Type of File(s):    Adobe Portable Document (.pdf)", "")</f>
        <v/>
      </c>
      <c r="I85" s="344"/>
      <c r="J85" s="344"/>
      <c r="K85" s="344"/>
      <c r="L85" s="344"/>
      <c r="M85" s="344"/>
      <c r="N85" s="344"/>
      <c r="S85" s="87"/>
      <c r="T85" s="87"/>
      <c r="U85" s="87"/>
      <c r="V85" s="87"/>
      <c r="W85" s="87"/>
      <c r="X85" s="87"/>
    </row>
    <row r="86" spans="2:27" s="41" customFormat="1" ht="21" customHeight="1" x14ac:dyDescent="0.2">
      <c r="C86" s="88"/>
      <c r="S86" s="87"/>
      <c r="T86" s="87"/>
      <c r="U86" s="87"/>
      <c r="V86" s="87"/>
      <c r="W86" s="87"/>
      <c r="X86" s="87"/>
    </row>
    <row r="87" spans="2:27" s="41" customFormat="1" ht="21" customHeight="1" x14ac:dyDescent="0.2">
      <c r="C87" s="88"/>
      <c r="D87" s="105"/>
      <c r="E87" s="362"/>
      <c r="F87" s="314"/>
      <c r="G87" s="314"/>
      <c r="H87" s="314"/>
      <c r="I87" s="314"/>
      <c r="J87" s="314"/>
      <c r="K87" s="271"/>
      <c r="L87" s="63"/>
      <c r="S87" s="87"/>
      <c r="T87" s="87"/>
      <c r="U87" s="87"/>
      <c r="V87" s="87"/>
      <c r="W87" s="87"/>
      <c r="X87" s="87"/>
    </row>
    <row r="88" spans="2:27" s="41" customFormat="1" ht="30" customHeight="1" x14ac:dyDescent="0.25">
      <c r="B88" s="4" t="str">
        <f>IF(J10="Yes", "Consortium Agreement","")</f>
        <v/>
      </c>
      <c r="C88" s="64"/>
      <c r="E88" s="79" t="str">
        <f>IF(B88&lt;&gt;"", "&lt;=== Hover cursor here to see definition", "")</f>
        <v/>
      </c>
      <c r="I88" s="8"/>
      <c r="J88" s="8"/>
      <c r="K88" s="8"/>
      <c r="L88" s="8"/>
      <c r="M88" s="8"/>
      <c r="N88" s="8"/>
      <c r="O88" s="383" t="str">
        <f>IF(B88&lt;&gt;"", "Link to Available Form      (optional) ===&gt;", "")</f>
        <v/>
      </c>
      <c r="P88" s="383"/>
      <c r="Q88" s="383"/>
      <c r="R88" s="380" t="str">
        <f>IF(B88&lt;&gt;"", "Consortium Sponsorship Agreement - Sample", "")</f>
        <v/>
      </c>
      <c r="S88" s="380"/>
      <c r="T88" s="380"/>
      <c r="U88" s="380"/>
      <c r="V88" s="380"/>
      <c r="W88" s="379"/>
      <c r="X88" s="379"/>
      <c r="Y88" s="379"/>
      <c r="Z88" s="379"/>
      <c r="AA88" s="379"/>
    </row>
    <row r="89" spans="2:27" s="41" customFormat="1" ht="22.5" customHeight="1" x14ac:dyDescent="0.2">
      <c r="B89" s="110"/>
      <c r="D89" s="372" t="str">
        <f>IF($B$88&lt;&gt;"", "CoAEMSP provides a form.  See available link to the right ====&gt;", "")</f>
        <v/>
      </c>
      <c r="E89" s="372"/>
      <c r="F89" s="372"/>
      <c r="G89" s="372"/>
      <c r="H89" s="372"/>
      <c r="I89" s="372"/>
      <c r="J89" s="372"/>
    </row>
    <row r="90" spans="2:27" s="41" customFormat="1" ht="15" customHeight="1" x14ac:dyDescent="0.2">
      <c r="I90" s="8"/>
      <c r="J90" s="8"/>
      <c r="K90" s="8"/>
      <c r="L90" s="8"/>
      <c r="M90" s="8"/>
      <c r="N90" s="8"/>
      <c r="O90" s="8"/>
      <c r="P90" s="8"/>
      <c r="Q90" s="8"/>
      <c r="R90" s="8"/>
    </row>
    <row r="91" spans="2:27" s="41" customFormat="1" ht="126.95" customHeight="1" x14ac:dyDescent="0.25">
      <c r="C91" s="120" t="str">
        <f>IF($B$88&lt;&gt;"", "10.","")</f>
        <v/>
      </c>
      <c r="D91" s="346" t="str">
        <f>IF($B$88&lt;&gt;"", "A consortium agreement is an agreement, contract, or memorandum of understanding between two entities to provide governance of a program.  "&amp;"Consortium sponsors must identify all current members of the consortium where CoAEMSP Letter of Review (LoR) or CAAHEP accreditation is referenced.
List all consortium member institutions: 
(at least one member must meet Standard I.A. requirements)", "")</f>
        <v/>
      </c>
      <c r="E91" s="346"/>
      <c r="F91" s="346"/>
      <c r="G91" s="346"/>
      <c r="H91" s="346"/>
      <c r="I91" s="382" t="str">
        <f>IF($B$88&lt;&gt;"", "Indicate Standard I.A. member(s): 
(Please Select)", "")</f>
        <v/>
      </c>
      <c r="J91" s="382"/>
      <c r="K91" s="271"/>
      <c r="L91" s="8"/>
      <c r="M91" s="8"/>
      <c r="N91" s="8"/>
      <c r="O91" s="8"/>
      <c r="P91" s="8"/>
      <c r="Q91" s="8"/>
      <c r="R91" s="8"/>
    </row>
    <row r="92" spans="2:27" s="41" customFormat="1" ht="14.25" x14ac:dyDescent="0.2">
      <c r="D92" s="364"/>
      <c r="E92" s="364"/>
      <c r="F92" s="364"/>
      <c r="G92" s="364"/>
      <c r="H92" s="231"/>
      <c r="I92" s="381"/>
      <c r="J92" s="381"/>
      <c r="K92" s="271"/>
      <c r="L92" s="8"/>
      <c r="M92" s="8"/>
      <c r="N92" s="8"/>
      <c r="O92" s="8"/>
      <c r="P92" s="8"/>
      <c r="Q92" s="8"/>
      <c r="R92" s="8"/>
    </row>
    <row r="93" spans="2:27" s="41" customFormat="1" ht="14.25" x14ac:dyDescent="0.2">
      <c r="D93" s="364"/>
      <c r="E93" s="364"/>
      <c r="F93" s="364"/>
      <c r="G93" s="364"/>
      <c r="H93" s="231"/>
      <c r="I93" s="381"/>
      <c r="J93" s="381"/>
      <c r="K93" s="271"/>
      <c r="L93" s="8"/>
      <c r="M93" s="8"/>
      <c r="N93" s="8"/>
      <c r="O93" s="8"/>
      <c r="P93" s="8"/>
      <c r="Q93" s="8"/>
      <c r="R93" s="8"/>
    </row>
    <row r="94" spans="2:27" s="41" customFormat="1" ht="14.25" x14ac:dyDescent="0.2">
      <c r="D94" s="364"/>
      <c r="E94" s="364"/>
      <c r="F94" s="364"/>
      <c r="G94" s="364"/>
      <c r="H94" s="231"/>
      <c r="I94" s="381"/>
      <c r="J94" s="381"/>
      <c r="K94" s="271"/>
      <c r="L94" s="8"/>
      <c r="M94" s="8"/>
      <c r="N94" s="8"/>
      <c r="O94" s="8"/>
      <c r="P94" s="8"/>
      <c r="Q94" s="121"/>
      <c r="R94" s="8"/>
    </row>
    <row r="95" spans="2:27" s="41" customFormat="1" ht="14.25" x14ac:dyDescent="0.2">
      <c r="C95" s="88"/>
      <c r="D95" s="364"/>
      <c r="E95" s="364"/>
      <c r="F95" s="364"/>
      <c r="G95" s="364"/>
      <c r="H95" s="231"/>
      <c r="I95" s="381"/>
      <c r="J95" s="381"/>
    </row>
    <row r="96" spans="2:27" s="41" customFormat="1" ht="14.25" x14ac:dyDescent="0.2">
      <c r="I96" s="8"/>
      <c r="J96" s="8"/>
      <c r="K96" s="8"/>
      <c r="L96" s="8"/>
      <c r="M96" s="8"/>
      <c r="N96" s="8"/>
      <c r="O96" s="8"/>
      <c r="P96" s="8"/>
      <c r="Q96" s="8"/>
      <c r="R96" s="8"/>
    </row>
    <row r="97" spans="3:22" s="41" customFormat="1" ht="14.25" x14ac:dyDescent="0.2">
      <c r="C97" s="88"/>
    </row>
    <row r="98" spans="3:22" s="41" customFormat="1" ht="64.5" customHeight="1" x14ac:dyDescent="0.2">
      <c r="C98" s="88"/>
      <c r="D98" s="341" t="str">
        <f>IF($B$88&lt;&gt;"","Place a copy of the fully executed consortium agreement in the Documentation folder.  "&amp;"This document must be titled with the 'EXACT document name' and must be included as the type of file format listed below (not Word 97-2003 [.doc], Word 2013 [.docx], or Excel [.xlsx]).","")</f>
        <v/>
      </c>
      <c r="E98" s="341"/>
      <c r="F98" s="341"/>
      <c r="G98" s="341"/>
      <c r="H98" s="341"/>
      <c r="I98" s="341"/>
      <c r="J98" s="341"/>
      <c r="K98" s="341"/>
      <c r="L98" s="341"/>
      <c r="M98" s="341"/>
      <c r="N98" s="341"/>
      <c r="O98" s="341"/>
      <c r="S98" s="63" t="s">
        <v>29</v>
      </c>
    </row>
    <row r="99" spans="3:22" s="41" customFormat="1" ht="53.25" customHeight="1" x14ac:dyDescent="0.25">
      <c r="C99" s="88"/>
      <c r="E99" s="122"/>
      <c r="F99" s="122"/>
      <c r="G99" s="122"/>
      <c r="H99" s="342" t="str">
        <f>IF(B88&lt;&gt;"", "                Exact Document Name:      06 Consortium Agreement", "")</f>
        <v/>
      </c>
      <c r="I99" s="342"/>
      <c r="J99" s="342"/>
      <c r="K99" s="342"/>
      <c r="L99" s="342"/>
      <c r="M99" s="342"/>
      <c r="N99" s="342"/>
      <c r="S99" s="63" t="s">
        <v>30</v>
      </c>
    </row>
    <row r="100" spans="3:22" s="41" customFormat="1" ht="24" customHeight="1" x14ac:dyDescent="0.2">
      <c r="C100" s="106"/>
      <c r="E100" s="343"/>
      <c r="F100" s="343"/>
      <c r="G100" s="343"/>
      <c r="H100" s="344" t="str">
        <f>IF(B88&lt;&gt;"", "                          Type of File:      Adobe Portable Document (.pdf)", "")</f>
        <v/>
      </c>
      <c r="I100" s="344"/>
      <c r="J100" s="344"/>
      <c r="K100" s="344"/>
      <c r="L100" s="344"/>
      <c r="M100" s="344"/>
      <c r="N100" s="344"/>
      <c r="S100" s="63" t="s">
        <v>31</v>
      </c>
    </row>
    <row r="101" spans="3:22" s="41" customFormat="1" ht="14.25" x14ac:dyDescent="0.2">
      <c r="C101" s="88"/>
    </row>
    <row r="102" spans="3:22" s="41" customFormat="1" ht="92.25" customHeight="1" x14ac:dyDescent="0.2">
      <c r="C102" s="88"/>
      <c r="D102" s="341" t="str">
        <f>IF($B$88&lt;&gt;"","The institutional accrediting agency of the Standard I.A. member of the consortium must be notified of the consortium program." &amp; "  Place a copy of the formal written letter that was sent to the institutional accrediting agency identified in number 3 above in the Documentation folder.  "&amp;"This document must be titled with the 'EXACT document name' and must be included as the type of file format listed below (not Word 97-2003 [.doc], Word 2013 [.docx], or Excel [.xlsx]).","")</f>
        <v/>
      </c>
      <c r="E102" s="341"/>
      <c r="F102" s="341"/>
      <c r="G102" s="341"/>
      <c r="H102" s="341"/>
      <c r="I102" s="341"/>
      <c r="J102" s="341"/>
      <c r="K102" s="341"/>
      <c r="L102" s="341"/>
      <c r="M102" s="341"/>
      <c r="N102" s="341"/>
      <c r="O102" s="341"/>
      <c r="S102" s="63" t="s">
        <v>29</v>
      </c>
    </row>
    <row r="103" spans="3:22" s="41" customFormat="1" ht="53.25" customHeight="1" x14ac:dyDescent="0.25">
      <c r="C103" s="88"/>
      <c r="E103" s="122"/>
      <c r="F103" s="122"/>
      <c r="G103" s="122"/>
      <c r="H103" s="342" t="str">
        <f>IF(B88&lt;&gt;"", "                 Exact Document Name:     07 Notification", "")</f>
        <v/>
      </c>
      <c r="I103" s="342"/>
      <c r="J103" s="342"/>
      <c r="K103" s="342"/>
      <c r="L103" s="342"/>
      <c r="M103" s="342"/>
      <c r="N103" s="342"/>
      <c r="S103" s="63" t="s">
        <v>30</v>
      </c>
    </row>
    <row r="104" spans="3:22" s="41" customFormat="1" ht="24" customHeight="1" x14ac:dyDescent="0.2">
      <c r="C104" s="106"/>
      <c r="E104" s="343"/>
      <c r="F104" s="343"/>
      <c r="G104" s="343"/>
      <c r="H104" s="344" t="str">
        <f>IF(D102&lt;&gt;"", "                          Type of File:      Adobe Portable Document (.pdf)", "")</f>
        <v/>
      </c>
      <c r="I104" s="344"/>
      <c r="J104" s="344"/>
      <c r="K104" s="344"/>
      <c r="L104" s="344"/>
      <c r="M104" s="344"/>
      <c r="N104" s="344"/>
      <c r="S104" s="63" t="s">
        <v>31</v>
      </c>
    </row>
    <row r="105" spans="3:22" s="41" customFormat="1" ht="14.25" x14ac:dyDescent="0.2">
      <c r="C105" s="88"/>
    </row>
    <row r="106" spans="3:22" s="41" customFormat="1" ht="92.25" customHeight="1" x14ac:dyDescent="0.2">
      <c r="C106" s="88"/>
      <c r="D106" s="341" t="str">
        <f>IF($B$88&lt;&gt;"","Place a copy of a formal written letter from the CEO/President of the eligible Standard I.A member as evidence of the sponsorship of the consortium" &amp; " and evidence of valid institutional accreditation in the Documentation folder.  "&amp;"This document must be titled with the 'EXACT document name' and must be included as the type of file format listed below (not Word 97-2003 [.doc], Word 2013 [.docx], or Excel [.xlsx]).","")</f>
        <v/>
      </c>
      <c r="E106" s="341"/>
      <c r="F106" s="341"/>
      <c r="G106" s="341"/>
      <c r="H106" s="341"/>
      <c r="I106" s="341"/>
      <c r="J106" s="341"/>
      <c r="K106" s="341"/>
      <c r="L106" s="341"/>
      <c r="M106" s="341"/>
      <c r="N106" s="341"/>
      <c r="O106" s="341"/>
      <c r="S106" s="63" t="s">
        <v>29</v>
      </c>
    </row>
    <row r="107" spans="3:22" s="41" customFormat="1" ht="53.25" customHeight="1" x14ac:dyDescent="0.25">
      <c r="C107" s="88"/>
      <c r="E107" s="122"/>
      <c r="F107" s="122"/>
      <c r="G107" s="122"/>
      <c r="H107" s="342" t="str">
        <f>IF(B88&lt;&gt;"", "               Exact Document Name:      08 President Letter", "")</f>
        <v/>
      </c>
      <c r="I107" s="342"/>
      <c r="J107" s="342"/>
      <c r="K107" s="342"/>
      <c r="L107" s="342"/>
      <c r="M107" s="342"/>
      <c r="N107" s="342"/>
      <c r="S107" s="63" t="s">
        <v>30</v>
      </c>
    </row>
    <row r="108" spans="3:22" s="41" customFormat="1" ht="24" customHeight="1" x14ac:dyDescent="0.2">
      <c r="C108" s="106"/>
      <c r="E108" s="343"/>
      <c r="F108" s="343"/>
      <c r="G108" s="343"/>
      <c r="H108" s="344" t="str">
        <f>IF(D106&lt;&gt;"", "                          Type of File:      Adobe Portable Document (.pdf)", "")</f>
        <v/>
      </c>
      <c r="I108" s="344"/>
      <c r="J108" s="344"/>
      <c r="K108" s="344"/>
      <c r="L108" s="344"/>
      <c r="M108" s="344"/>
      <c r="N108" s="344"/>
      <c r="S108" s="63" t="s">
        <v>31</v>
      </c>
    </row>
    <row r="109" spans="3:22" s="41" customFormat="1" ht="21" customHeight="1" x14ac:dyDescent="0.2">
      <c r="C109" s="88"/>
      <c r="S109" s="87"/>
    </row>
    <row r="110" spans="3:22" s="41" customFormat="1" ht="21" customHeight="1" x14ac:dyDescent="0.2">
      <c r="C110" s="88"/>
      <c r="S110" s="87"/>
    </row>
    <row r="111" spans="3:22" s="41" customFormat="1" ht="56.25" customHeight="1" x14ac:dyDescent="0.2">
      <c r="O111" s="353" t="str">
        <f>IF(J10="Yes", "Link to Available Form      (optional) ===&gt;", "")</f>
        <v/>
      </c>
      <c r="P111" s="353"/>
      <c r="Q111" s="353"/>
      <c r="R111" s="356" t="str">
        <f>IF(J10="Yes", "Consortium Governing Body 
Meeting Minutes", "")</f>
        <v/>
      </c>
      <c r="S111" s="357"/>
      <c r="T111" s="357"/>
      <c r="U111" s="357"/>
      <c r="V111" s="357"/>
    </row>
    <row r="112" spans="3:22" s="41" customFormat="1" ht="50.25" customHeight="1" x14ac:dyDescent="0.2">
      <c r="C112" s="123" t="str">
        <f>IF($B$88&lt;&gt;"", "11.","")</f>
        <v/>
      </c>
      <c r="D112" s="340" t="str">
        <f>IF($B$88&lt;&gt;"", "List the most recent three (3) consecutive years of consortium governing body meetings.  Place an N/A in the box(es) if no consortium governing body meeting minutes are available and briefly explain the reason below:", "")</f>
        <v/>
      </c>
      <c r="E112" s="340"/>
      <c r="F112" s="340"/>
      <c r="G112" s="340"/>
      <c r="H112" s="340"/>
      <c r="I112" s="340"/>
      <c r="J112" s="340"/>
      <c r="K112" s="340"/>
      <c r="L112" s="340"/>
      <c r="M112" s="8"/>
      <c r="N112" s="8"/>
      <c r="O112" s="8"/>
      <c r="P112" s="8"/>
      <c r="Q112" s="8"/>
      <c r="R112" s="8"/>
    </row>
    <row r="113" spans="2:19" s="41" customFormat="1" ht="42.75" customHeight="1" x14ac:dyDescent="0.2">
      <c r="D113" s="60" t="str">
        <f>IF($B$88&lt;&gt;"", "First: 
(most recent mm/yyyy)","")</f>
        <v/>
      </c>
      <c r="E113" s="124"/>
      <c r="F113" s="100" t="str">
        <f>IF($B$88&lt;&gt;"", "Second:","")</f>
        <v/>
      </c>
      <c r="G113" s="124"/>
      <c r="H113" s="100" t="str">
        <f>IF($B$88&lt;&gt;"", "Third:","")</f>
        <v/>
      </c>
      <c r="I113" s="124"/>
      <c r="J113" s="273"/>
      <c r="K113" s="273"/>
      <c r="L113" s="8"/>
      <c r="M113" s="8"/>
      <c r="N113" s="8"/>
      <c r="O113" s="8"/>
      <c r="P113" s="8"/>
      <c r="Q113" s="8"/>
      <c r="R113" s="8"/>
    </row>
    <row r="114" spans="2:19" s="41" customFormat="1" ht="14.25" x14ac:dyDescent="0.2">
      <c r="H114" s="273"/>
      <c r="I114" s="273"/>
      <c r="J114" s="273"/>
      <c r="K114" s="273"/>
      <c r="L114" s="8"/>
      <c r="M114" s="8"/>
      <c r="N114" s="8"/>
      <c r="O114" s="8"/>
      <c r="P114" s="8"/>
      <c r="Q114" s="8"/>
      <c r="R114" s="8"/>
    </row>
    <row r="115" spans="2:19" s="41" customFormat="1" ht="17.25" customHeight="1" x14ac:dyDescent="0.2">
      <c r="D115" s="41" t="str">
        <f>IF($B$88&lt;&gt;"", "If N/A is in any of the boxes, briefly explain:", "")</f>
        <v/>
      </c>
      <c r="I115" s="8"/>
      <c r="J115" s="8"/>
      <c r="K115" s="8"/>
      <c r="L115" s="8"/>
      <c r="M115" s="8"/>
      <c r="N115" s="8"/>
      <c r="O115" s="8"/>
      <c r="P115" s="8"/>
      <c r="Q115" s="8"/>
      <c r="R115" s="8"/>
    </row>
    <row r="116" spans="2:19" s="41" customFormat="1" ht="101.25" customHeight="1" x14ac:dyDescent="0.2">
      <c r="C116" s="88"/>
      <c r="D116" s="384"/>
      <c r="E116" s="384"/>
      <c r="F116" s="384"/>
      <c r="G116" s="384"/>
      <c r="H116" s="384"/>
      <c r="I116" s="384"/>
      <c r="J116" s="384"/>
      <c r="K116" s="384"/>
      <c r="L116" s="384"/>
      <c r="M116" s="384"/>
      <c r="N116" s="384"/>
    </row>
    <row r="117" spans="2:19" s="41" customFormat="1" ht="14.25" x14ac:dyDescent="0.2">
      <c r="C117" s="88"/>
    </row>
    <row r="118" spans="2:19" s="41" customFormat="1" ht="14.25" x14ac:dyDescent="0.2">
      <c r="I118" s="8"/>
      <c r="J118" s="8"/>
      <c r="K118" s="8"/>
      <c r="L118" s="8"/>
      <c r="M118" s="8"/>
      <c r="N118" s="8"/>
      <c r="O118" s="8"/>
      <c r="P118" s="8"/>
      <c r="Q118" s="8"/>
      <c r="R118" s="8"/>
    </row>
    <row r="119" spans="2:19" s="43" customFormat="1" ht="26.25" customHeight="1" x14ac:dyDescent="0.2">
      <c r="C119" s="123" t="str">
        <f>IF($B$88&lt;&gt;"", "12.","")</f>
        <v/>
      </c>
      <c r="D119" s="125" t="str">
        <f>IF($B$88&lt;&gt;"", "Name of the chair of the consortium governing body and the consortium member representing:", "")</f>
        <v/>
      </c>
      <c r="I119" s="274"/>
      <c r="J119" s="274"/>
      <c r="K119" s="274"/>
      <c r="L119" s="8"/>
      <c r="M119" s="121"/>
      <c r="N119" s="121"/>
      <c r="O119" s="121"/>
      <c r="P119" s="121"/>
      <c r="Q119" s="121"/>
      <c r="R119" s="121"/>
    </row>
    <row r="120" spans="2:19" s="41" customFormat="1" ht="21.75" customHeight="1" x14ac:dyDescent="0.2">
      <c r="D120" s="364"/>
      <c r="E120" s="364"/>
      <c r="F120" s="364"/>
      <c r="G120" s="364"/>
      <c r="H120" s="364"/>
      <c r="I120" s="364"/>
      <c r="J120" s="364"/>
      <c r="K120" s="8"/>
      <c r="L120" s="8"/>
      <c r="M120" s="8"/>
      <c r="N120" s="8"/>
      <c r="O120" s="8"/>
      <c r="P120" s="8"/>
      <c r="Q120" s="8"/>
      <c r="R120" s="8"/>
    </row>
    <row r="121" spans="2:19" s="41" customFormat="1" ht="14.25" x14ac:dyDescent="0.2">
      <c r="C121" s="88"/>
    </row>
    <row r="122" spans="2:19" s="41" customFormat="1" ht="22.5" customHeight="1" x14ac:dyDescent="0.2">
      <c r="B122" s="110"/>
      <c r="D122" s="372" t="str">
        <f>IF($B$88&lt;&gt;"", "CoAEMSP provides a form.  See available link to the right ====&gt;", "")</f>
        <v/>
      </c>
      <c r="E122" s="372"/>
      <c r="F122" s="372"/>
      <c r="G122" s="372"/>
      <c r="H122" s="372"/>
      <c r="I122" s="372"/>
      <c r="J122" s="372"/>
    </row>
    <row r="123" spans="2:19" s="41" customFormat="1" ht="14.25" x14ac:dyDescent="0.2">
      <c r="I123" s="8"/>
      <c r="J123" s="8"/>
      <c r="K123" s="8"/>
      <c r="L123" s="8"/>
      <c r="M123" s="8"/>
      <c r="N123" s="8"/>
      <c r="O123" s="8"/>
      <c r="P123" s="8"/>
      <c r="Q123" s="8"/>
      <c r="R123" s="8"/>
    </row>
    <row r="124" spans="2:19" s="41" customFormat="1" ht="30.75" customHeight="1" x14ac:dyDescent="0.2">
      <c r="C124" s="126" t="str">
        <f>IF($B$88&lt;&gt;"", "Please Note:  Consortium Governing Body Meeting Minutes are separate from program Advisory Committee Meeting Minutes.", "")</f>
        <v/>
      </c>
      <c r="D124" s="127"/>
      <c r="E124" s="127"/>
      <c r="F124" s="127"/>
      <c r="G124" s="127"/>
      <c r="H124" s="127"/>
      <c r="I124" s="127"/>
      <c r="J124" s="127"/>
      <c r="K124" s="127"/>
      <c r="L124" s="127"/>
      <c r="M124" s="127"/>
      <c r="N124" s="8"/>
      <c r="O124" s="8"/>
      <c r="P124" s="8"/>
      <c r="Q124" s="8"/>
      <c r="R124" s="8"/>
    </row>
    <row r="125" spans="2:19" s="41" customFormat="1" ht="65.25" customHeight="1" x14ac:dyDescent="0.2">
      <c r="C125" s="88"/>
      <c r="D125" s="341" t="str">
        <f>IF($B$88&lt;&gt;"","Place a copy of the consortium governing body meeting minutes from each of the dates listed above in the Documentation folder.  "&amp;"Each document must be titled with the 'EXACT document name' and must be included as the type of file format listed below (not Word 97-2003 [.doc], Word 2013 [.docx], or Excel [.xlsx]).","")</f>
        <v/>
      </c>
      <c r="E125" s="341"/>
      <c r="F125" s="341"/>
      <c r="G125" s="341"/>
      <c r="H125" s="341"/>
      <c r="I125" s="341"/>
      <c r="J125" s="341"/>
      <c r="K125" s="341"/>
      <c r="L125" s="341"/>
      <c r="M125" s="341"/>
      <c r="N125" s="341"/>
      <c r="O125" s="341"/>
      <c r="S125" s="63" t="s">
        <v>29</v>
      </c>
    </row>
    <row r="126" spans="2:19" s="41" customFormat="1" ht="27" customHeight="1" x14ac:dyDescent="0.2">
      <c r="C126" s="88"/>
      <c r="H126" s="347" t="str">
        <f>IF(AND(E113="",G113="",I113=""),"                    No dates have been provided above","        Exact Document Name (for each):")</f>
        <v xml:space="preserve">                    No dates have been provided above</v>
      </c>
      <c r="I126" s="347"/>
      <c r="J126" s="347"/>
      <c r="K126" s="347"/>
      <c r="L126" s="347"/>
      <c r="M126" s="347"/>
      <c r="N126" s="347"/>
      <c r="S126" s="63" t="s">
        <v>30</v>
      </c>
    </row>
    <row r="127" spans="2:19" s="41" customFormat="1" ht="30.75" customHeight="1" x14ac:dyDescent="0.2">
      <c r="C127" s="88"/>
      <c r="H127" s="342" t="str">
        <f>IF(OR(E113="N/A",E113="",E113="na"),"","                                            09 Consortium Minutes 01")</f>
        <v/>
      </c>
      <c r="I127" s="342"/>
      <c r="J127" s="342"/>
      <c r="K127" s="342"/>
      <c r="L127" s="342"/>
      <c r="M127" s="342"/>
      <c r="N127" s="342"/>
      <c r="S127" s="63" t="s">
        <v>30</v>
      </c>
    </row>
    <row r="128" spans="2:19" s="41" customFormat="1" ht="29.25" customHeight="1" x14ac:dyDescent="0.2">
      <c r="C128" s="88"/>
      <c r="E128" s="118"/>
      <c r="F128" s="118"/>
      <c r="G128" s="118"/>
      <c r="H128" s="342" t="str">
        <f>IF(OR(G113="N/A",G113="",G113="na"),"","                                            09 Consortium Minutes 02")</f>
        <v/>
      </c>
      <c r="I128" s="342"/>
      <c r="J128" s="342"/>
      <c r="K128" s="342"/>
      <c r="L128" s="342"/>
      <c r="M128" s="342"/>
      <c r="N128" s="342"/>
      <c r="S128" s="63" t="s">
        <v>30</v>
      </c>
    </row>
    <row r="129" spans="2:19" s="41" customFormat="1" ht="27" customHeight="1" x14ac:dyDescent="0.2">
      <c r="C129" s="88"/>
      <c r="H129" s="342" t="str">
        <f>IF(OR(I113="N/A",I113="",I113="na"),"","                                            09 Consortium Minutes 03")</f>
        <v/>
      </c>
      <c r="I129" s="342"/>
      <c r="J129" s="342"/>
      <c r="K129" s="342"/>
      <c r="L129" s="342"/>
      <c r="M129" s="342"/>
      <c r="N129" s="342"/>
      <c r="S129" s="63" t="s">
        <v>30</v>
      </c>
    </row>
    <row r="130" spans="2:19" s="41" customFormat="1" ht="27.75" customHeight="1" x14ac:dyDescent="0.2">
      <c r="C130" s="88"/>
      <c r="H130" s="344" t="str">
        <f>IF(OR(H127&lt;&gt;"", H128&lt;&gt;"", H129&lt;&gt;""), "                   Type of File(s):    Adobe Portable Document (.pdf)", "")</f>
        <v/>
      </c>
      <c r="I130" s="344"/>
      <c r="J130" s="344"/>
      <c r="K130" s="344"/>
      <c r="L130" s="344"/>
      <c r="M130" s="344"/>
      <c r="N130" s="344"/>
      <c r="S130" s="63" t="s">
        <v>30</v>
      </c>
    </row>
    <row r="131" spans="2:19" s="41" customFormat="1" ht="21" customHeight="1" x14ac:dyDescent="0.2">
      <c r="C131" s="88"/>
      <c r="S131" s="87"/>
    </row>
    <row r="132" spans="2:19" s="41" customFormat="1" ht="14.25" x14ac:dyDescent="0.2">
      <c r="I132" s="8"/>
      <c r="J132" s="8"/>
      <c r="K132" s="8"/>
      <c r="L132" s="8"/>
      <c r="M132" s="8"/>
      <c r="N132" s="8"/>
      <c r="O132" s="8"/>
      <c r="P132" s="8"/>
      <c r="Q132" s="8"/>
      <c r="R132" s="8"/>
    </row>
    <row r="133" spans="2:19" s="41" customFormat="1" ht="14.25" x14ac:dyDescent="0.2">
      <c r="C133" s="88"/>
    </row>
    <row r="134" spans="2:19" s="41" customFormat="1" ht="24" customHeight="1" x14ac:dyDescent="0.25">
      <c r="B134" s="378" t="s">
        <v>207</v>
      </c>
      <c r="C134" s="378"/>
      <c r="D134" s="378"/>
      <c r="E134" s="378"/>
      <c r="F134" s="378"/>
      <c r="G134" s="378"/>
      <c r="K134" s="64"/>
    </row>
    <row r="137" spans="2:19" s="270" customFormat="1" ht="27" customHeight="1" x14ac:dyDescent="0.4">
      <c r="B137" s="310" t="str">
        <f>IF('Title Page'!D3&lt;&gt;"Please Select",'Title Page'!D3,"")</f>
        <v/>
      </c>
      <c r="C137" s="310"/>
      <c r="D137" s="310"/>
      <c r="E137" s="310"/>
      <c r="F137" s="310"/>
      <c r="G137" s="310"/>
      <c r="H137" s="310"/>
      <c r="I137" s="310"/>
      <c r="J137" s="310"/>
      <c r="K137" s="310"/>
      <c r="L137" s="310"/>
      <c r="M137" s="310"/>
      <c r="N137" s="310"/>
      <c r="O137" s="310"/>
    </row>
  </sheetData>
  <sheetProtection algorithmName="SHA-512" hashValue="K8yoZRf0aFhb2N5nQmlp5yp1+4DK47cP62uVjZ7I7euwjHOYt6Sc0bQpxKjH4lYWUNf8Uc5o9tSRdr1BOoHPBg==" saltValue="lsfK3nCQsfs7ty9Lr0rhrw==" spinCount="100000" sheet="1" formatRows="0" selectLockedCells="1"/>
  <mergeCells count="107">
    <mergeCell ref="B134:G134"/>
    <mergeCell ref="D89:J89"/>
    <mergeCell ref="W88:AA88"/>
    <mergeCell ref="R88:V88"/>
    <mergeCell ref="E108:G108"/>
    <mergeCell ref="H108:N108"/>
    <mergeCell ref="D106:O106"/>
    <mergeCell ref="H107:N107"/>
    <mergeCell ref="I94:J94"/>
    <mergeCell ref="I95:J95"/>
    <mergeCell ref="E104:G104"/>
    <mergeCell ref="H104:N104"/>
    <mergeCell ref="I91:J91"/>
    <mergeCell ref="D91:H91"/>
    <mergeCell ref="D95:G95"/>
    <mergeCell ref="D92:G92"/>
    <mergeCell ref="D93:G93"/>
    <mergeCell ref="D94:G94"/>
    <mergeCell ref="I92:J92"/>
    <mergeCell ref="I93:J93"/>
    <mergeCell ref="O88:Q88"/>
    <mergeCell ref="H129:N129"/>
    <mergeCell ref="H130:N130"/>
    <mergeCell ref="D116:N116"/>
    <mergeCell ref="D125:O125"/>
    <mergeCell ref="H126:N126"/>
    <mergeCell ref="H127:N127"/>
    <mergeCell ref="H128:N128"/>
    <mergeCell ref="D120:J120"/>
    <mergeCell ref="H81:N81"/>
    <mergeCell ref="D122:J122"/>
    <mergeCell ref="C2:J2"/>
    <mergeCell ref="D5:H5"/>
    <mergeCell ref="D12:J12"/>
    <mergeCell ref="G18:J18"/>
    <mergeCell ref="G19:J19"/>
    <mergeCell ref="D6:I7"/>
    <mergeCell ref="D15:H15"/>
    <mergeCell ref="E18:F18"/>
    <mergeCell ref="G20:H20"/>
    <mergeCell ref="K6:O7"/>
    <mergeCell ref="H34:N34"/>
    <mergeCell ref="D98:O98"/>
    <mergeCell ref="D58:O58"/>
    <mergeCell ref="H59:N59"/>
    <mergeCell ref="H39:N39"/>
    <mergeCell ref="H40:N40"/>
    <mergeCell ref="E39:G39"/>
    <mergeCell ref="D25:H25"/>
    <mergeCell ref="G21:H21"/>
    <mergeCell ref="H84:N84"/>
    <mergeCell ref="R42:V42"/>
    <mergeCell ref="D44:J44"/>
    <mergeCell ref="D68:I69"/>
    <mergeCell ref="J68:J69"/>
    <mergeCell ref="K68:O69"/>
    <mergeCell ref="E33:G33"/>
    <mergeCell ref="E34:G34"/>
    <mergeCell ref="D37:H37"/>
    <mergeCell ref="D38:O38"/>
    <mergeCell ref="E40:G40"/>
    <mergeCell ref="D32:O32"/>
    <mergeCell ref="D43:L43"/>
    <mergeCell ref="O42:Q42"/>
    <mergeCell ref="D56:O56"/>
    <mergeCell ref="H33:N33"/>
    <mergeCell ref="R111:V111"/>
    <mergeCell ref="D46:O46"/>
    <mergeCell ref="E47:G47"/>
    <mergeCell ref="H47:N47"/>
    <mergeCell ref="E48:G48"/>
    <mergeCell ref="H48:N48"/>
    <mergeCell ref="H85:N85"/>
    <mergeCell ref="E87:J87"/>
    <mergeCell ref="D57:H57"/>
    <mergeCell ref="H83:N83"/>
    <mergeCell ref="D79:O79"/>
    <mergeCell ref="E74:H74"/>
    <mergeCell ref="E75:H75"/>
    <mergeCell ref="E76:H76"/>
    <mergeCell ref="E73:H73"/>
    <mergeCell ref="H60:N60"/>
    <mergeCell ref="H63:N63"/>
    <mergeCell ref="B4:O4"/>
    <mergeCell ref="B137:O137"/>
    <mergeCell ref="B14:B16"/>
    <mergeCell ref="B18:B20"/>
    <mergeCell ref="D112:L112"/>
    <mergeCell ref="D102:O102"/>
    <mergeCell ref="H103:N103"/>
    <mergeCell ref="E100:G100"/>
    <mergeCell ref="H100:N100"/>
    <mergeCell ref="H99:N99"/>
    <mergeCell ref="H61:N61"/>
    <mergeCell ref="H62:N62"/>
    <mergeCell ref="H64:N64"/>
    <mergeCell ref="H82:N82"/>
    <mergeCell ref="D70:I70"/>
    <mergeCell ref="D72:K72"/>
    <mergeCell ref="H80:N80"/>
    <mergeCell ref="E31:J31"/>
    <mergeCell ref="D28:I28"/>
    <mergeCell ref="D29:H29"/>
    <mergeCell ref="D50:L50"/>
    <mergeCell ref="O111:Q111"/>
    <mergeCell ref="J6:J7"/>
    <mergeCell ref="D24:I24"/>
  </mergeCells>
  <conditionalFormatting sqref="B4:O4">
    <cfRule type="expression" dxfId="3156" priority="1">
      <formula>$B$4="Paramedic"</formula>
    </cfRule>
    <cfRule type="expression" dxfId="3155" priority="4">
      <formula>$B$4="AEMT"</formula>
    </cfRule>
  </conditionalFormatting>
  <conditionalFormatting sqref="B137:O137">
    <cfRule type="expression" dxfId="3154" priority="2">
      <formula>$B$137="Paramedic"</formula>
    </cfRule>
    <cfRule type="expression" dxfId="3153" priority="3">
      <formula>$B$137="AEMT"</formula>
    </cfRule>
  </conditionalFormatting>
  <conditionalFormatting sqref="D52:D53">
    <cfRule type="cellIs" dxfId="3152" priority="67" operator="equal">
      <formula>"No"</formula>
    </cfRule>
  </conditionalFormatting>
  <conditionalFormatting sqref="D92:G95">
    <cfRule type="expression" dxfId="3151" priority="61">
      <formula>$B$88&lt;&gt;""</formula>
    </cfRule>
  </conditionalFormatting>
  <conditionalFormatting sqref="D120:J120">
    <cfRule type="expression" dxfId="3150" priority="49">
      <formula>$B$88&lt;&gt;""</formula>
    </cfRule>
  </conditionalFormatting>
  <conditionalFormatting sqref="D124:M124">
    <cfRule type="expression" dxfId="3149" priority="164">
      <formula>#REF!="Yes"</formula>
    </cfRule>
  </conditionalFormatting>
  <conditionalFormatting sqref="D116:N116">
    <cfRule type="expression" dxfId="3148" priority="45">
      <formula>$B$88&lt;&gt;""</formula>
    </cfRule>
  </conditionalFormatting>
  <conditionalFormatting sqref="D32:O32">
    <cfRule type="expression" dxfId="3147" priority="42">
      <formula>D32&lt;&gt;""</formula>
    </cfRule>
  </conditionalFormatting>
  <conditionalFormatting sqref="D58:O58">
    <cfRule type="expression" dxfId="3146" priority="64">
      <formula>OR($D$52="Yes", $G$52="Yes", $D$53="Yes", $G$53="Yes")</formula>
    </cfRule>
  </conditionalFormatting>
  <conditionalFormatting sqref="D79:O79">
    <cfRule type="expression" dxfId="3145" priority="85">
      <formula>AND($B$67&lt;&gt;"", $J$70&lt;&gt;"")</formula>
    </cfRule>
  </conditionalFormatting>
  <conditionalFormatting sqref="D98:O98">
    <cfRule type="expression" dxfId="3144" priority="59">
      <formula>$B$88&lt;&gt;""</formula>
    </cfRule>
  </conditionalFormatting>
  <conditionalFormatting sqref="D102:O102">
    <cfRule type="expression" dxfId="3143" priority="56">
      <formula>$B$88&lt;&gt;""</formula>
    </cfRule>
  </conditionalFormatting>
  <conditionalFormatting sqref="D106:O106">
    <cfRule type="expression" dxfId="3142" priority="53">
      <formula>$B$88&lt;&gt;""</formula>
    </cfRule>
  </conditionalFormatting>
  <conditionalFormatting sqref="D125:O125">
    <cfRule type="expression" dxfId="3141" priority="51">
      <formula>$B$88&lt;&gt;""</formula>
    </cfRule>
  </conditionalFormatting>
  <conditionalFormatting sqref="E17">
    <cfRule type="expression" dxfId="3140" priority="16058">
      <formula>J5="No"</formula>
    </cfRule>
  </conditionalFormatting>
  <conditionalFormatting sqref="E33">
    <cfRule type="expression" dxfId="3139" priority="205">
      <formula>E32&lt;&gt;""</formula>
    </cfRule>
  </conditionalFormatting>
  <conditionalFormatting sqref="E67">
    <cfRule type="expression" dxfId="3138" priority="121">
      <formula>E67=" authorization is required"</formula>
    </cfRule>
  </conditionalFormatting>
  <conditionalFormatting sqref="E88">
    <cfRule type="expression" dxfId="3137" priority="93">
      <formula>E88=" authorization is required"</formula>
    </cfRule>
  </conditionalFormatting>
  <conditionalFormatting sqref="E113">
    <cfRule type="expression" dxfId="3136" priority="34">
      <formula>B88&lt;&gt;""</formula>
    </cfRule>
  </conditionalFormatting>
  <conditionalFormatting sqref="E73:H73">
    <cfRule type="expression" dxfId="3135" priority="75">
      <formula>$J$70&gt;=1</formula>
    </cfRule>
  </conditionalFormatting>
  <conditionalFormatting sqref="E74:H74">
    <cfRule type="expression" dxfId="3134" priority="74">
      <formula>$J$70&gt;=2</formula>
    </cfRule>
  </conditionalFormatting>
  <conditionalFormatting sqref="E75:H75">
    <cfRule type="expression" dxfId="3133" priority="71">
      <formula>$J$70&gt;=3</formula>
    </cfRule>
  </conditionalFormatting>
  <conditionalFormatting sqref="E76:H76">
    <cfRule type="expression" dxfId="3132" priority="69">
      <formula>$J$70&gt;=4</formula>
    </cfRule>
  </conditionalFormatting>
  <conditionalFormatting sqref="F17:H17">
    <cfRule type="expression" dxfId="3131" priority="16065">
      <formula>K11="No"</formula>
    </cfRule>
  </conditionalFormatting>
  <conditionalFormatting sqref="F11:K11">
    <cfRule type="expression" dxfId="3130" priority="221">
      <formula>F2="Yes"</formula>
    </cfRule>
  </conditionalFormatting>
  <conditionalFormatting sqref="F16:K16">
    <cfRule type="expression" dxfId="3129" priority="206">
      <formula>F14="Yes"</formula>
    </cfRule>
  </conditionalFormatting>
  <conditionalFormatting sqref="G52:G53">
    <cfRule type="cellIs" dxfId="3128" priority="65" operator="equal">
      <formula>"No"</formula>
    </cfRule>
  </conditionalFormatting>
  <conditionalFormatting sqref="G113">
    <cfRule type="expression" dxfId="3127" priority="33">
      <formula>B88&lt;&gt;""</formula>
    </cfRule>
  </conditionalFormatting>
  <conditionalFormatting sqref="G20:H20">
    <cfRule type="expression" dxfId="3126" priority="39">
      <formula>OR(I14=1,I14=2,I14=3)</formula>
    </cfRule>
  </conditionalFormatting>
  <conditionalFormatting sqref="G21:H21">
    <cfRule type="expression" dxfId="3125" priority="38">
      <formula>OR(I14=1,I14=2,I14=3)</formula>
    </cfRule>
  </conditionalFormatting>
  <conditionalFormatting sqref="G18:J18">
    <cfRule type="expression" dxfId="3124" priority="41">
      <formula>OR(I14=1,I14=2,I14=3)</formula>
    </cfRule>
  </conditionalFormatting>
  <conditionalFormatting sqref="G19:J19">
    <cfRule type="expression" dxfId="3123" priority="40">
      <formula>OR(I14=1,I14=2,I14=3)</formula>
    </cfRule>
  </conditionalFormatting>
  <conditionalFormatting sqref="H33:N33">
    <cfRule type="expression" dxfId="3122" priority="26">
      <formula>$H$33&lt;&gt;""</formula>
    </cfRule>
  </conditionalFormatting>
  <conditionalFormatting sqref="H34:N34">
    <cfRule type="expression" dxfId="3121" priority="43">
      <formula>H34&lt;&gt;""</formula>
    </cfRule>
  </conditionalFormatting>
  <conditionalFormatting sqref="H59:N59 H64:N64">
    <cfRule type="expression" dxfId="3120" priority="63">
      <formula>OR($D$52="Yes", $G$52="Yes", $D$53="Yes", $G$53="Yes")</formula>
    </cfRule>
  </conditionalFormatting>
  <conditionalFormatting sqref="H60:N63">
    <cfRule type="expression" dxfId="3119" priority="17">
      <formula>$H$59&lt;&gt;""</formula>
    </cfRule>
  </conditionalFormatting>
  <conditionalFormatting sqref="H80:N80 H85:N85">
    <cfRule type="expression" dxfId="3118" priority="76">
      <formula>AND($B$67&lt;&gt;"", $J$70&lt;&gt;"")</formula>
    </cfRule>
  </conditionalFormatting>
  <conditionalFormatting sqref="H81:N84">
    <cfRule type="expression" dxfId="3117" priority="12">
      <formula>$H$80&lt;&gt;""</formula>
    </cfRule>
  </conditionalFormatting>
  <conditionalFormatting sqref="H99:N99">
    <cfRule type="expression" dxfId="3116" priority="25">
      <formula>$H$99&lt;&gt;""</formula>
    </cfRule>
  </conditionalFormatting>
  <conditionalFormatting sqref="H103:N103">
    <cfRule type="expression" dxfId="3115" priority="24">
      <formula>$H$103&lt;&gt;""</formula>
    </cfRule>
  </conditionalFormatting>
  <conditionalFormatting sqref="H104:N104">
    <cfRule type="expression" dxfId="3114" priority="54">
      <formula>$B$88&lt;&gt;""</formula>
    </cfRule>
  </conditionalFormatting>
  <conditionalFormatting sqref="H107:N107">
    <cfRule type="expression" dxfId="3113" priority="23">
      <formula>$H$107&lt;&gt;""</formula>
    </cfRule>
  </conditionalFormatting>
  <conditionalFormatting sqref="H108:N108">
    <cfRule type="expression" dxfId="3112" priority="52">
      <formula>$B$88&lt;&gt;""</formula>
    </cfRule>
  </conditionalFormatting>
  <conditionalFormatting sqref="H126:N130">
    <cfRule type="expression" dxfId="3111" priority="5">
      <formula>$B$88&lt;&gt;""</formula>
    </cfRule>
  </conditionalFormatting>
  <conditionalFormatting sqref="I113">
    <cfRule type="expression" dxfId="3110" priority="32">
      <formula>B88&lt;&gt;""</formula>
    </cfRule>
  </conditionalFormatting>
  <conditionalFormatting sqref="I92:J95">
    <cfRule type="expression" dxfId="3109" priority="60">
      <formula>$B$88&lt;&gt;""</formula>
    </cfRule>
  </conditionalFormatting>
  <conditionalFormatting sqref="J6">
    <cfRule type="cellIs" dxfId="3108" priority="36" operator="equal">
      <formula>"No"</formula>
    </cfRule>
  </conditionalFormatting>
  <conditionalFormatting sqref="J17">
    <cfRule type="expression" dxfId="3107" priority="89">
      <formula>J17=" authorization is required"</formula>
    </cfRule>
  </conditionalFormatting>
  <conditionalFormatting sqref="J68">
    <cfRule type="cellIs" dxfId="3106" priority="21" operator="equal">
      <formula>"No"</formula>
    </cfRule>
  </conditionalFormatting>
  <conditionalFormatting sqref="J70">
    <cfRule type="expression" dxfId="3105" priority="79">
      <formula>$B$67&lt;&gt;""</formula>
    </cfRule>
  </conditionalFormatting>
  <conditionalFormatting sqref="J73">
    <cfRule type="expression" dxfId="3104" priority="73">
      <formula>$J$70&gt;=1</formula>
    </cfRule>
  </conditionalFormatting>
  <conditionalFormatting sqref="J74">
    <cfRule type="expression" dxfId="3103" priority="72">
      <formula>$J$70&gt;=2</formula>
    </cfRule>
  </conditionalFormatting>
  <conditionalFormatting sqref="J75">
    <cfRule type="expression" dxfId="3102" priority="70">
      <formula>$J$70&gt;=3</formula>
    </cfRule>
  </conditionalFormatting>
  <conditionalFormatting sqref="J76">
    <cfRule type="expression" dxfId="3101" priority="68">
      <formula>$J$70&gt;=4</formula>
    </cfRule>
  </conditionalFormatting>
  <conditionalFormatting sqref="K5">
    <cfRule type="expression" dxfId="3100" priority="224">
      <formula>K35="Yes"</formula>
    </cfRule>
  </conditionalFormatting>
  <conditionalFormatting sqref="K10">
    <cfRule type="expression" dxfId="3099" priority="173">
      <formula>K10=" authorization is required"</formula>
    </cfRule>
  </conditionalFormatting>
  <conditionalFormatting sqref="K35">
    <cfRule type="expression" dxfId="3098" priority="16066">
      <formula>K10="Yes"</formula>
    </cfRule>
  </conditionalFormatting>
  <conditionalFormatting sqref="K87">
    <cfRule type="expression" dxfId="3097" priority="216">
      <formula>K86="Yes"</formula>
    </cfRule>
  </conditionalFormatting>
  <conditionalFormatting sqref="K68:O69">
    <cfRule type="expression" dxfId="3096" priority="22">
      <formula>$J$6="No"</formula>
    </cfRule>
  </conditionalFormatting>
  <dataValidations count="6">
    <dataValidation type="list" allowBlank="1" showInputMessage="1" showErrorMessage="1" sqref="J10 I57 I92:J95 I37 I5" xr:uid="{00000000-0002-0000-0300-000000000000}">
      <formula1>"Yes, No"</formula1>
    </dataValidation>
    <dataValidation type="list" allowBlank="1" showInputMessage="1" showErrorMessage="1" sqref="J70" xr:uid="{00000000-0002-0000-0300-000001000000}">
      <formula1>"1,2,3, 4"</formula1>
    </dataValidation>
    <dataValidation type="list" allowBlank="1" showInputMessage="1" showErrorMessage="1" sqref="D52:D53 G52:G53" xr:uid="{00000000-0002-0000-0300-000002000000}">
      <formula1>"Please Select, Yes, N/A"</formula1>
    </dataValidation>
    <dataValidation type="list" allowBlank="1" showInputMessage="1" showErrorMessage="1" sqref="D25:H25" xr:uid="{00000000-0002-0000-0300-000003000000}">
      <formula1>PType</formula1>
    </dataValidation>
    <dataValidation type="list" allowBlank="1" showInputMessage="1" showErrorMessage="1" sqref="D29:H29" xr:uid="{00000000-0002-0000-0300-000004000000}">
      <formula1>PStatus</formula1>
    </dataValidation>
    <dataValidation type="list" allowBlank="1" showInputMessage="1" showErrorMessage="1" sqref="D15:H15" xr:uid="{00000000-0002-0000-0300-000005000000}">
      <formula1>SCategory</formula1>
    </dataValidation>
  </dataValidations>
  <hyperlinks>
    <hyperlink ref="R88" r:id="rId1" display="https://coaemsp.org/Forms.htm" xr:uid="{00000000-0004-0000-0300-000000000000}"/>
    <hyperlink ref="R88:V88" r:id="rId2" display="https://coaemsp.org/resource-library" xr:uid="{00000000-0004-0000-0300-000001000000}"/>
    <hyperlink ref="R42:V42" r:id="rId3" display="Advisory Committee Meeting Minutes" xr:uid="{00000000-0004-0000-0300-000002000000}"/>
    <hyperlink ref="R111:V111" r:id="rId4" display="Advisory Committee Meeting Minutes" xr:uid="{00000000-0004-0000-0300-000003000000}"/>
  </hyperlinks>
  <printOptions horizontalCentered="1" verticalCentered="1"/>
  <pageMargins left="0.25" right="0.25" top="0.25" bottom="0.25" header="0.3" footer="0.3"/>
  <pageSetup scale="81" fitToHeight="0" orientation="landscape" horizontalDpi="300" verticalDpi="300" r:id="rId5"/>
  <colBreaks count="1" manualBreakCount="1">
    <brk id="15" max="1048575" man="1"/>
  </colBreaks>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5B8EA"/>
  </sheetPr>
  <dimension ref="A1:V103"/>
  <sheetViews>
    <sheetView showGridLines="0" zoomScaleNormal="100" workbookViewId="0">
      <selection activeCell="D9" sqref="D9:I9"/>
    </sheetView>
  </sheetViews>
  <sheetFormatPr defaultColWidth="9.140625" defaultRowHeight="15" x14ac:dyDescent="0.25"/>
  <cols>
    <col min="1" max="1" width="4.7109375" customWidth="1"/>
    <col min="2" max="2" width="14" customWidth="1"/>
    <col min="3" max="3" width="7.7109375" customWidth="1"/>
    <col min="4" max="4" width="15" customWidth="1"/>
    <col min="5" max="5" width="14" customWidth="1"/>
    <col min="6" max="6" width="15.42578125" customWidth="1"/>
    <col min="7" max="7" width="12.7109375" customWidth="1"/>
    <col min="8" max="8" width="14.28515625" customWidth="1"/>
    <col min="9" max="9" width="11.5703125" customWidth="1"/>
    <col min="12" max="12" width="13.5703125" customWidth="1"/>
  </cols>
  <sheetData>
    <row r="1" spans="1:19" s="41" customFormat="1" ht="45.95" customHeight="1" x14ac:dyDescent="0.25">
      <c r="A1" s="129"/>
      <c r="C1" s="23" t="s">
        <v>51</v>
      </c>
      <c r="G1" s="64"/>
      <c r="L1" s="64" t="str">
        <f>Instructions!C19</f>
        <v>SSR Revised 2025.02</v>
      </c>
    </row>
    <row r="2" spans="1:19" s="41" customFormat="1" ht="18.75" customHeight="1" x14ac:dyDescent="0.2">
      <c r="C2" s="411">
        <f>'Title Page'!$D$10</f>
        <v>0</v>
      </c>
      <c r="D2" s="411"/>
      <c r="E2" s="411"/>
      <c r="F2" s="411"/>
      <c r="G2" s="411"/>
      <c r="H2" s="411"/>
      <c r="I2" s="411"/>
      <c r="J2" s="411"/>
      <c r="L2" s="63" t="s">
        <v>28</v>
      </c>
    </row>
    <row r="3" spans="1:19" s="41" customFormat="1" ht="27" customHeight="1" x14ac:dyDescent="0.2">
      <c r="B3" s="310" t="str">
        <f>IF('Title Page'!D3&lt;&gt;"Please Select",'Title Page'!D3,"")</f>
        <v/>
      </c>
      <c r="C3" s="310"/>
      <c r="D3" s="310"/>
      <c r="E3" s="310"/>
      <c r="F3" s="310"/>
      <c r="G3" s="310"/>
      <c r="H3" s="310"/>
      <c r="I3" s="310"/>
      <c r="J3" s="310"/>
      <c r="K3" s="310"/>
      <c r="L3" s="310"/>
      <c r="M3" s="310"/>
      <c r="N3" s="310"/>
      <c r="O3" s="310"/>
    </row>
    <row r="4" spans="1:19" s="41" customFormat="1" ht="14.25" x14ac:dyDescent="0.2"/>
    <row r="5" spans="1:19" s="41" customFormat="1" ht="14.25" x14ac:dyDescent="0.2"/>
    <row r="6" spans="1:19" s="41" customFormat="1" ht="108.75" customHeight="1" x14ac:dyDescent="0.2">
      <c r="B6" s="339" t="s">
        <v>389</v>
      </c>
      <c r="C6" s="103" t="s">
        <v>388</v>
      </c>
      <c r="D6" s="340" t="str">
        <f>IF(B3="AEMT","The program must provide at least the Standard II.A. Minimum Expectations goal statement verbatim to students and applicants and provide evidence the statement is published : "&amp;" 
Advanced Emergency Medical Technician: 'To prepare Advanced Emergency Medical Technicians who are competent in the cognitive (knowledge), psychomotor (skills), and affective (behavior) learning domains to enter the profession.'",IF(B3="Paramedic","The program must provide at least the Standard II.A. Minimum Expectations goal statement verbatim to students and applicants and provide evidence the statement is published : "&amp;" 
Paramedic:  'To prepare Paramedics who are competent in the cognitive (knowledge), psychomotor (skills), and affective (behavior) learning domains to enter the profession.'","Please select program level on the top of the Title Page tab"))</f>
        <v>Please select program level on the top of the Title Page tab</v>
      </c>
      <c r="E6" s="340"/>
      <c r="F6" s="340"/>
      <c r="G6" s="340"/>
      <c r="H6" s="340"/>
      <c r="I6" s="340"/>
      <c r="J6" s="340"/>
      <c r="K6" s="340"/>
      <c r="L6" s="340"/>
    </row>
    <row r="7" spans="1:19" s="41" customFormat="1" ht="26.25" customHeight="1" x14ac:dyDescent="0.2">
      <c r="B7" s="339"/>
    </row>
    <row r="8" spans="1:19" s="41" customFormat="1" ht="47.25" customHeight="1" x14ac:dyDescent="0.25">
      <c r="D8" s="427" t="s">
        <v>109</v>
      </c>
      <c r="E8" s="427"/>
      <c r="F8" s="427"/>
      <c r="G8" s="427"/>
      <c r="H8" s="427"/>
      <c r="I8" s="427"/>
      <c r="J8" s="426" t="s">
        <v>112</v>
      </c>
      <c r="K8" s="426"/>
      <c r="L8" s="275"/>
      <c r="M8" s="275"/>
      <c r="N8" s="275"/>
      <c r="O8" s="275"/>
    </row>
    <row r="9" spans="1:19" s="41" customFormat="1" ht="20.25" customHeight="1" x14ac:dyDescent="0.2">
      <c r="D9" s="437"/>
      <c r="E9" s="438"/>
      <c r="F9" s="438"/>
      <c r="G9" s="438"/>
      <c r="H9" s="438"/>
      <c r="I9" s="439"/>
      <c r="J9" s="435"/>
      <c r="K9" s="436"/>
      <c r="L9" s="130"/>
      <c r="M9" s="130"/>
      <c r="N9" s="130"/>
      <c r="O9" s="275"/>
    </row>
    <row r="10" spans="1:19" s="41" customFormat="1" ht="14.25" x14ac:dyDescent="0.2"/>
    <row r="11" spans="1:19" s="41" customFormat="1" ht="14.25" x14ac:dyDescent="0.2"/>
    <row r="12" spans="1:19" s="41" customFormat="1" ht="65.25" customHeight="1" x14ac:dyDescent="0.2">
      <c r="C12" s="88"/>
      <c r="D12" s="358" t="s">
        <v>551</v>
      </c>
      <c r="E12" s="358"/>
      <c r="F12" s="358"/>
      <c r="G12" s="358"/>
      <c r="H12" s="358"/>
      <c r="I12" s="358"/>
      <c r="J12" s="358"/>
      <c r="K12" s="358"/>
      <c r="L12" s="358"/>
      <c r="M12" s="358"/>
      <c r="N12" s="358"/>
      <c r="O12" s="358"/>
      <c r="S12" s="63" t="s">
        <v>29</v>
      </c>
    </row>
    <row r="13" spans="1:19" s="41" customFormat="1" ht="29.25" customHeight="1" x14ac:dyDescent="0.25">
      <c r="C13" s="88"/>
      <c r="E13" s="359"/>
      <c r="F13" s="359"/>
      <c r="G13" s="359"/>
      <c r="H13" s="360" t="s">
        <v>437</v>
      </c>
      <c r="I13" s="360"/>
      <c r="J13" s="360"/>
      <c r="K13" s="360"/>
      <c r="L13" s="360"/>
      <c r="M13" s="360"/>
      <c r="N13" s="360"/>
      <c r="S13" s="63" t="s">
        <v>30</v>
      </c>
    </row>
    <row r="14" spans="1:19" s="41" customFormat="1" ht="27.75" customHeight="1" x14ac:dyDescent="0.2">
      <c r="C14" s="88"/>
      <c r="H14" s="361" t="s">
        <v>110</v>
      </c>
      <c r="I14" s="361"/>
      <c r="J14" s="361"/>
      <c r="K14" s="361"/>
      <c r="L14" s="361"/>
      <c r="M14" s="361"/>
      <c r="N14" s="361"/>
      <c r="S14" s="63" t="s">
        <v>30</v>
      </c>
    </row>
    <row r="15" spans="1:19" s="41" customFormat="1" ht="14.25" x14ac:dyDescent="0.2"/>
    <row r="16" spans="1:19" s="41" customFormat="1" ht="14.25" x14ac:dyDescent="0.2"/>
    <row r="17" spans="2:18" s="41" customFormat="1" ht="56.25" customHeight="1" x14ac:dyDescent="0.2">
      <c r="C17" s="113" t="s">
        <v>9</v>
      </c>
      <c r="D17" s="428" t="s">
        <v>102</v>
      </c>
      <c r="E17" s="428"/>
      <c r="F17" s="428"/>
      <c r="G17" s="428"/>
      <c r="H17" s="428"/>
      <c r="I17" s="428"/>
      <c r="J17" s="428"/>
      <c r="K17" s="428"/>
      <c r="L17" s="428"/>
      <c r="M17" s="428"/>
      <c r="N17" s="428"/>
    </row>
    <row r="18" spans="2:18" s="41" customFormat="1" ht="29.25" customHeight="1" thickBot="1" x14ac:dyDescent="0.25">
      <c r="D18" s="418" t="s">
        <v>359</v>
      </c>
      <c r="E18" s="419"/>
      <c r="F18" s="419"/>
      <c r="G18" s="419"/>
      <c r="H18" s="419"/>
      <c r="I18" s="419"/>
      <c r="J18" s="419"/>
      <c r="K18" s="419"/>
      <c r="L18" s="419"/>
      <c r="M18" s="419"/>
      <c r="N18" s="419"/>
      <c r="O18" s="420"/>
    </row>
    <row r="19" spans="2:18" s="41" customFormat="1" ht="59.25" customHeight="1" thickTop="1" x14ac:dyDescent="0.2">
      <c r="B19" s="339" t="s">
        <v>390</v>
      </c>
      <c r="D19" s="412" t="s">
        <v>52</v>
      </c>
      <c r="E19" s="413"/>
      <c r="F19" s="414"/>
      <c r="G19" s="414" t="s">
        <v>286</v>
      </c>
      <c r="H19" s="414"/>
      <c r="I19" s="414"/>
      <c r="J19" s="414"/>
      <c r="K19" s="414"/>
      <c r="L19" s="421" t="s">
        <v>358</v>
      </c>
      <c r="M19" s="421"/>
      <c r="N19" s="421"/>
      <c r="O19" s="422"/>
    </row>
    <row r="20" spans="2:18" s="41" customFormat="1" ht="24.75" customHeight="1" thickBot="1" x14ac:dyDescent="0.25">
      <c r="B20" s="339"/>
      <c r="D20" s="388" t="s">
        <v>53</v>
      </c>
      <c r="E20" s="389"/>
      <c r="F20" s="389"/>
      <c r="G20" s="389"/>
      <c r="H20" s="389"/>
      <c r="I20" s="389"/>
      <c r="J20" s="389"/>
      <c r="K20" s="389"/>
      <c r="L20" s="389"/>
      <c r="M20" s="389"/>
      <c r="N20" s="389"/>
      <c r="O20" s="390"/>
    </row>
    <row r="21" spans="2:18" s="41" customFormat="1" ht="27" customHeight="1" thickTop="1" x14ac:dyDescent="0.2">
      <c r="D21" s="404" t="s">
        <v>514</v>
      </c>
      <c r="E21" s="405"/>
      <c r="F21" s="406"/>
      <c r="G21" s="385"/>
      <c r="H21" s="386"/>
      <c r="I21" s="386"/>
      <c r="J21" s="386"/>
      <c r="K21" s="387"/>
      <c r="L21" s="385"/>
      <c r="M21" s="386"/>
      <c r="N21" s="386"/>
      <c r="O21" s="387"/>
    </row>
    <row r="22" spans="2:18" s="41" customFormat="1" ht="27" customHeight="1" x14ac:dyDescent="0.2">
      <c r="D22" s="404" t="s">
        <v>515</v>
      </c>
      <c r="E22" s="405"/>
      <c r="F22" s="406"/>
      <c r="G22" s="385"/>
      <c r="H22" s="386"/>
      <c r="I22" s="386"/>
      <c r="J22" s="386"/>
      <c r="K22" s="387"/>
      <c r="L22" s="407"/>
      <c r="M22" s="407"/>
      <c r="N22" s="407"/>
      <c r="O22" s="407"/>
    </row>
    <row r="23" spans="2:18" s="41" customFormat="1" ht="27" customHeight="1" x14ac:dyDescent="0.2">
      <c r="D23" s="415" t="s">
        <v>516</v>
      </c>
      <c r="E23" s="416"/>
      <c r="F23" s="417"/>
      <c r="G23" s="385"/>
      <c r="H23" s="386"/>
      <c r="I23" s="386"/>
      <c r="J23" s="386"/>
      <c r="K23" s="387"/>
      <c r="L23" s="423"/>
      <c r="M23" s="424"/>
      <c r="N23" s="424"/>
      <c r="O23" s="425"/>
    </row>
    <row r="24" spans="2:18" s="41" customFormat="1" ht="27" customHeight="1" x14ac:dyDescent="0.2">
      <c r="D24" s="404" t="s">
        <v>517</v>
      </c>
      <c r="E24" s="405"/>
      <c r="F24" s="406"/>
      <c r="G24" s="385"/>
      <c r="H24" s="386"/>
      <c r="I24" s="386"/>
      <c r="J24" s="386"/>
      <c r="K24" s="387"/>
      <c r="L24" s="385"/>
      <c r="M24" s="386"/>
      <c r="N24" s="386"/>
      <c r="O24" s="387"/>
    </row>
    <row r="25" spans="2:18" s="41" customFormat="1" ht="27" customHeight="1" x14ac:dyDescent="0.2">
      <c r="D25" s="404" t="s">
        <v>518</v>
      </c>
      <c r="E25" s="405"/>
      <c r="F25" s="406"/>
      <c r="G25" s="385"/>
      <c r="H25" s="386"/>
      <c r="I25" s="386"/>
      <c r="J25" s="386"/>
      <c r="K25" s="387"/>
      <c r="L25" s="385"/>
      <c r="M25" s="386"/>
      <c r="N25" s="386"/>
      <c r="O25" s="387"/>
    </row>
    <row r="26" spans="2:18" s="41" customFormat="1" ht="34.5" customHeight="1" x14ac:dyDescent="0.2">
      <c r="D26" s="401" t="s">
        <v>393</v>
      </c>
      <c r="E26" s="402"/>
      <c r="F26" s="403"/>
      <c r="G26" s="385"/>
      <c r="H26" s="386"/>
      <c r="I26" s="386"/>
      <c r="J26" s="386"/>
      <c r="K26" s="387"/>
      <c r="L26" s="385"/>
      <c r="M26" s="386"/>
      <c r="N26" s="386"/>
      <c r="O26" s="387"/>
    </row>
    <row r="27" spans="2:18" s="41" customFormat="1" ht="27" customHeight="1" x14ac:dyDescent="0.2">
      <c r="D27" s="404" t="s">
        <v>96</v>
      </c>
      <c r="E27" s="405"/>
      <c r="F27" s="406"/>
      <c r="G27" s="385"/>
      <c r="H27" s="386"/>
      <c r="I27" s="386"/>
      <c r="J27" s="386"/>
      <c r="K27" s="387"/>
      <c r="L27" s="385"/>
      <c r="M27" s="386"/>
      <c r="N27" s="386"/>
      <c r="O27" s="387"/>
    </row>
    <row r="28" spans="2:18" s="41" customFormat="1" ht="27" customHeight="1" x14ac:dyDescent="0.2">
      <c r="D28" s="398" t="s">
        <v>97</v>
      </c>
      <c r="E28" s="399"/>
      <c r="F28" s="400"/>
      <c r="G28" s="391"/>
      <c r="H28" s="338"/>
      <c r="I28" s="338"/>
      <c r="J28" s="338"/>
      <c r="K28" s="392"/>
      <c r="L28" s="385"/>
      <c r="M28" s="386"/>
      <c r="N28" s="386"/>
      <c r="O28" s="387"/>
    </row>
    <row r="29" spans="2:18" s="41" customFormat="1" ht="27" customHeight="1" x14ac:dyDescent="0.2">
      <c r="D29" s="404" t="s">
        <v>98</v>
      </c>
      <c r="E29" s="405"/>
      <c r="F29" s="406"/>
      <c r="G29" s="385"/>
      <c r="H29" s="386"/>
      <c r="I29" s="386"/>
      <c r="J29" s="386"/>
      <c r="K29" s="387"/>
      <c r="L29" s="385"/>
      <c r="M29" s="386"/>
      <c r="N29" s="386"/>
      <c r="O29" s="387"/>
    </row>
    <row r="30" spans="2:18" s="41" customFormat="1" ht="27" customHeight="1" x14ac:dyDescent="0.2">
      <c r="D30" s="404" t="str">
        <f>"Current " &amp;'Program Info'!B3&amp;" Student"</f>
        <v>Current  Student</v>
      </c>
      <c r="E30" s="405"/>
      <c r="F30" s="406"/>
      <c r="G30" s="385"/>
      <c r="H30" s="386"/>
      <c r="I30" s="386"/>
      <c r="J30" s="386"/>
      <c r="K30" s="387"/>
      <c r="L30" s="385"/>
      <c r="M30" s="386"/>
      <c r="N30" s="386"/>
      <c r="O30" s="387"/>
    </row>
    <row r="31" spans="2:18" s="41" customFormat="1" ht="27" customHeight="1" x14ac:dyDescent="0.2">
      <c r="D31" s="404" t="str">
        <f>"" &amp;'Program Info'!B3&amp;" Graduate"</f>
        <v xml:space="preserve"> Graduate</v>
      </c>
      <c r="E31" s="405"/>
      <c r="F31" s="406"/>
      <c r="G31" s="385"/>
      <c r="H31" s="386"/>
      <c r="I31" s="386"/>
      <c r="J31" s="386"/>
      <c r="K31" s="387"/>
      <c r="L31" s="385"/>
      <c r="M31" s="386"/>
      <c r="N31" s="386"/>
      <c r="O31" s="387"/>
      <c r="R31" s="87"/>
    </row>
    <row r="32" spans="2:18" s="41" customFormat="1" ht="14.25" x14ac:dyDescent="0.2">
      <c r="D32" s="131"/>
    </row>
    <row r="33" spans="2:22" s="41" customFormat="1" ht="56.25" customHeight="1" x14ac:dyDescent="0.2">
      <c r="O33" s="353" t="s">
        <v>103</v>
      </c>
      <c r="P33" s="353"/>
      <c r="Q33" s="353"/>
      <c r="R33" s="429" t="s">
        <v>425</v>
      </c>
      <c r="S33" s="429"/>
      <c r="T33" s="429"/>
      <c r="U33" s="429"/>
      <c r="V33" s="429"/>
    </row>
    <row r="34" spans="2:22" s="41" customFormat="1" ht="30.75" customHeight="1" x14ac:dyDescent="0.2">
      <c r="B34" s="110"/>
      <c r="D34" s="366" t="s">
        <v>204</v>
      </c>
      <c r="E34" s="366"/>
      <c r="F34" s="366"/>
      <c r="G34" s="366"/>
      <c r="H34" s="366"/>
      <c r="I34" s="366"/>
      <c r="J34" s="366"/>
    </row>
    <row r="35" spans="2:22" s="41" customFormat="1" ht="14.25" x14ac:dyDescent="0.2"/>
    <row r="36" spans="2:22" s="41" customFormat="1" ht="65.25" customHeight="1" x14ac:dyDescent="0.2">
      <c r="C36" s="88"/>
      <c r="D36" s="358" t="s">
        <v>481</v>
      </c>
      <c r="E36" s="358"/>
      <c r="F36" s="358"/>
      <c r="G36" s="358"/>
      <c r="H36" s="358"/>
      <c r="I36" s="358"/>
      <c r="J36" s="358"/>
      <c r="K36" s="358"/>
      <c r="L36" s="358"/>
      <c r="M36" s="358"/>
      <c r="N36" s="358"/>
      <c r="O36" s="358"/>
      <c r="S36" s="63" t="s">
        <v>29</v>
      </c>
    </row>
    <row r="37" spans="2:22" s="41" customFormat="1" ht="29.25" customHeight="1" x14ac:dyDescent="0.25">
      <c r="C37" s="88"/>
      <c r="E37" s="359"/>
      <c r="F37" s="359"/>
      <c r="G37" s="359"/>
      <c r="H37" s="360" t="s">
        <v>438</v>
      </c>
      <c r="I37" s="360"/>
      <c r="J37" s="360"/>
      <c r="K37" s="360"/>
      <c r="L37" s="360"/>
      <c r="M37" s="360"/>
      <c r="N37" s="360"/>
      <c r="S37" s="63" t="s">
        <v>30</v>
      </c>
    </row>
    <row r="38" spans="2:22" s="41" customFormat="1" ht="27.75" customHeight="1" x14ac:dyDescent="0.2">
      <c r="C38" s="88"/>
      <c r="H38" s="361" t="s">
        <v>110</v>
      </c>
      <c r="I38" s="361"/>
      <c r="J38" s="361"/>
      <c r="K38" s="361"/>
      <c r="L38" s="361"/>
      <c r="M38" s="361"/>
      <c r="N38" s="361"/>
      <c r="S38" s="63" t="s">
        <v>30</v>
      </c>
    </row>
    <row r="39" spans="2:22" s="41" customFormat="1" ht="14.25" x14ac:dyDescent="0.2"/>
    <row r="40" spans="2:22" s="41" customFormat="1" ht="14.25" x14ac:dyDescent="0.2"/>
    <row r="41" spans="2:22" s="41" customFormat="1" ht="14.25" x14ac:dyDescent="0.2">
      <c r="D41" s="131"/>
    </row>
    <row r="42" spans="2:22" s="41" customFormat="1" ht="17.25" customHeight="1" x14ac:dyDescent="0.25">
      <c r="C42" s="113" t="s">
        <v>10</v>
      </c>
      <c r="D42" s="26" t="s">
        <v>71</v>
      </c>
      <c r="G42" s="6"/>
      <c r="J42" s="132"/>
      <c r="K42" s="93" t="str">
        <f>IF(J42="", " &lt;=== Select from drop down list","")</f>
        <v xml:space="preserve"> &lt;=== Select from drop down list</v>
      </c>
    </row>
    <row r="43" spans="2:22" s="41" customFormat="1" ht="14.25" x14ac:dyDescent="0.2"/>
    <row r="44" spans="2:22" s="41" customFormat="1" ht="24.75" customHeight="1" x14ac:dyDescent="0.25">
      <c r="D44" s="395" t="str">
        <f>IF(J42="Yes","Additional Communities of Interest (if applicable)", "")</f>
        <v/>
      </c>
      <c r="E44" s="395"/>
      <c r="F44" s="395"/>
      <c r="G44" s="395"/>
      <c r="H44" s="395"/>
      <c r="I44" s="395"/>
      <c r="J44" s="395"/>
      <c r="K44" s="395"/>
    </row>
    <row r="45" spans="2:22" s="41" customFormat="1" ht="42" customHeight="1" x14ac:dyDescent="0.25">
      <c r="D45" s="396" t="str">
        <f>IF(J42="Yes","CoI Name", "")</f>
        <v/>
      </c>
      <c r="E45" s="396"/>
      <c r="F45" s="396"/>
      <c r="G45" s="397" t="str">
        <f>IF(J42="Yes","Name and Credential(s) of the Individiual(s)
Representing the CoI", "")</f>
        <v/>
      </c>
      <c r="H45" s="397"/>
      <c r="I45" s="397"/>
      <c r="J45" s="397"/>
      <c r="K45" s="397"/>
    </row>
    <row r="46" spans="2:22" s="41" customFormat="1" ht="27" customHeight="1" x14ac:dyDescent="0.2">
      <c r="D46" s="393"/>
      <c r="E46" s="393"/>
      <c r="F46" s="393"/>
      <c r="G46" s="394"/>
      <c r="H46" s="394"/>
      <c r="I46" s="394"/>
      <c r="J46" s="394"/>
      <c r="K46" s="394"/>
    </row>
    <row r="47" spans="2:22" s="41" customFormat="1" ht="27" customHeight="1" x14ac:dyDescent="0.2">
      <c r="D47" s="393"/>
      <c r="E47" s="393"/>
      <c r="F47" s="393"/>
      <c r="G47" s="394"/>
      <c r="H47" s="394"/>
      <c r="I47" s="394"/>
      <c r="J47" s="394"/>
      <c r="K47" s="394"/>
    </row>
    <row r="48" spans="2:22" s="41" customFormat="1" ht="27" customHeight="1" x14ac:dyDescent="0.2">
      <c r="D48" s="393"/>
      <c r="E48" s="393"/>
      <c r="F48" s="393"/>
      <c r="G48" s="394"/>
      <c r="H48" s="394"/>
      <c r="I48" s="394"/>
      <c r="J48" s="394"/>
      <c r="K48" s="394"/>
    </row>
    <row r="49" spans="2:22" s="41" customFormat="1" ht="56.25" customHeight="1" x14ac:dyDescent="0.2">
      <c r="O49" s="353"/>
      <c r="P49" s="353"/>
      <c r="Q49" s="353"/>
      <c r="R49" s="440"/>
      <c r="S49" s="440"/>
      <c r="T49" s="440"/>
      <c r="U49" s="440"/>
      <c r="V49" s="440"/>
    </row>
    <row r="50" spans="2:22" s="41" customFormat="1" ht="36.75" customHeight="1" x14ac:dyDescent="0.2">
      <c r="D50" s="441" t="s">
        <v>324</v>
      </c>
      <c r="E50" s="441"/>
      <c r="F50" s="441"/>
      <c r="G50" s="441"/>
      <c r="H50" s="441"/>
      <c r="I50" s="441"/>
      <c r="J50" s="441"/>
      <c r="K50" s="441"/>
      <c r="L50" s="441"/>
      <c r="M50" s="441"/>
      <c r="N50" s="441"/>
      <c r="O50" s="441"/>
      <c r="P50" s="8"/>
      <c r="Q50" s="8"/>
      <c r="R50" s="8"/>
    </row>
    <row r="51" spans="2:22" s="41" customFormat="1" ht="14.25" x14ac:dyDescent="0.2">
      <c r="D51" s="134" t="s">
        <v>104</v>
      </c>
      <c r="E51" s="135" t="s">
        <v>391</v>
      </c>
      <c r="F51" s="135"/>
      <c r="G51" s="135"/>
      <c r="H51" s="135"/>
      <c r="I51" s="136"/>
      <c r="J51" s="136"/>
      <c r="K51" s="136"/>
      <c r="L51" s="136"/>
      <c r="M51" s="136"/>
      <c r="N51" s="136"/>
      <c r="O51" s="136"/>
      <c r="P51" s="8"/>
      <c r="Q51" s="8"/>
      <c r="R51" s="8"/>
    </row>
    <row r="52" spans="2:22" s="41" customFormat="1" ht="32.25" customHeight="1" x14ac:dyDescent="0.2">
      <c r="D52" s="137" t="s">
        <v>104</v>
      </c>
      <c r="E52" s="442" t="s">
        <v>392</v>
      </c>
      <c r="F52" s="442"/>
      <c r="G52" s="442"/>
      <c r="H52" s="442"/>
      <c r="I52" s="442"/>
      <c r="J52" s="442"/>
      <c r="K52" s="442"/>
      <c r="L52" s="442"/>
      <c r="M52" s="442"/>
      <c r="N52" s="442"/>
      <c r="O52" s="442"/>
      <c r="P52" s="8"/>
      <c r="Q52" s="8"/>
      <c r="R52" s="8"/>
    </row>
    <row r="53" spans="2:22" s="41" customFormat="1" ht="14.25" x14ac:dyDescent="0.2">
      <c r="D53" s="134" t="s">
        <v>104</v>
      </c>
      <c r="E53" s="135" t="s">
        <v>105</v>
      </c>
      <c r="F53" s="135"/>
      <c r="G53" s="135"/>
      <c r="H53" s="135"/>
      <c r="I53" s="136"/>
      <c r="J53" s="136"/>
      <c r="K53" s="136"/>
      <c r="L53" s="136"/>
      <c r="M53" s="136"/>
      <c r="N53" s="136"/>
      <c r="O53" s="136"/>
      <c r="P53" s="8"/>
      <c r="Q53" s="8"/>
      <c r="R53" s="8"/>
    </row>
    <row r="54" spans="2:22" s="41" customFormat="1" ht="14.25" x14ac:dyDescent="0.2">
      <c r="D54" s="134" t="s">
        <v>104</v>
      </c>
      <c r="E54" s="135" t="s">
        <v>287</v>
      </c>
      <c r="F54" s="135"/>
      <c r="G54" s="135"/>
      <c r="H54" s="135"/>
      <c r="I54" s="136"/>
      <c r="J54" s="136"/>
      <c r="K54" s="136"/>
      <c r="L54" s="136"/>
      <c r="M54" s="136"/>
      <c r="N54" s="136"/>
      <c r="O54" s="136"/>
      <c r="P54" s="8"/>
      <c r="Q54" s="8"/>
      <c r="R54" s="8"/>
    </row>
    <row r="55" spans="2:22" s="41" customFormat="1" ht="14.25" x14ac:dyDescent="0.2">
      <c r="D55" s="134" t="s">
        <v>104</v>
      </c>
      <c r="E55" s="135" t="s">
        <v>106</v>
      </c>
      <c r="F55" s="135"/>
      <c r="G55" s="135"/>
      <c r="H55" s="135"/>
      <c r="I55" s="136"/>
      <c r="J55" s="136"/>
      <c r="K55" s="136"/>
      <c r="L55" s="136"/>
      <c r="M55" s="136"/>
      <c r="N55" s="136"/>
      <c r="O55" s="136"/>
      <c r="P55" s="8"/>
      <c r="Q55" s="8"/>
      <c r="R55" s="8"/>
    </row>
    <row r="56" spans="2:22" s="41" customFormat="1" ht="14.25" x14ac:dyDescent="0.2">
      <c r="D56" s="134" t="s">
        <v>104</v>
      </c>
      <c r="E56" s="135" t="s">
        <v>107</v>
      </c>
      <c r="F56" s="135"/>
      <c r="G56" s="135"/>
      <c r="H56" s="135"/>
      <c r="I56" s="136"/>
      <c r="J56" s="136"/>
      <c r="K56" s="136"/>
      <c r="L56" s="136"/>
      <c r="M56" s="136"/>
      <c r="N56" s="136"/>
      <c r="O56" s="136"/>
      <c r="P56" s="8"/>
      <c r="Q56" s="8"/>
      <c r="R56" s="8"/>
    </row>
    <row r="57" spans="2:22" s="41" customFormat="1" ht="27" customHeight="1" x14ac:dyDescent="0.2">
      <c r="D57" s="138" t="s">
        <v>104</v>
      </c>
      <c r="E57" s="139" t="s">
        <v>108</v>
      </c>
      <c r="F57" s="135"/>
      <c r="G57" s="135"/>
      <c r="H57" s="135"/>
      <c r="I57" s="136"/>
      <c r="J57" s="136"/>
      <c r="K57" s="136"/>
      <c r="L57" s="136"/>
      <c r="M57" s="136"/>
      <c r="N57" s="136"/>
      <c r="O57" s="136"/>
      <c r="P57" s="8"/>
      <c r="Q57" s="8"/>
      <c r="R57" s="8"/>
    </row>
    <row r="58" spans="2:22" s="41" customFormat="1" x14ac:dyDescent="0.2">
      <c r="D58" s="434" t="s">
        <v>305</v>
      </c>
      <c r="E58" s="434"/>
      <c r="F58" s="434"/>
      <c r="G58" s="434"/>
      <c r="H58" s="434"/>
      <c r="I58" s="434"/>
      <c r="J58" s="434"/>
      <c r="K58" s="434"/>
      <c r="L58" s="434"/>
      <c r="M58" s="434"/>
      <c r="N58" s="434"/>
      <c r="O58" s="434"/>
      <c r="P58" s="8"/>
      <c r="Q58" s="8"/>
      <c r="R58" s="8"/>
    </row>
    <row r="59" spans="2:22" s="41" customFormat="1" ht="31.5" customHeight="1" x14ac:dyDescent="0.2">
      <c r="C59" s="88"/>
      <c r="S59" s="87"/>
    </row>
    <row r="60" spans="2:22" s="41" customFormat="1" ht="73.5" customHeight="1" x14ac:dyDescent="0.2">
      <c r="B60" s="110"/>
      <c r="C60" s="113" t="s">
        <v>11</v>
      </c>
      <c r="D60" s="340" t="s">
        <v>386</v>
      </c>
      <c r="E60" s="340"/>
      <c r="F60" s="340"/>
      <c r="G60" s="340"/>
      <c r="H60" s="340"/>
      <c r="I60" s="340"/>
      <c r="J60" s="340"/>
      <c r="K60" s="340"/>
      <c r="L60" s="340"/>
      <c r="M60" s="8"/>
      <c r="N60" s="8"/>
      <c r="O60" s="353" t="s">
        <v>103</v>
      </c>
      <c r="P60" s="353"/>
      <c r="Q60" s="353"/>
      <c r="R60" s="380" t="s">
        <v>311</v>
      </c>
      <c r="S60" s="380"/>
      <c r="T60" s="380"/>
      <c r="U60" s="380"/>
      <c r="V60" s="380"/>
    </row>
    <row r="61" spans="2:22" s="41" customFormat="1" ht="30.75" customHeight="1" x14ac:dyDescent="0.2">
      <c r="B61" s="110"/>
      <c r="D61" s="366" t="s">
        <v>204</v>
      </c>
      <c r="E61" s="366"/>
      <c r="F61" s="366"/>
      <c r="G61" s="366"/>
      <c r="H61" s="366"/>
      <c r="I61" s="366"/>
      <c r="J61" s="366"/>
    </row>
    <row r="62" spans="2:22" s="41" customFormat="1" ht="42.75" customHeight="1" x14ac:dyDescent="0.2">
      <c r="D62" s="60" t="s">
        <v>325</v>
      </c>
      <c r="E62" s="140"/>
      <c r="F62" s="100" t="s">
        <v>99</v>
      </c>
      <c r="G62" s="140"/>
      <c r="H62" s="100" t="s">
        <v>100</v>
      </c>
      <c r="I62" s="140"/>
      <c r="J62" s="273"/>
      <c r="K62" s="273"/>
      <c r="L62" s="8"/>
      <c r="M62" s="8"/>
      <c r="N62" s="8"/>
      <c r="O62" s="8"/>
      <c r="P62" s="8"/>
      <c r="Q62" s="8"/>
      <c r="R62" s="8"/>
    </row>
    <row r="63" spans="2:22" s="41" customFormat="1" ht="14.25" x14ac:dyDescent="0.2">
      <c r="H63" s="273"/>
      <c r="I63" s="273"/>
      <c r="J63" s="273"/>
      <c r="K63" s="273"/>
      <c r="L63" s="8"/>
      <c r="M63" s="8"/>
      <c r="N63" s="8"/>
      <c r="O63" s="8"/>
      <c r="P63" s="8"/>
      <c r="Q63" s="8"/>
      <c r="R63" s="8"/>
    </row>
    <row r="64" spans="2:22" s="41" customFormat="1" ht="17.25" customHeight="1" x14ac:dyDescent="0.2">
      <c r="D64" s="41" t="s">
        <v>114</v>
      </c>
      <c r="I64" s="8"/>
      <c r="J64" s="8"/>
      <c r="K64" s="8"/>
      <c r="L64" s="8"/>
      <c r="M64" s="8"/>
      <c r="N64" s="8"/>
      <c r="O64" s="8"/>
      <c r="P64" s="8"/>
      <c r="Q64" s="8"/>
      <c r="R64" s="8"/>
    </row>
    <row r="65" spans="3:22" s="41" customFormat="1" ht="101.25" customHeight="1" x14ac:dyDescent="0.2">
      <c r="C65" s="88"/>
      <c r="D65" s="385"/>
      <c r="E65" s="386"/>
      <c r="F65" s="386"/>
      <c r="G65" s="386"/>
      <c r="H65" s="386"/>
      <c r="I65" s="386"/>
      <c r="J65" s="386"/>
      <c r="K65" s="386"/>
      <c r="L65" s="386"/>
      <c r="M65" s="386"/>
      <c r="N65" s="387"/>
    </row>
    <row r="66" spans="3:22" s="41" customFormat="1" ht="14.25" x14ac:dyDescent="0.2">
      <c r="I66" s="8"/>
      <c r="J66" s="8"/>
      <c r="K66" s="8"/>
      <c r="L66" s="8"/>
      <c r="M66" s="8"/>
      <c r="N66" s="8"/>
      <c r="O66" s="8"/>
      <c r="P66" s="8"/>
      <c r="Q66" s="8"/>
      <c r="R66" s="8"/>
    </row>
    <row r="67" spans="3:22" s="43" customFormat="1" ht="26.25" customHeight="1" x14ac:dyDescent="0.25">
      <c r="C67" s="123"/>
      <c r="D67" s="125" t="s">
        <v>288</v>
      </c>
      <c r="I67" s="274"/>
      <c r="J67" s="274"/>
      <c r="K67" s="274"/>
      <c r="L67" s="121"/>
      <c r="M67" s="121"/>
      <c r="N67" s="121"/>
      <c r="O67" s="121"/>
      <c r="P67" s="121"/>
      <c r="Q67" s="121"/>
      <c r="R67" s="121"/>
    </row>
    <row r="68" spans="3:22" s="41" customFormat="1" ht="14.25" x14ac:dyDescent="0.2">
      <c r="D68" s="431"/>
      <c r="E68" s="432"/>
      <c r="F68" s="432"/>
      <c r="G68" s="432"/>
      <c r="H68" s="433"/>
      <c r="I68" s="8"/>
      <c r="J68" s="8"/>
      <c r="K68" s="8"/>
      <c r="L68" s="8"/>
      <c r="M68" s="8"/>
      <c r="N68" s="8"/>
      <c r="O68" s="8"/>
      <c r="P68" s="8"/>
      <c r="Q68" s="8"/>
      <c r="R68" s="8"/>
    </row>
    <row r="69" spans="3:22" s="41" customFormat="1" ht="14.25" x14ac:dyDescent="0.2">
      <c r="C69" s="88"/>
    </row>
    <row r="70" spans="3:22" s="41" customFormat="1" ht="14.25" x14ac:dyDescent="0.2">
      <c r="I70" s="8"/>
      <c r="J70" s="8"/>
      <c r="K70" s="8"/>
      <c r="L70" s="8"/>
      <c r="M70" s="8"/>
      <c r="N70" s="8"/>
      <c r="O70" s="8"/>
      <c r="P70" s="8"/>
      <c r="Q70" s="8"/>
      <c r="R70" s="8"/>
    </row>
    <row r="71" spans="3:22" s="41" customFormat="1" ht="14.25" x14ac:dyDescent="0.2">
      <c r="I71" s="8"/>
      <c r="J71" s="8"/>
      <c r="K71" s="8"/>
      <c r="L71" s="8"/>
      <c r="M71" s="8"/>
      <c r="N71" s="8"/>
      <c r="O71" s="8"/>
      <c r="P71" s="8"/>
      <c r="Q71" s="8"/>
      <c r="R71" s="8"/>
    </row>
    <row r="72" spans="3:22" s="41" customFormat="1" ht="65.25" customHeight="1" x14ac:dyDescent="0.2">
      <c r="C72" s="88"/>
      <c r="D72" s="358" t="s">
        <v>482</v>
      </c>
      <c r="E72" s="358"/>
      <c r="F72" s="358"/>
      <c r="G72" s="358"/>
      <c r="H72" s="358"/>
      <c r="I72" s="358"/>
      <c r="J72" s="358"/>
      <c r="K72" s="358"/>
      <c r="L72" s="358"/>
      <c r="M72" s="358"/>
      <c r="N72" s="358"/>
      <c r="O72" s="358"/>
      <c r="S72" s="63"/>
    </row>
    <row r="73" spans="3:22" s="41" customFormat="1" ht="27" customHeight="1" x14ac:dyDescent="0.2">
      <c r="C73" s="88"/>
      <c r="H73" s="360" t="str">
        <f>IF(AND(H74="",H75="",H76=""),"                    No AC dates have been provided above","        Exact Document Name (for each):")</f>
        <v xml:space="preserve">                    No AC dates have been provided above</v>
      </c>
      <c r="I73" s="360"/>
      <c r="J73" s="360"/>
      <c r="K73" s="360"/>
      <c r="L73" s="360"/>
      <c r="M73" s="360"/>
      <c r="N73" s="360"/>
      <c r="S73" s="63"/>
    </row>
    <row r="74" spans="3:22" s="41" customFormat="1" ht="30.75" customHeight="1" x14ac:dyDescent="0.2">
      <c r="C74" s="88"/>
      <c r="H74" s="360" t="str">
        <f>IF(OR(E62="N/A",E62="",E62="na"),"","                                            12 AC Minutes 01")</f>
        <v/>
      </c>
      <c r="I74" s="360"/>
      <c r="J74" s="360"/>
      <c r="K74" s="360"/>
      <c r="L74" s="360"/>
      <c r="M74" s="360"/>
      <c r="N74" s="360"/>
      <c r="S74" s="63"/>
    </row>
    <row r="75" spans="3:22" s="41" customFormat="1" ht="29.25" customHeight="1" x14ac:dyDescent="0.2">
      <c r="C75" s="88"/>
      <c r="E75" s="430"/>
      <c r="F75" s="430"/>
      <c r="G75" s="430"/>
      <c r="H75" s="360" t="str">
        <f>IF(OR(G62="N/A",G62="",G62="na"),"","                                            12 AC Minutes 02")</f>
        <v/>
      </c>
      <c r="I75" s="360"/>
      <c r="J75" s="360"/>
      <c r="K75" s="360"/>
      <c r="L75" s="360"/>
      <c r="M75" s="360"/>
      <c r="N75" s="360"/>
      <c r="S75" s="63"/>
    </row>
    <row r="76" spans="3:22" s="41" customFormat="1" ht="27" customHeight="1" x14ac:dyDescent="0.2">
      <c r="C76" s="88"/>
      <c r="H76" s="360" t="str">
        <f>IF(OR(I62="N/A",I62="",I62="na"),"","                                            12 AC Minutes 03")</f>
        <v/>
      </c>
      <c r="I76" s="360"/>
      <c r="J76" s="360"/>
      <c r="K76" s="360"/>
      <c r="L76" s="360"/>
      <c r="M76" s="360"/>
      <c r="N76" s="360"/>
      <c r="S76" s="63"/>
    </row>
    <row r="77" spans="3:22" s="41" customFormat="1" ht="27.75" customHeight="1" x14ac:dyDescent="0.2">
      <c r="C77" s="88"/>
      <c r="H77" s="361" t="str">
        <f>IF(AND(H74="",H75="",H76=""),"","                   Type of File(s):    Adobe Portable Document (.pdf)")</f>
        <v/>
      </c>
      <c r="I77" s="361"/>
      <c r="J77" s="361"/>
      <c r="K77" s="361"/>
      <c r="L77" s="361"/>
      <c r="M77" s="361"/>
      <c r="N77" s="361"/>
      <c r="S77" s="63"/>
    </row>
    <row r="78" spans="3:22" s="41" customFormat="1" ht="21" customHeight="1" x14ac:dyDescent="0.2">
      <c r="C78" s="83"/>
      <c r="D78" s="21"/>
      <c r="E78" s="21"/>
      <c r="F78" s="21"/>
      <c r="G78" s="21"/>
    </row>
    <row r="79" spans="3:22" s="41" customFormat="1" ht="14.25" x14ac:dyDescent="0.2"/>
    <row r="80" spans="3:22" s="41" customFormat="1" ht="33" customHeight="1" x14ac:dyDescent="0.2">
      <c r="O80" s="353" t="s">
        <v>103</v>
      </c>
      <c r="P80" s="353"/>
      <c r="Q80" s="353"/>
      <c r="R80" s="429" t="str">
        <f>IF('Standard I-Sponsorship'!J10="Yes","Organizational Chart for Consortiums", "Organizational Chart")</f>
        <v>Organizational Chart</v>
      </c>
      <c r="S80" s="429"/>
      <c r="T80" s="429"/>
      <c r="U80" s="429"/>
      <c r="V80" s="429"/>
    </row>
    <row r="81" spans="2:19" s="41" customFormat="1" ht="87.95" customHeight="1" x14ac:dyDescent="0.2">
      <c r="C81" s="113" t="s">
        <v>12</v>
      </c>
      <c r="D81" s="340" t="str">
        <f>IF('Standard I-Sponsorship'!J10="Yes","A programmatic consortium organizational chart is required and must match the number of governing body members outline in the consortium agreement along with the names, credentials, and the consortium sponsor member represented.  "&amp;"  Additionally required is an independent corporate organizational chart for each consortium member identifying all entities within that corporate structure. Contact the CoAEMSP for additional information regarding organizational charts.","A programmatic organizational chart is required with all program personnel and faculty, credentials, and position titles.")</f>
        <v>A programmatic organizational chart is required with all program personnel and faculty, credentials, and position titles.</v>
      </c>
      <c r="E81" s="340"/>
      <c r="F81" s="340"/>
      <c r="G81" s="340"/>
      <c r="H81" s="340"/>
      <c r="I81" s="340"/>
      <c r="J81" s="340"/>
      <c r="K81" s="340"/>
      <c r="L81" s="340"/>
      <c r="M81" s="275"/>
      <c r="N81" s="275"/>
      <c r="O81" s="275"/>
    </row>
    <row r="82" spans="2:19" s="41" customFormat="1" ht="22.5" customHeight="1" x14ac:dyDescent="0.2">
      <c r="B82" s="110"/>
      <c r="D82" s="372" t="s">
        <v>204</v>
      </c>
      <c r="E82" s="372"/>
      <c r="F82" s="372"/>
      <c r="G82" s="372"/>
      <c r="H82" s="372"/>
      <c r="I82" s="372"/>
      <c r="J82" s="372"/>
    </row>
    <row r="83" spans="2:19" s="41" customFormat="1" ht="14.45" customHeight="1" x14ac:dyDescent="0.25">
      <c r="E83" s="141"/>
      <c r="F83" s="410"/>
      <c r="G83" s="410"/>
      <c r="H83" s="410"/>
      <c r="I83" s="410"/>
      <c r="J83" s="276"/>
    </row>
    <row r="84" spans="2:19" s="41" customFormat="1" ht="14.25" x14ac:dyDescent="0.2"/>
    <row r="85" spans="2:19" s="41" customFormat="1" ht="14.25" x14ac:dyDescent="0.2"/>
    <row r="86" spans="2:19" s="41" customFormat="1" ht="65.25" customHeight="1" x14ac:dyDescent="0.2">
      <c r="C86" s="88"/>
      <c r="D86" s="358" t="str">
        <f>IF('Standard I-Sponsorship'!J10="Yes","Place the consortium programmatic organizational chart and a corporate organizational chart for each of the corresponding consortium members in the Documentation folder.  "&amp;"Each document must be titled with the 'EXACT document name' and must be included as the type of file format listed below (not Word, 97-2003 [.doc], Word 2013 [.docx], or Excel [.xls]).", "Place the programmatic organizational chart in the Documentation folder.  "&amp;"This document must be titled with the 'EXACT document name' and must be included as the type of file format listed below (not Word 97-2003 [.doc], Word 2013 [.docx], or Excel [.xls]).")</f>
        <v>Place the programmatic organizational chart in the Documentation folder.  This document must be titled with the 'EXACT document name' and must be included as the type of file format listed below (not Word 97-2003 [.doc], Word 2013 [.docx], or Excel [.xls]).</v>
      </c>
      <c r="E86" s="358"/>
      <c r="F86" s="358"/>
      <c r="G86" s="358"/>
      <c r="H86" s="358"/>
      <c r="I86" s="358"/>
      <c r="J86" s="358"/>
      <c r="K86" s="358"/>
      <c r="L86" s="358"/>
      <c r="M86" s="358"/>
      <c r="N86" s="358"/>
      <c r="O86" s="358"/>
      <c r="S86" s="63"/>
    </row>
    <row r="87" spans="2:19" s="41" customFormat="1" ht="27" customHeight="1" x14ac:dyDescent="0.2">
      <c r="C87" s="88"/>
      <c r="H87" s="360" t="str">
        <f>IF('Standard I-Sponsorship'!J10="Yes","        Exact Document Name (for each):", "        Exact Document Name")</f>
        <v xml:space="preserve">        Exact Document Name</v>
      </c>
      <c r="I87" s="360"/>
      <c r="J87" s="360"/>
      <c r="K87" s="360"/>
      <c r="L87" s="360"/>
      <c r="M87" s="360"/>
      <c r="N87" s="360"/>
      <c r="S87" s="63"/>
    </row>
    <row r="88" spans="2:19" s="41" customFormat="1" ht="30.75" customHeight="1" x14ac:dyDescent="0.2">
      <c r="C88" s="88"/>
      <c r="E88" s="409" t="str">
        <f>IF(E89&lt;&gt;"", "Consortium Members reported on the
Standard I - Sponsorship tab", "")</f>
        <v/>
      </c>
      <c r="F88" s="409"/>
      <c r="G88" s="409"/>
      <c r="H88" s="360" t="s">
        <v>439</v>
      </c>
      <c r="I88" s="360"/>
      <c r="J88" s="360"/>
      <c r="K88" s="360"/>
      <c r="L88" s="360"/>
      <c r="M88" s="360"/>
      <c r="N88" s="360"/>
    </row>
    <row r="89" spans="2:19" s="41" customFormat="1" ht="29.25" customHeight="1" x14ac:dyDescent="0.2">
      <c r="C89" s="88"/>
      <c r="E89" s="408" t="str">
        <f>IF(AND('Standard I-Sponsorship'!J10="Yes",'Standard I-Sponsorship'!D92&lt;&gt;""),'Standard I-Sponsorship'!D92,"")</f>
        <v/>
      </c>
      <c r="F89" s="408"/>
      <c r="G89" s="408"/>
      <c r="H89" s="360" t="str">
        <f>IF(AND('Standard I-Sponsorship'!J10="Yes",'Standard I-Sponsorship'!D92&lt;&gt;""),"                                            13a Corporate Org Chart","")</f>
        <v/>
      </c>
      <c r="I89" s="360"/>
      <c r="J89" s="360"/>
      <c r="K89" s="360"/>
      <c r="L89" s="360"/>
      <c r="M89" s="360"/>
      <c r="N89" s="360"/>
    </row>
    <row r="90" spans="2:19" s="41" customFormat="1" ht="29.25" customHeight="1" x14ac:dyDescent="0.2">
      <c r="C90" s="88"/>
      <c r="E90" s="408" t="str">
        <f>IF(AND('Standard I-Sponsorship'!J10="Yes",'Standard I-Sponsorship'!D93&lt;&gt;""),'Standard I-Sponsorship'!D93,"")</f>
        <v/>
      </c>
      <c r="F90" s="408"/>
      <c r="G90" s="408"/>
      <c r="H90" s="360" t="str">
        <f>IF(AND('Standard I-Sponsorship'!J10="Yes",'Standard I-Sponsorship'!D93&lt;&gt;""),"                                            13b Corporate Org Chart","")</f>
        <v/>
      </c>
      <c r="I90" s="360"/>
      <c r="J90" s="360"/>
      <c r="K90" s="360"/>
      <c r="L90" s="360"/>
      <c r="M90" s="360"/>
      <c r="N90" s="360"/>
    </row>
    <row r="91" spans="2:19" s="41" customFormat="1" ht="29.25" customHeight="1" x14ac:dyDescent="0.2">
      <c r="C91" s="88"/>
      <c r="E91" s="408" t="str">
        <f>IF(AND('Standard I-Sponsorship'!J10="Yes",'Standard I-Sponsorship'!D94&lt;&gt;""),'Standard I-Sponsorship'!D94,"")</f>
        <v/>
      </c>
      <c r="F91" s="408"/>
      <c r="G91" s="408"/>
      <c r="H91" s="360" t="str">
        <f>IF(AND('Standard I-Sponsorship'!J10="Yes",'Standard I-Sponsorship'!D94&lt;&gt;""),"                                            13c Corporate Org Chart","")</f>
        <v/>
      </c>
      <c r="I91" s="360"/>
      <c r="J91" s="360"/>
      <c r="K91" s="360"/>
      <c r="L91" s="360"/>
      <c r="M91" s="360"/>
      <c r="N91" s="360"/>
    </row>
    <row r="92" spans="2:19" s="41" customFormat="1" ht="29.25" customHeight="1" x14ac:dyDescent="0.2">
      <c r="C92" s="88"/>
      <c r="E92" s="408" t="str">
        <f>IF(AND('Standard I-Sponsorship'!J10="Yes",'Standard I-Sponsorship'!D95&lt;&gt;""),'Standard I-Sponsorship'!D95,"")</f>
        <v/>
      </c>
      <c r="F92" s="408"/>
      <c r="G92" s="408"/>
      <c r="H92" s="360" t="str">
        <f>IF(AND('Standard I-Sponsorship'!J10="Yes",'Standard I-Sponsorship'!D95&lt;&gt;""),"                                            13d Corporate Org Chart","")</f>
        <v/>
      </c>
      <c r="I92" s="360"/>
      <c r="J92" s="360"/>
      <c r="K92" s="360"/>
      <c r="L92" s="360"/>
      <c r="M92" s="360"/>
      <c r="N92" s="360"/>
    </row>
    <row r="93" spans="2:19" s="41" customFormat="1" ht="27.75" customHeight="1" x14ac:dyDescent="0.2">
      <c r="C93" s="88"/>
      <c r="H93" s="361" t="s">
        <v>110</v>
      </c>
      <c r="I93" s="361"/>
      <c r="J93" s="361"/>
      <c r="K93" s="361"/>
      <c r="L93" s="361"/>
      <c r="M93" s="361"/>
      <c r="N93" s="361"/>
      <c r="S93" s="63"/>
    </row>
    <row r="94" spans="2:19" s="41" customFormat="1" ht="14.25" x14ac:dyDescent="0.2"/>
    <row r="95" spans="2:19" s="41" customFormat="1" ht="14.25" x14ac:dyDescent="0.2">
      <c r="Q95" s="112"/>
    </row>
    <row r="96" spans="2:19" s="41" customFormat="1" ht="14.25" x14ac:dyDescent="0.2"/>
    <row r="97" spans="2:15" s="41" customFormat="1" ht="14.25" x14ac:dyDescent="0.2"/>
    <row r="98" spans="2:15" s="41" customFormat="1" ht="14.25" x14ac:dyDescent="0.2"/>
    <row r="99" spans="2:15" s="41" customFormat="1" ht="14.25" x14ac:dyDescent="0.2"/>
    <row r="100" spans="2:15" s="41" customFormat="1" ht="24" customHeight="1" x14ac:dyDescent="0.25">
      <c r="B100" s="378" t="s">
        <v>279</v>
      </c>
      <c r="C100" s="378"/>
      <c r="D100" s="378"/>
      <c r="E100" s="378"/>
      <c r="F100" s="378"/>
      <c r="G100" s="378"/>
      <c r="K100" s="64"/>
    </row>
    <row r="103" spans="2:15" ht="27" customHeight="1" x14ac:dyDescent="0.25">
      <c r="B103" s="310" t="str">
        <f>IF('Title Page'!D3&lt;&gt;"Please Select",'Title Page'!D3,"")</f>
        <v/>
      </c>
      <c r="C103" s="310"/>
      <c r="D103" s="310"/>
      <c r="E103" s="310"/>
      <c r="F103" s="310"/>
      <c r="G103" s="310"/>
      <c r="H103" s="310"/>
      <c r="I103" s="310"/>
      <c r="J103" s="310"/>
      <c r="K103" s="310"/>
      <c r="L103" s="310"/>
      <c r="M103" s="310"/>
      <c r="N103" s="310"/>
      <c r="O103" s="310"/>
    </row>
  </sheetData>
  <sheetProtection algorithmName="SHA-512" hashValue="IbDo/fkNTUrMs5cpRw/wnlIqSh4RCbJaqS/Orc5zgHX2ld8WN7XYZGyd2mT4RSGQF056Pd8zR7+nznIsOcoWAA==" saltValue="bWi1rikR14ZuxhL3VR+iug==" spinCount="100000" sheet="1" formatRows="0" selectLockedCells="1"/>
  <mergeCells count="106">
    <mergeCell ref="H87:N87"/>
    <mergeCell ref="H88:N88"/>
    <mergeCell ref="H74:N74"/>
    <mergeCell ref="D86:O86"/>
    <mergeCell ref="D58:O58"/>
    <mergeCell ref="H93:N93"/>
    <mergeCell ref="R33:V33"/>
    <mergeCell ref="D34:J34"/>
    <mergeCell ref="J9:K9"/>
    <mergeCell ref="D9:I9"/>
    <mergeCell ref="G22:K22"/>
    <mergeCell ref="D30:F30"/>
    <mergeCell ref="D31:F31"/>
    <mergeCell ref="O80:Q80"/>
    <mergeCell ref="H73:N73"/>
    <mergeCell ref="L30:O30"/>
    <mergeCell ref="L31:O31"/>
    <mergeCell ref="G48:K48"/>
    <mergeCell ref="R60:V60"/>
    <mergeCell ref="D24:F24"/>
    <mergeCell ref="R49:V49"/>
    <mergeCell ref="O49:Q49"/>
    <mergeCell ref="D50:O50"/>
    <mergeCell ref="E52:O52"/>
    <mergeCell ref="R80:V80"/>
    <mergeCell ref="E75:G75"/>
    <mergeCell ref="H75:N75"/>
    <mergeCell ref="H76:N76"/>
    <mergeCell ref="H77:N77"/>
    <mergeCell ref="D60:L60"/>
    <mergeCell ref="D65:N65"/>
    <mergeCell ref="D68:H68"/>
    <mergeCell ref="D72:O72"/>
    <mergeCell ref="O60:Q60"/>
    <mergeCell ref="D61:J61"/>
    <mergeCell ref="C2:J2"/>
    <mergeCell ref="D19:F19"/>
    <mergeCell ref="G23:K23"/>
    <mergeCell ref="D23:F23"/>
    <mergeCell ref="D27:F27"/>
    <mergeCell ref="G19:K19"/>
    <mergeCell ref="G27:K27"/>
    <mergeCell ref="D18:O18"/>
    <mergeCell ref="L19:O19"/>
    <mergeCell ref="L23:O23"/>
    <mergeCell ref="L27:O27"/>
    <mergeCell ref="D12:O12"/>
    <mergeCell ref="H14:N14"/>
    <mergeCell ref="J8:K8"/>
    <mergeCell ref="E13:G13"/>
    <mergeCell ref="H13:N13"/>
    <mergeCell ref="L24:O24"/>
    <mergeCell ref="D6:L6"/>
    <mergeCell ref="D21:F21"/>
    <mergeCell ref="D22:F22"/>
    <mergeCell ref="G21:K21"/>
    <mergeCell ref="D8:I8"/>
    <mergeCell ref="D17:N17"/>
    <mergeCell ref="B3:O3"/>
    <mergeCell ref="E90:G90"/>
    <mergeCell ref="H90:N90"/>
    <mergeCell ref="E91:G91"/>
    <mergeCell ref="H91:N91"/>
    <mergeCell ref="E88:G88"/>
    <mergeCell ref="E37:G37"/>
    <mergeCell ref="H37:N37"/>
    <mergeCell ref="D25:F25"/>
    <mergeCell ref="B103:O103"/>
    <mergeCell ref="E89:G89"/>
    <mergeCell ref="H89:N89"/>
    <mergeCell ref="L26:O26"/>
    <mergeCell ref="L29:O29"/>
    <mergeCell ref="L25:O25"/>
    <mergeCell ref="D48:F48"/>
    <mergeCell ref="G31:K31"/>
    <mergeCell ref="O33:Q33"/>
    <mergeCell ref="F83:I83"/>
    <mergeCell ref="D82:J82"/>
    <mergeCell ref="D81:L81"/>
    <mergeCell ref="D36:O36"/>
    <mergeCell ref="B100:G100"/>
    <mergeCell ref="E92:G92"/>
    <mergeCell ref="H92:N92"/>
    <mergeCell ref="B19:B20"/>
    <mergeCell ref="B6:B7"/>
    <mergeCell ref="L28:O28"/>
    <mergeCell ref="D20:O20"/>
    <mergeCell ref="G28:K28"/>
    <mergeCell ref="G26:K26"/>
    <mergeCell ref="G29:K29"/>
    <mergeCell ref="G25:K25"/>
    <mergeCell ref="D47:F47"/>
    <mergeCell ref="D46:F46"/>
    <mergeCell ref="G46:K46"/>
    <mergeCell ref="D44:K44"/>
    <mergeCell ref="D45:F45"/>
    <mergeCell ref="G24:K24"/>
    <mergeCell ref="G45:K45"/>
    <mergeCell ref="D28:F28"/>
    <mergeCell ref="D26:F26"/>
    <mergeCell ref="D29:F29"/>
    <mergeCell ref="G47:K47"/>
    <mergeCell ref="G30:K30"/>
    <mergeCell ref="H38:N38"/>
    <mergeCell ref="L21:O21"/>
    <mergeCell ref="L22:O22"/>
  </mergeCells>
  <conditionalFormatting sqref="B3:O3">
    <cfRule type="expression" dxfId="3095" priority="2">
      <formula>$B$3="Paramedic"</formula>
    </cfRule>
    <cfRule type="expression" dxfId="3094" priority="4">
      <formula>$B$3="AEMT"</formula>
    </cfRule>
  </conditionalFormatting>
  <conditionalFormatting sqref="B103:O103">
    <cfRule type="expression" dxfId="3093" priority="1">
      <formula>$B$103="Paramedic"</formula>
    </cfRule>
    <cfRule type="expression" dxfId="3092" priority="3">
      <formula>$B$103="AEMT"</formula>
    </cfRule>
  </conditionalFormatting>
  <conditionalFormatting sqref="D45:F45">
    <cfRule type="expression" dxfId="3091" priority="22">
      <formula>J42="Yes"</formula>
    </cfRule>
  </conditionalFormatting>
  <conditionalFormatting sqref="D46:F46">
    <cfRule type="expression" dxfId="3090" priority="21">
      <formula>J42="Yes"</formula>
    </cfRule>
  </conditionalFormatting>
  <conditionalFormatting sqref="D47:F47">
    <cfRule type="expression" dxfId="3089" priority="20">
      <formula>J42="Yes"</formula>
    </cfRule>
  </conditionalFormatting>
  <conditionalFormatting sqref="D48:F48">
    <cfRule type="expression" dxfId="3088" priority="19">
      <formula>J42="Yes"</formula>
    </cfRule>
  </conditionalFormatting>
  <conditionalFormatting sqref="D44:K44">
    <cfRule type="expression" dxfId="3087" priority="23">
      <formula>J42="Yes"</formula>
    </cfRule>
  </conditionalFormatting>
  <conditionalFormatting sqref="E88:G88">
    <cfRule type="expression" dxfId="3086" priority="6">
      <formula>$E$88&lt;&gt;""</formula>
    </cfRule>
  </conditionalFormatting>
  <conditionalFormatting sqref="G45:K45">
    <cfRule type="expression" dxfId="3085" priority="18">
      <formula>J42="Yes"</formula>
    </cfRule>
  </conditionalFormatting>
  <conditionalFormatting sqref="G46:K46">
    <cfRule type="expression" dxfId="3084" priority="17">
      <formula>J42="Yes"</formula>
    </cfRule>
  </conditionalFormatting>
  <conditionalFormatting sqref="G47:K47">
    <cfRule type="expression" dxfId="3083" priority="16">
      <formula>J42="Yes"</formula>
    </cfRule>
  </conditionalFormatting>
  <conditionalFormatting sqref="G48:K48">
    <cfRule type="expression" dxfId="3082" priority="15">
      <formula>J42="Yes"</formula>
    </cfRule>
  </conditionalFormatting>
  <conditionalFormatting sqref="K42">
    <cfRule type="expression" dxfId="3078" priority="5">
      <formula>K42=" authorization is required"</formula>
    </cfRule>
  </conditionalFormatting>
  <dataValidations count="1">
    <dataValidation type="list" allowBlank="1" showInputMessage="1" showErrorMessage="1" sqref="J42" xr:uid="{00000000-0002-0000-0400-000000000000}">
      <formula1>"Yes, No"</formula1>
    </dataValidation>
  </dataValidations>
  <hyperlinks>
    <hyperlink ref="R80:V80" r:id="rId1" display="https://coaemsp.org/resource-library" xr:uid="{00000000-0004-0000-0400-000000000000}"/>
    <hyperlink ref="R60" r:id="rId2" display="https://coaemsp.org/Forms.htm" xr:uid="{00000000-0004-0000-0400-000001000000}"/>
    <hyperlink ref="R60:V60" r:id="rId3" display="https://coaemsp.org/resource-library" xr:uid="{00000000-0004-0000-0400-000002000000}"/>
    <hyperlink ref="R33:V33" r:id="rId4" display="Advisory Committee Meeting Minutes" xr:uid="{00000000-0004-0000-0400-000003000000}"/>
  </hyperlinks>
  <printOptions horizontalCentered="1" verticalCentered="1"/>
  <pageMargins left="0.25" right="0.25" top="0.25" bottom="0.25" header="0.3" footer="0.3"/>
  <pageSetup scale="81" fitToHeight="0" orientation="landscape" horizontalDpi="300" verticalDpi="300" r:id="rId5"/>
  <rowBreaks count="2" manualBreakCount="2">
    <brk id="63" max="14" man="1"/>
    <brk id="86" max="14" man="1"/>
  </rowBreaks>
  <colBreaks count="1" manualBreakCount="1">
    <brk id="15" max="1048575" man="1"/>
  </colBreaks>
  <legacyDrawing r:id="rId6"/>
  <extLst>
    <ext xmlns:x14="http://schemas.microsoft.com/office/spreadsheetml/2009/9/main" uri="{78C0D931-6437-407d-A8EE-F0AAD7539E65}">
      <x14:conditionalFormattings>
        <x14:conditionalFormatting xmlns:xm="http://schemas.microsoft.com/office/excel/2006/main">
          <x14:cfRule type="expression" priority="16051" id="{DE5661C5-00D0-4C43-AB09-4988B3A8B247}">
            <xm:f>'Standard I-Sponsorship'!#REF!="Yes"</xm:f>
            <x14:dxf>
              <fill>
                <patternFill>
                  <bgColor rgb="FFEFF6FB"/>
                </patternFill>
              </fill>
              <border>
                <left style="thin">
                  <color auto="1"/>
                </left>
                <right style="thin">
                  <color auto="1"/>
                </right>
                <top style="thin">
                  <color auto="1"/>
                </top>
                <bottom style="thin">
                  <color auto="1"/>
                </bottom>
                <vertical/>
                <horizontal/>
              </border>
            </x14:dxf>
          </x14:cfRule>
          <xm:sqref>H63:K63</xm:sqref>
        </x14:conditionalFormatting>
        <x14:conditionalFormatting xmlns:xm="http://schemas.microsoft.com/office/excel/2006/main">
          <x14:cfRule type="expression" priority="16061" id="{B250AE56-282E-4359-B035-DDCEB2B2CBCD}">
            <xm:f>'Standard I-Sponsorship'!#REF!="Yes"</xm:f>
            <x14:dxf>
              <fill>
                <patternFill>
                  <bgColor rgb="FFEFF6FB"/>
                </patternFill>
              </fill>
              <border>
                <left style="thin">
                  <color auto="1"/>
                </left>
                <right style="thin">
                  <color auto="1"/>
                </right>
                <top style="thin">
                  <color auto="1"/>
                </top>
                <bottom style="thin">
                  <color auto="1"/>
                </bottom>
                <vertical/>
                <horizontal/>
              </border>
            </x14:dxf>
          </x14:cfRule>
          <xm:sqref>I67:K67</xm:sqref>
        </x14:conditionalFormatting>
        <x14:conditionalFormatting xmlns:xm="http://schemas.microsoft.com/office/excel/2006/main">
          <x14:cfRule type="expression" priority="16060" id="{DE5661C5-00D0-4C43-AB09-4988B3A8B247}">
            <xm:f>'Standard I-Sponsorship'!#REF!="Yes"</xm:f>
            <x14:dxf>
              <fill>
                <patternFill>
                  <bgColor rgb="FFEFF6FB"/>
                </patternFill>
              </fill>
              <border>
                <left style="thin">
                  <color auto="1"/>
                </left>
                <right style="thin">
                  <color auto="1"/>
                </right>
                <top style="thin">
                  <color auto="1"/>
                </top>
                <bottom style="thin">
                  <color auto="1"/>
                </bottom>
                <vertical/>
                <horizontal/>
              </border>
            </x14:dxf>
          </x14:cfRule>
          <xm:sqref>J62:K62</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5B8EA"/>
  </sheetPr>
  <dimension ref="B1:AA180"/>
  <sheetViews>
    <sheetView showGridLines="0" zoomScaleNormal="100" workbookViewId="0">
      <selection activeCell="J51" sqref="J51"/>
    </sheetView>
  </sheetViews>
  <sheetFormatPr defaultColWidth="9.140625" defaultRowHeight="15" x14ac:dyDescent="0.25"/>
  <cols>
    <col min="1" max="1" width="4.7109375" customWidth="1"/>
    <col min="2" max="2" width="13.7109375" customWidth="1"/>
    <col min="3" max="3" width="7.7109375" customWidth="1"/>
    <col min="4" max="4" width="15" customWidth="1"/>
    <col min="5" max="5" width="14" customWidth="1"/>
    <col min="6" max="6" width="15.42578125" customWidth="1"/>
    <col min="7" max="7" width="12.7109375" customWidth="1"/>
    <col min="8" max="8" width="14.28515625" customWidth="1"/>
    <col min="9" max="9" width="11.5703125" customWidth="1"/>
    <col min="10" max="10" width="10.7109375" customWidth="1"/>
    <col min="11" max="11" width="9.28515625" customWidth="1"/>
    <col min="12" max="12" width="12.42578125" customWidth="1"/>
    <col min="13" max="13" width="12.85546875" customWidth="1"/>
    <col min="14" max="14" width="9.140625" customWidth="1"/>
  </cols>
  <sheetData>
    <row r="1" spans="2:22" s="41" customFormat="1" ht="45.95" customHeight="1" x14ac:dyDescent="0.25">
      <c r="B1" s="4" t="s">
        <v>54</v>
      </c>
      <c r="N1" s="64" t="str">
        <f>Instructions!C19</f>
        <v>SSR Revised 2025.02</v>
      </c>
    </row>
    <row r="2" spans="2:22" s="41" customFormat="1" ht="21.75" customHeight="1" x14ac:dyDescent="0.2">
      <c r="B2" s="463">
        <f>'Title Page'!$D$10</f>
        <v>0</v>
      </c>
      <c r="C2" s="463"/>
      <c r="D2" s="463"/>
      <c r="E2" s="463"/>
      <c r="F2" s="463"/>
      <c r="G2" s="463"/>
      <c r="H2" s="463"/>
      <c r="I2" s="463"/>
      <c r="J2" s="463"/>
    </row>
    <row r="3" spans="2:22" ht="27" customHeight="1" x14ac:dyDescent="0.25">
      <c r="B3" s="310" t="str">
        <f>IF('Title Page'!D3&lt;&gt;"Please Select",'Title Page'!D3,"")</f>
        <v/>
      </c>
      <c r="C3" s="310"/>
      <c r="D3" s="310"/>
      <c r="E3" s="310"/>
      <c r="F3" s="310"/>
      <c r="G3" s="310"/>
      <c r="H3" s="310"/>
      <c r="I3" s="310"/>
      <c r="J3" s="310"/>
      <c r="K3" s="310"/>
      <c r="L3" s="310"/>
      <c r="M3" s="310"/>
      <c r="N3" s="310"/>
      <c r="O3" s="310"/>
    </row>
    <row r="4" spans="2:22" s="41" customFormat="1" ht="56.25" customHeight="1" x14ac:dyDescent="0.2">
      <c r="O4" s="353" t="s">
        <v>127</v>
      </c>
      <c r="P4" s="353"/>
      <c r="Q4" s="353"/>
      <c r="R4" s="356" t="s">
        <v>131</v>
      </c>
      <c r="S4" s="356"/>
      <c r="T4" s="356"/>
      <c r="U4" s="356"/>
      <c r="V4" s="356"/>
    </row>
    <row r="5" spans="2:22" s="41" customFormat="1" ht="148.5" customHeight="1" x14ac:dyDescent="0.2">
      <c r="B5" s="94" t="s">
        <v>403</v>
      </c>
      <c r="C5" s="109" t="s">
        <v>469</v>
      </c>
      <c r="D5" s="340" t="str">
        <f>IF(Instructions!A14&lt;&gt;"(LSSR)","The program must use the CoEMSP resource assessment tools and collect information from at least students, faculty, program Medical Director(s), and program Advisory committee members at least annually."&amp;"  
List the most recent three (3) years of completed Resource Assessment Matrices (RAMs) by mm/yyyy.  "&amp;"Place an 'N/A' in the box(es) if no RAM is available and briefly explain the reason below:", "The program must use the CoAEMSP resource assessment tools and collect information from at least students, faculty, program Medical Director(s), and program Advisory committee members at least annually.  "&amp;"Programs seeking a Letter of Review (LoR) are required to complete at least columns B (Purpose), C (Measurement System), and D (Dates of Measurement) of the matrix.  "&amp;"
List at least one (1) Resource Assessment Matrix (RAM) by mm/yyyy with columns B, C, and D completed, place 'N/A' in the other boxes"&amp;" if no RAM is available, and provide a brief explanation regarding the progam's process for completing the RAM in the future in the box below.")</f>
        <v>The program must use the CoAEMSP resource assessment tools and collect information from at least students, faculty, program Medical Director(s), and program Advisory committee members at least annually.  Programs seeking a Letter of Review (LoR) are required to complete at least columns B (Purpose), C (Measurement System), and D (Dates of Measurement) of the matrix.  
List at least one (1) Resource Assessment Matrix (RAM) by mm/yyyy with columns B, C, and D completed, place 'N/A' in the other boxes if no RAM is available, and provide a brief explanation regarding the progam's process for completing the RAM in the future in the box below.</v>
      </c>
      <c r="E5" s="340"/>
      <c r="F5" s="340"/>
      <c r="G5" s="340"/>
      <c r="H5" s="340"/>
      <c r="I5" s="340"/>
      <c r="J5" s="340"/>
      <c r="K5" s="340"/>
      <c r="L5" s="340"/>
      <c r="M5" s="8"/>
      <c r="N5" s="8"/>
      <c r="O5" s="458" t="s">
        <v>82</v>
      </c>
      <c r="P5" s="458"/>
      <c r="Q5" s="458"/>
      <c r="R5" s="8"/>
    </row>
    <row r="6" spans="2:22" s="41" customFormat="1" ht="39.75" customHeight="1" x14ac:dyDescent="0.2">
      <c r="B6" s="110"/>
      <c r="D6" s="366" t="s">
        <v>204</v>
      </c>
      <c r="E6" s="366"/>
      <c r="F6" s="366"/>
      <c r="G6" s="366"/>
      <c r="H6" s="366"/>
      <c r="I6" s="366"/>
      <c r="J6" s="366"/>
    </row>
    <row r="7" spans="2:22" s="41" customFormat="1" ht="43.5" customHeight="1" x14ac:dyDescent="0.2">
      <c r="B7" s="339" t="s">
        <v>394</v>
      </c>
      <c r="D7" s="60" t="s">
        <v>326</v>
      </c>
      <c r="E7" s="140"/>
      <c r="F7" s="100" t="s">
        <v>99</v>
      </c>
      <c r="G7" s="140"/>
      <c r="H7" s="100" t="s">
        <v>100</v>
      </c>
      <c r="I7" s="140"/>
      <c r="J7" s="273"/>
      <c r="K7" s="273"/>
      <c r="L7" s="8"/>
      <c r="M7" s="8"/>
      <c r="N7" s="8"/>
      <c r="O7" s="8"/>
      <c r="P7" s="8"/>
      <c r="Q7" s="8"/>
      <c r="R7" s="8"/>
    </row>
    <row r="8" spans="2:22" s="41" customFormat="1" ht="45" customHeight="1" x14ac:dyDescent="0.2">
      <c r="B8" s="339"/>
      <c r="H8" s="273"/>
      <c r="I8" s="273"/>
      <c r="J8" s="273"/>
      <c r="K8" s="273"/>
      <c r="L8" s="8"/>
      <c r="M8" s="8"/>
      <c r="N8" s="8"/>
      <c r="O8" s="8"/>
      <c r="P8" s="8"/>
      <c r="Q8" s="8"/>
      <c r="R8" s="8"/>
    </row>
    <row r="9" spans="2:22" s="41" customFormat="1" ht="48.95" customHeight="1" x14ac:dyDescent="0.2">
      <c r="B9" s="339"/>
      <c r="D9" s="41" t="str">
        <f>IF(Instructions!A14&lt;&gt;"(LSSR)","If N/A is in any of the boxes, briefly explain:","Provide a brief explanation for completing the RAM in the future:")</f>
        <v>Provide a brief explanation for completing the RAM in the future:</v>
      </c>
      <c r="I9" s="8"/>
      <c r="J9" s="8"/>
      <c r="K9" s="8"/>
      <c r="L9" s="8"/>
      <c r="M9" s="8"/>
      <c r="N9" s="8"/>
      <c r="O9" s="8"/>
      <c r="P9" s="8"/>
      <c r="Q9" s="8"/>
      <c r="R9" s="8"/>
    </row>
    <row r="10" spans="2:22" s="41" customFormat="1" ht="101.25" customHeight="1" x14ac:dyDescent="0.2">
      <c r="B10" s="339" t="s">
        <v>119</v>
      </c>
      <c r="C10" s="88"/>
      <c r="D10" s="385"/>
      <c r="E10" s="386"/>
      <c r="F10" s="386"/>
      <c r="G10" s="386"/>
      <c r="H10" s="386"/>
      <c r="I10" s="386"/>
      <c r="J10" s="386"/>
      <c r="K10" s="386"/>
      <c r="L10" s="386"/>
      <c r="M10" s="386"/>
      <c r="N10" s="387"/>
    </row>
    <row r="11" spans="2:22" s="41" customFormat="1" ht="14.25" x14ac:dyDescent="0.2">
      <c r="B11" s="339"/>
      <c r="I11" s="8"/>
      <c r="J11" s="8"/>
      <c r="K11" s="8"/>
      <c r="L11" s="8"/>
      <c r="M11" s="8"/>
      <c r="N11" s="8"/>
      <c r="O11" s="8"/>
      <c r="P11" s="8"/>
      <c r="Q11" s="8"/>
      <c r="R11" s="8"/>
    </row>
    <row r="12" spans="2:22" s="41" customFormat="1" ht="14.25" x14ac:dyDescent="0.2">
      <c r="I12" s="8"/>
      <c r="J12" s="8"/>
      <c r="K12" s="8"/>
      <c r="L12" s="8"/>
      <c r="M12" s="8"/>
      <c r="N12" s="8"/>
      <c r="O12" s="8"/>
      <c r="P12" s="8"/>
      <c r="Q12" s="8"/>
      <c r="R12" s="8"/>
    </row>
    <row r="13" spans="2:22" s="41" customFormat="1" ht="65.25" customHeight="1" x14ac:dyDescent="0.2">
      <c r="C13" s="88"/>
      <c r="D13" s="358" t="str">
        <f>IF(Instructions!A12&lt;&gt;"Letter of Review","Place a copy of the most recent three (3) completed Resource Assessment Matices (RAMs) for each of the years listed above in the Documentation folder.  "&amp;"Each document must be titled with the 'EXACT document name' and must be included as the type of file format listed below (not Word 97-2003 [.doc], Word 2013 [.docx], or Adobe Portable Document [.pdf]).", "Place at least one (1) Resource Assessment Matrix (RAM) by mm/yyyy with columns B, C, and D completed in the Documentation folder. "&amp;" The document must be titled with the 'EXACT document name' and must be included as the type of file format listed below (not Word 97-2003 [.doc], Word 2013 [.docx], or Adobe Portable Document [.pdf]")</f>
        <v>Place at least one (1) Resource Assessment Matrix (RAM) by mm/yyyy with columns B, C, and D completed in the Documentation folder.  The document must be titled with the 'EXACT document name' and must be included as the type of file format listed below (not Word 97-2003 [.doc], Word 2013 [.docx], or Adobe Portable Document [.pdf]</v>
      </c>
      <c r="E13" s="358"/>
      <c r="F13" s="358"/>
      <c r="G13" s="358"/>
      <c r="H13" s="358"/>
      <c r="I13" s="358"/>
      <c r="J13" s="358"/>
      <c r="K13" s="358"/>
      <c r="L13" s="358"/>
      <c r="M13" s="358"/>
      <c r="N13" s="358"/>
      <c r="O13" s="358"/>
      <c r="S13" s="63"/>
    </row>
    <row r="14" spans="2:22" s="41" customFormat="1" ht="27" customHeight="1" x14ac:dyDescent="0.2">
      <c r="C14" s="88"/>
      <c r="H14" s="360" t="str">
        <f>IF(AND(H15="",H16="",H17=""),"                    Most recent RAM (mm/yyyy) have not been provided above","        Exact Document Name (for each):")</f>
        <v xml:space="preserve">                    Most recent RAM (mm/yyyy) have not been provided above</v>
      </c>
      <c r="I14" s="360"/>
      <c r="J14" s="360"/>
      <c r="K14" s="360"/>
      <c r="L14" s="360"/>
      <c r="M14" s="360"/>
      <c r="N14" s="360"/>
      <c r="S14" s="63"/>
    </row>
    <row r="15" spans="2:22" s="41" customFormat="1" ht="30.75" customHeight="1" x14ac:dyDescent="0.2">
      <c r="C15" s="88"/>
      <c r="H15" s="360" t="str">
        <f>IF(OR(E7="N/A",E7="",E7="na"),"","                                            14 RAM 01")</f>
        <v/>
      </c>
      <c r="I15" s="360"/>
      <c r="J15" s="360"/>
      <c r="K15" s="360"/>
      <c r="L15" s="360"/>
      <c r="M15" s="360"/>
      <c r="N15" s="360"/>
      <c r="S15" s="63"/>
    </row>
    <row r="16" spans="2:22" s="41" customFormat="1" ht="29.25" customHeight="1" x14ac:dyDescent="0.2">
      <c r="C16" s="88"/>
      <c r="E16" s="430"/>
      <c r="F16" s="430"/>
      <c r="G16" s="430"/>
      <c r="H16" s="360" t="str">
        <f>IF(OR(G7="N/A",G7="",G7="na"),"","                                            14 RAM 02")</f>
        <v/>
      </c>
      <c r="I16" s="360"/>
      <c r="J16" s="360"/>
      <c r="K16" s="360"/>
      <c r="L16" s="360"/>
      <c r="M16" s="360"/>
      <c r="N16" s="360"/>
      <c r="S16" s="63"/>
    </row>
    <row r="17" spans="2:22" s="41" customFormat="1" ht="27" customHeight="1" x14ac:dyDescent="0.2">
      <c r="C17" s="88"/>
      <c r="H17" s="360" t="str">
        <f>IF(OR(I7="N/A",I7="",I7="na"),"","                                            14 RAM 03")</f>
        <v/>
      </c>
      <c r="I17" s="360"/>
      <c r="J17" s="360"/>
      <c r="K17" s="360"/>
      <c r="L17" s="360"/>
      <c r="M17" s="360"/>
      <c r="N17" s="360"/>
      <c r="S17" s="63"/>
    </row>
    <row r="18" spans="2:22" s="41" customFormat="1" ht="27.75" customHeight="1" x14ac:dyDescent="0.2">
      <c r="C18" s="88"/>
      <c r="H18" s="361" t="str">
        <f>IF(AND(H15="",H16="",H17=""),"","                   Type of File(s):    Excel (.xlsx)")</f>
        <v/>
      </c>
      <c r="I18" s="361"/>
      <c r="J18" s="361"/>
      <c r="K18" s="361"/>
      <c r="L18" s="361"/>
      <c r="M18" s="361"/>
      <c r="N18" s="361"/>
      <c r="S18" s="63"/>
    </row>
    <row r="19" spans="2:22" s="41" customFormat="1" ht="14.25" x14ac:dyDescent="0.2">
      <c r="C19" s="27"/>
    </row>
    <row r="20" spans="2:22" s="41" customFormat="1" ht="14.25" x14ac:dyDescent="0.2"/>
    <row r="21" spans="2:22" s="41" customFormat="1" ht="56.25" customHeight="1" x14ac:dyDescent="0.2">
      <c r="O21" s="353" t="s">
        <v>113</v>
      </c>
      <c r="P21" s="353"/>
      <c r="Q21" s="353"/>
      <c r="R21" s="356" t="s">
        <v>360</v>
      </c>
      <c r="S21" s="356"/>
      <c r="T21" s="356"/>
      <c r="U21" s="356"/>
      <c r="V21" s="356"/>
    </row>
    <row r="22" spans="2:22" s="41" customFormat="1" ht="154.5" customHeight="1" x14ac:dyDescent="0.2">
      <c r="C22" s="109" t="s">
        <v>470</v>
      </c>
      <c r="D22" s="340" t="s">
        <v>539</v>
      </c>
      <c r="E22" s="340"/>
      <c r="F22" s="340"/>
      <c r="G22" s="340"/>
      <c r="H22" s="340"/>
      <c r="I22" s="340"/>
      <c r="J22" s="340"/>
      <c r="K22" s="340"/>
      <c r="L22" s="340"/>
      <c r="M22" s="8"/>
      <c r="N22" s="8"/>
      <c r="O22" s="458" t="s">
        <v>82</v>
      </c>
      <c r="P22" s="458"/>
      <c r="Q22" s="458"/>
      <c r="R22" s="8"/>
    </row>
    <row r="23" spans="2:22" s="41" customFormat="1" ht="18" customHeight="1" x14ac:dyDescent="0.2">
      <c r="B23" s="110"/>
      <c r="D23" s="366" t="s">
        <v>204</v>
      </c>
      <c r="E23" s="366"/>
      <c r="F23" s="366"/>
      <c r="G23" s="366"/>
      <c r="H23" s="366"/>
      <c r="I23" s="366"/>
      <c r="J23" s="366"/>
    </row>
    <row r="24" spans="2:22" s="41" customFormat="1" ht="18" customHeight="1" x14ac:dyDescent="0.2">
      <c r="B24" s="110"/>
      <c r="D24" s="111"/>
      <c r="E24" s="111"/>
      <c r="F24" s="111"/>
      <c r="G24" s="111"/>
      <c r="H24" s="111"/>
      <c r="I24" s="111"/>
      <c r="J24" s="111"/>
    </row>
    <row r="25" spans="2:22" s="41" customFormat="1" ht="54.75" customHeight="1" x14ac:dyDescent="0.2">
      <c r="B25" s="110"/>
      <c r="D25" s="459" t="s">
        <v>368</v>
      </c>
      <c r="E25" s="459"/>
      <c r="F25" s="459"/>
      <c r="G25" s="459"/>
      <c r="H25" s="459"/>
      <c r="I25" s="459"/>
      <c r="J25" s="142"/>
      <c r="K25" s="79" t="str">
        <f>IF(J25="", " &lt;=== Select from drop down list","")</f>
        <v xml:space="preserve"> &lt;=== Select from drop down list</v>
      </c>
      <c r="L25" s="111"/>
    </row>
    <row r="26" spans="2:22" s="41" customFormat="1" ht="14.25" x14ac:dyDescent="0.2">
      <c r="C26" s="27"/>
    </row>
    <row r="27" spans="2:22" s="41" customFormat="1" ht="75.599999999999994" customHeight="1" x14ac:dyDescent="0.2">
      <c r="C27" s="88"/>
      <c r="D27" s="358" t="str">
        <f>IF(OR(J25="",J25="No"),"Place the program's most recently approved/endorsed CoAEMSP Student Minimum Competency Recommendations (formerly known as Student Minimum Competency Matrix) in the Documentation folder.  "&amp;"This document must be titled with the 'EXACT document name' and must be included as the type of file format listed below (not Word 97-2003 [.doc], Word 2013 [.docx], or Adobe Portable Document [.pdf]).","Place the program's most recently approved/endorsed CoAEMSP Student Minimum Competency Recommendations (formerly known as Student Minimum Competency Matrix) in the Documentation folder.  "&amp;"This document must be titled with the 'EXACT document name' and must be included as the type of file format listed below (not Word 97-2003 [.doc], Word 2013 [.docx], or Adobe Portable Document [.pdf]).  "&amp;"
The program should also maintain on file the rationale for any program required minimum numbers below the CoAEMSP recommended numbers.")</f>
        <v>Place the program's most recently approved/endorsed CoAEMSP Student Minimum Competency Recommendations (formerly known as Student Minimum Competency Matrix) in the Documentation folder.  This document must be titled with the 'EXACT document name' and must be included as the type of file format listed below (not Word 97-2003 [.doc], Word 2013 [.docx], or Adobe Portable Document [.pdf]).</v>
      </c>
      <c r="E27" s="358"/>
      <c r="F27" s="358"/>
      <c r="G27" s="358"/>
      <c r="H27" s="358"/>
      <c r="I27" s="358"/>
      <c r="J27" s="358"/>
      <c r="K27" s="358"/>
      <c r="L27" s="358"/>
      <c r="M27" s="358"/>
      <c r="N27" s="358"/>
      <c r="O27" s="358"/>
      <c r="S27" s="63"/>
    </row>
    <row r="28" spans="2:22" s="41" customFormat="1" ht="27" customHeight="1" x14ac:dyDescent="0.2">
      <c r="C28" s="88"/>
      <c r="H28" s="360" t="s">
        <v>117</v>
      </c>
      <c r="I28" s="360"/>
      <c r="J28" s="360"/>
      <c r="K28" s="360"/>
      <c r="L28" s="360"/>
      <c r="M28" s="360"/>
      <c r="N28" s="360"/>
      <c r="S28" s="63"/>
    </row>
    <row r="29" spans="2:22" s="41" customFormat="1" ht="29.25" customHeight="1" x14ac:dyDescent="0.2">
      <c r="C29" s="88"/>
      <c r="E29" s="430"/>
      <c r="F29" s="430"/>
      <c r="G29" s="430"/>
      <c r="H29" s="360" t="s">
        <v>440</v>
      </c>
      <c r="I29" s="360"/>
      <c r="J29" s="360"/>
      <c r="K29" s="360"/>
      <c r="L29" s="360"/>
      <c r="M29" s="360"/>
      <c r="N29" s="360"/>
      <c r="S29" s="63"/>
    </row>
    <row r="30" spans="2:22" s="41" customFormat="1" ht="37.5" customHeight="1" x14ac:dyDescent="0.2">
      <c r="C30" s="88"/>
      <c r="H30" s="443" t="s">
        <v>361</v>
      </c>
      <c r="I30" s="443"/>
      <c r="J30" s="443"/>
      <c r="K30" s="443"/>
      <c r="L30" s="443"/>
      <c r="M30" s="443"/>
      <c r="N30" s="443"/>
      <c r="S30" s="63"/>
    </row>
    <row r="31" spans="2:22" s="41" customFormat="1" ht="14.25" x14ac:dyDescent="0.2"/>
    <row r="32" spans="2:22" s="41" customFormat="1" ht="14.25" x14ac:dyDescent="0.2"/>
    <row r="33" spans="2:22" s="41" customFormat="1" ht="57.95" customHeight="1" x14ac:dyDescent="0.2">
      <c r="C33" s="109" t="s">
        <v>468</v>
      </c>
      <c r="D33" s="340" t="s">
        <v>491</v>
      </c>
      <c r="E33" s="340"/>
      <c r="F33" s="340"/>
      <c r="G33" s="340"/>
      <c r="H33" s="340"/>
      <c r="I33" s="340"/>
      <c r="J33" s="340"/>
      <c r="K33" s="340"/>
      <c r="L33" s="340"/>
      <c r="M33" s="8"/>
      <c r="N33" s="8"/>
      <c r="O33" s="353" t="s">
        <v>113</v>
      </c>
      <c r="P33" s="353"/>
      <c r="Q33" s="353"/>
      <c r="R33" s="356" t="s">
        <v>506</v>
      </c>
      <c r="S33" s="356"/>
      <c r="T33" s="356"/>
      <c r="U33" s="356"/>
      <c r="V33" s="356"/>
    </row>
    <row r="34" spans="2:22" s="41" customFormat="1" ht="18" customHeight="1" x14ac:dyDescent="0.2">
      <c r="B34" s="110"/>
      <c r="D34" s="366" t="s">
        <v>204</v>
      </c>
      <c r="E34" s="366"/>
      <c r="F34" s="366"/>
      <c r="G34" s="366"/>
      <c r="H34" s="366"/>
      <c r="I34" s="366"/>
      <c r="J34" s="366"/>
    </row>
    <row r="35" spans="2:22" s="41" customFormat="1" ht="18" customHeight="1" x14ac:dyDescent="0.2">
      <c r="B35" s="110"/>
      <c r="D35" s="111"/>
      <c r="E35" s="111"/>
      <c r="F35" s="111"/>
      <c r="G35" s="111"/>
      <c r="H35" s="111"/>
      <c r="I35" s="111"/>
      <c r="J35" s="111"/>
    </row>
    <row r="36" spans="2:22" s="41" customFormat="1" ht="14.25" x14ac:dyDescent="0.2">
      <c r="C36" s="27"/>
    </row>
    <row r="37" spans="2:22" s="41" customFormat="1" ht="63.6" customHeight="1" x14ac:dyDescent="0.2">
      <c r="C37" s="88"/>
      <c r="D37" s="358" t="s">
        <v>505</v>
      </c>
      <c r="E37" s="358"/>
      <c r="F37" s="358"/>
      <c r="G37" s="358"/>
      <c r="H37" s="358"/>
      <c r="I37" s="358"/>
      <c r="J37" s="358"/>
      <c r="K37" s="358"/>
      <c r="L37" s="358"/>
      <c r="M37" s="358"/>
      <c r="N37" s="358"/>
      <c r="O37" s="358"/>
      <c r="S37" s="63"/>
    </row>
    <row r="38" spans="2:22" s="41" customFormat="1" ht="27" customHeight="1" x14ac:dyDescent="0.2">
      <c r="C38" s="88"/>
      <c r="H38" s="360" t="s">
        <v>117</v>
      </c>
      <c r="I38" s="360"/>
      <c r="J38" s="360"/>
      <c r="K38" s="360"/>
      <c r="L38" s="360"/>
      <c r="M38" s="360"/>
      <c r="N38" s="360"/>
      <c r="S38" s="63"/>
    </row>
    <row r="39" spans="2:22" s="41" customFormat="1" ht="29.25" customHeight="1" x14ac:dyDescent="0.2">
      <c r="C39" s="88"/>
      <c r="E39" s="430"/>
      <c r="F39" s="430"/>
      <c r="G39" s="430"/>
      <c r="H39" s="360" t="s">
        <v>487</v>
      </c>
      <c r="I39" s="360"/>
      <c r="J39" s="360"/>
      <c r="K39" s="360"/>
      <c r="L39" s="360"/>
      <c r="M39" s="360"/>
      <c r="N39" s="360"/>
      <c r="S39" s="63"/>
    </row>
    <row r="40" spans="2:22" s="41" customFormat="1" ht="37.5" customHeight="1" x14ac:dyDescent="0.2">
      <c r="C40" s="88"/>
      <c r="H40" s="443" t="s">
        <v>116</v>
      </c>
      <c r="I40" s="443"/>
      <c r="J40" s="443"/>
      <c r="K40" s="443"/>
      <c r="L40" s="443"/>
      <c r="M40" s="443"/>
      <c r="N40" s="443"/>
      <c r="S40" s="63"/>
    </row>
    <row r="41" spans="2:22" s="41" customFormat="1" ht="14.25" x14ac:dyDescent="0.2"/>
    <row r="42" spans="2:22" s="41" customFormat="1" ht="14.25" x14ac:dyDescent="0.2"/>
    <row r="43" spans="2:22" s="41" customFormat="1" ht="71.25" customHeight="1" x14ac:dyDescent="0.2">
      <c r="B43" s="94" t="s">
        <v>395</v>
      </c>
      <c r="C43" s="113" t="s">
        <v>11</v>
      </c>
      <c r="D43" s="340" t="str">
        <f>"The program must ensure the achievement of program goals and learning domains.  Instruction must be an appropriate sequence of classroom (core didactic), laboratory, clinical/field experience, and capstone field internship activities.  "&amp;"Progression of learning must be didactic/laboratory integrated with or followed by clinical/field experience followed by the capstone field internship.  All core " &amp;'Program Info'!B3&amp;" courses must be completed PRIOR to students starting capstone field internship.
List all the required core courses in the sequence in which students would typically enroll for completion of the " &amp;'Program Info'!B3&amp;" program in the table below.  All courses listed must be successfully completed in order for the student to graduate, receive the award (e.g., certificate, degree), and if applicable, be eligible for the NREMT examinations.  "&amp;"The list of courses below constitutes the official accredited program."</f>
        <v>The program must ensure the achievement of program goals and learning domains.  Instruction must be an appropriate sequence of classroom (core didactic), laboratory, clinical/field experience, and capstone field internship activities.  Progression of learning must be didactic/laboratory integrated with or followed by clinical/field experience followed by the capstone field internship.  All core  courses must be completed PRIOR to students starting capstone field internship.
List all the required core courses in the sequence in which students would typically enroll for completion of the  program in the table below.  All courses listed must be successfully completed in order for the student to graduate, receive the award (e.g., certificate, degree), and if applicable, be eligible for the NREMT examinations.  The list of courses below constitutes the official accredited program.</v>
      </c>
      <c r="E43" s="340"/>
      <c r="F43" s="340"/>
      <c r="G43" s="340"/>
      <c r="H43" s="340"/>
      <c r="I43" s="340"/>
      <c r="J43" s="340"/>
      <c r="K43" s="340"/>
      <c r="L43" s="340"/>
      <c r="M43" s="8"/>
      <c r="N43" s="8"/>
      <c r="O43" s="458" t="s">
        <v>82</v>
      </c>
      <c r="P43" s="458"/>
      <c r="Q43" s="458"/>
      <c r="R43" s="8"/>
    </row>
    <row r="44" spans="2:22" s="41" customFormat="1" ht="35.25" customHeight="1" x14ac:dyDescent="0.2">
      <c r="D44" s="340"/>
      <c r="E44" s="340"/>
      <c r="F44" s="340"/>
      <c r="G44" s="340"/>
      <c r="H44" s="340"/>
      <c r="I44" s="340"/>
      <c r="J44" s="340"/>
      <c r="K44" s="340"/>
      <c r="L44" s="340"/>
      <c r="M44" s="143"/>
    </row>
    <row r="45" spans="2:22" s="41" customFormat="1" ht="23.25" customHeight="1" x14ac:dyDescent="0.2">
      <c r="D45" s="340"/>
      <c r="E45" s="340"/>
      <c r="F45" s="340"/>
      <c r="G45" s="340"/>
      <c r="H45" s="340"/>
      <c r="I45" s="340"/>
      <c r="J45" s="340"/>
      <c r="K45" s="340"/>
      <c r="L45" s="340"/>
      <c r="M45" s="8"/>
      <c r="N45" s="8"/>
      <c r="O45" s="8"/>
      <c r="P45" s="8"/>
      <c r="Q45" s="8"/>
      <c r="R45" s="8"/>
    </row>
    <row r="46" spans="2:22" s="41" customFormat="1" ht="47.25" customHeight="1" x14ac:dyDescent="0.2">
      <c r="D46" s="340"/>
      <c r="E46" s="340"/>
      <c r="F46" s="340"/>
      <c r="G46" s="340"/>
      <c r="H46" s="340"/>
      <c r="I46" s="340"/>
      <c r="J46" s="340"/>
      <c r="K46" s="340"/>
      <c r="L46" s="340"/>
      <c r="M46" s="8"/>
      <c r="N46" s="8"/>
      <c r="O46" s="8"/>
      <c r="P46" s="8"/>
      <c r="Q46" s="8"/>
      <c r="R46" s="8"/>
    </row>
    <row r="47" spans="2:22" s="41" customFormat="1" ht="14.25" x14ac:dyDescent="0.2">
      <c r="B47" s="460"/>
      <c r="C47" s="460"/>
      <c r="D47" s="460"/>
      <c r="E47" s="460"/>
      <c r="F47" s="460"/>
      <c r="G47" s="460"/>
      <c r="H47" s="460"/>
    </row>
    <row r="48" spans="2:22" s="41" customFormat="1" ht="14.25" x14ac:dyDescent="0.2"/>
    <row r="49" spans="3:13" s="41" customFormat="1" ht="14.25" x14ac:dyDescent="0.2"/>
    <row r="50" spans="3:13" s="41" customFormat="1" ht="29.25" customHeight="1" x14ac:dyDescent="0.2">
      <c r="C50" s="461" t="s">
        <v>12</v>
      </c>
      <c r="D50" s="340" t="s">
        <v>129</v>
      </c>
      <c r="E50" s="340"/>
      <c r="F50" s="340"/>
      <c r="G50" s="340"/>
      <c r="H50" s="340"/>
      <c r="I50" s="104"/>
      <c r="K50" s="31" t="s">
        <v>75</v>
      </c>
      <c r="L50" s="1"/>
    </row>
    <row r="51" spans="3:13" s="41" customFormat="1" ht="33.75" customHeight="1" x14ac:dyDescent="0.2">
      <c r="C51" s="462"/>
      <c r="D51" s="340"/>
      <c r="E51" s="340"/>
      <c r="F51" s="340"/>
      <c r="G51" s="340"/>
      <c r="H51" s="340"/>
      <c r="I51" s="104"/>
      <c r="J51" s="142"/>
      <c r="K51" s="79" t="str">
        <f>IF(J51="", " &lt;=== Select from drop down list","")</f>
        <v xml:space="preserve"> &lt;=== Select from drop down list</v>
      </c>
      <c r="L51" s="6"/>
    </row>
    <row r="52" spans="3:13" s="41" customFormat="1" ht="14.25" x14ac:dyDescent="0.2">
      <c r="D52" s="340"/>
      <c r="E52" s="340"/>
      <c r="F52" s="340"/>
      <c r="G52" s="340"/>
      <c r="H52" s="340"/>
    </row>
    <row r="53" spans="3:13" s="41" customFormat="1" ht="14.25" x14ac:dyDescent="0.2"/>
    <row r="54" spans="3:13" s="41" customFormat="1" ht="14.25" x14ac:dyDescent="0.2"/>
    <row r="55" spans="3:13" s="41" customFormat="1" ht="26.25" customHeight="1" x14ac:dyDescent="0.2">
      <c r="D55" s="314" t="str">
        <f>'Program Info'!C7</f>
        <v>What is the overall length of program (as published in catalogue)?</v>
      </c>
      <c r="E55" s="314"/>
      <c r="F55" s="314"/>
      <c r="G55" s="314"/>
      <c r="H55" s="314"/>
      <c r="I55" s="144">
        <f>'Program Info'!D7</f>
        <v>0</v>
      </c>
      <c r="J55" s="334" t="s">
        <v>382</v>
      </c>
      <c r="K55" s="334"/>
      <c r="L55" s="334"/>
      <c r="M55" s="334"/>
    </row>
    <row r="56" spans="3:13" s="41" customFormat="1" ht="8.25" customHeight="1" x14ac:dyDescent="0.2">
      <c r="J56" s="334"/>
      <c r="K56" s="334"/>
      <c r="L56" s="334"/>
      <c r="M56" s="334"/>
    </row>
    <row r="57" spans="3:13" s="41" customFormat="1" ht="22.5" customHeight="1" x14ac:dyDescent="0.2">
      <c r="D57" s="377" t="str">
        <f>'Program Info'!C8</f>
        <v>What is the maximum cohort size (i.e., capacity)?</v>
      </c>
      <c r="E57" s="377"/>
      <c r="F57" s="377"/>
      <c r="G57" s="377"/>
      <c r="H57" s="377"/>
      <c r="I57" s="144">
        <f>'Program Info'!D8</f>
        <v>0</v>
      </c>
      <c r="J57" s="334"/>
      <c r="K57" s="334"/>
      <c r="L57" s="334"/>
      <c r="M57" s="334"/>
    </row>
    <row r="58" spans="3:13" s="41" customFormat="1" ht="8.25" customHeight="1" x14ac:dyDescent="0.2">
      <c r="J58" s="334"/>
      <c r="K58" s="334"/>
      <c r="L58" s="334"/>
      <c r="M58" s="334"/>
    </row>
    <row r="59" spans="3:13" s="41" customFormat="1" ht="18.75" customHeight="1" x14ac:dyDescent="0.2">
      <c r="D59" s="377" t="str">
        <f>'Program Info'!C9</f>
        <v>How is the program offered (i.e., traditional, on-line, both)?</v>
      </c>
      <c r="E59" s="377"/>
      <c r="F59" s="377"/>
      <c r="G59" s="377"/>
      <c r="H59" s="377"/>
      <c r="I59" s="144">
        <f>'Program Info'!D9</f>
        <v>0</v>
      </c>
      <c r="J59" s="334"/>
      <c r="K59" s="334"/>
      <c r="L59" s="334"/>
      <c r="M59" s="334"/>
    </row>
    <row r="60" spans="3:13" s="41" customFormat="1" ht="8.25" customHeight="1" x14ac:dyDescent="0.2">
      <c r="J60" s="334"/>
      <c r="K60" s="334"/>
      <c r="L60" s="334"/>
      <c r="M60" s="334"/>
    </row>
    <row r="61" spans="3:13" s="41" customFormat="1" ht="32.25" customHeight="1" x14ac:dyDescent="0.2">
      <c r="D61" s="314" t="str">
        <f>'Program Info'!C10</f>
        <v>Will the program sponsor offer both a certificate/diploma and a degree option?</v>
      </c>
      <c r="E61" s="314"/>
      <c r="F61" s="314"/>
      <c r="G61" s="314"/>
      <c r="H61" s="314"/>
      <c r="I61" s="144">
        <f>'Program Info'!D10</f>
        <v>0</v>
      </c>
      <c r="J61" s="334"/>
      <c r="K61" s="334"/>
      <c r="L61" s="334"/>
      <c r="M61" s="334"/>
    </row>
    <row r="62" spans="3:13" s="41" customFormat="1" ht="8.25" customHeight="1" x14ac:dyDescent="0.2">
      <c r="J62" s="334"/>
      <c r="K62" s="334"/>
      <c r="L62" s="334"/>
      <c r="M62" s="334"/>
    </row>
    <row r="63" spans="3:13" s="41" customFormat="1" ht="32.25" customHeight="1" x14ac:dyDescent="0.2">
      <c r="D63" s="314" t="str">
        <f>'Program Info'!C11</f>
        <v>Will there be more than one (1) track offered in the same program with different requirements or schedules?</v>
      </c>
      <c r="E63" s="314"/>
      <c r="F63" s="314"/>
      <c r="G63" s="314"/>
      <c r="H63" s="314"/>
      <c r="I63" s="144">
        <f>'Program Info'!D11</f>
        <v>0</v>
      </c>
      <c r="J63" s="334"/>
      <c r="K63" s="334"/>
      <c r="L63" s="334"/>
      <c r="M63" s="334"/>
    </row>
    <row r="64" spans="3:13" s="41" customFormat="1" ht="8.25" customHeight="1" x14ac:dyDescent="0.2">
      <c r="J64" s="334"/>
      <c r="K64" s="334"/>
      <c r="L64" s="334"/>
      <c r="M64" s="334"/>
    </row>
    <row r="65" spans="2:16" s="41" customFormat="1" ht="22.5" customHeight="1" x14ac:dyDescent="0.2">
      <c r="D65" s="314" t="str">
        <f>'Program Info'!C12</f>
        <v>Will the program enroll students in an Advanced Placement process?</v>
      </c>
      <c r="E65" s="314"/>
      <c r="F65" s="314"/>
      <c r="G65" s="314"/>
      <c r="H65" s="314"/>
      <c r="I65" s="144">
        <f>'Program Info'!D12</f>
        <v>0</v>
      </c>
      <c r="J65" s="334"/>
      <c r="K65" s="334"/>
      <c r="L65" s="334"/>
      <c r="M65" s="334"/>
    </row>
    <row r="66" spans="2:16" s="41" customFormat="1" ht="8.25" customHeight="1" x14ac:dyDescent="0.2"/>
    <row r="67" spans="2:16" s="41" customFormat="1" ht="34.5" customHeight="1" x14ac:dyDescent="0.2">
      <c r="D67" s="29" t="str">
        <f>IF(AND(D68="",D72="",D76=""),"Please scroll down to complete the Program Course Requirements Table","")</f>
        <v>Please scroll down to complete the Program Course Requirements Table</v>
      </c>
      <c r="E67" s="29"/>
      <c r="F67" s="29"/>
      <c r="G67" s="29"/>
      <c r="H67" s="29"/>
    </row>
    <row r="68" spans="2:16" s="41" customFormat="1" ht="40.5" customHeight="1" x14ac:dyDescent="0.2">
      <c r="D68" s="451" t="str">
        <f>IF(I61="Yes","Explain the process for how the " &amp;'Program Info'!B3&amp;" program offers both a certificate/diploma and a degree option:",IF(AND(I61="No",I63="Yes"),"Explain how the same " &amp;'Program Info'!B3&amp;" program offers the tracks with different requirements or schedule:",IF(AND(I61="No",I63="No",I65="Yes"),"Explain the process the " &amp;'Program Info'!B3&amp;" program uses to enroll students for Advanced Placement and identify the type students being enrolled: 
(i.e., other healthcare professionals, military experience, " &amp;'Program Info'!B3&amp;" seeking Nationaly Registry eligibility)","")))</f>
        <v/>
      </c>
      <c r="E68" s="451"/>
      <c r="F68" s="451"/>
      <c r="G68" s="451"/>
      <c r="H68" s="451"/>
      <c r="I68" s="451"/>
      <c r="J68" s="451"/>
      <c r="K68" s="451"/>
      <c r="L68" s="451"/>
      <c r="M68" s="451"/>
    </row>
    <row r="69" spans="2:16" s="41" customFormat="1" ht="177" customHeight="1" x14ac:dyDescent="0.2">
      <c r="D69" s="450"/>
      <c r="E69" s="450"/>
      <c r="F69" s="450"/>
      <c r="G69" s="450"/>
      <c r="H69" s="450"/>
      <c r="I69" s="450"/>
      <c r="J69" s="450"/>
      <c r="K69" s="450"/>
      <c r="L69" s="450"/>
      <c r="M69" s="450"/>
    </row>
    <row r="70" spans="2:16" s="41" customFormat="1" ht="14.25" x14ac:dyDescent="0.2"/>
    <row r="71" spans="2:16" s="41" customFormat="1" ht="23.25" customHeight="1" x14ac:dyDescent="0.2">
      <c r="D71" s="29" t="str">
        <f>IF(AND(D68&lt;&gt;"",D72="",D76=""),"Please scroll down to complete the Program Course Requirements Table","")</f>
        <v/>
      </c>
    </row>
    <row r="72" spans="2:16" s="41" customFormat="1" ht="40.5" customHeight="1" x14ac:dyDescent="0.2">
      <c r="D72" s="451" t="str">
        <f>IF(AND(I61="Yes",I63="Yes"),"Explain how the same " &amp;'Program Info'!B3&amp;" program offers the tracks with different requirements or schedule:",IF(OR(AND(I61="Yes",I63="No",I65="Yes"),AND(I61="No",I63="Yes",I65="Yes")),"Explain the process the " &amp;'Program Info'!B3&amp;" program uses to enroll students for Advanced Placement and identify the type students being enrolled: 
(i.e., other healthcare professionals, military experience, " &amp;'Program Info'!B3&amp;" seeking Nationaly Registry eligibility)",""))</f>
        <v/>
      </c>
      <c r="E72" s="451"/>
      <c r="F72" s="451"/>
      <c r="G72" s="451"/>
      <c r="H72" s="451"/>
      <c r="I72" s="451"/>
      <c r="J72" s="451"/>
      <c r="K72" s="451"/>
      <c r="L72" s="451"/>
      <c r="M72" s="451"/>
    </row>
    <row r="73" spans="2:16" s="41" customFormat="1" ht="177" customHeight="1" x14ac:dyDescent="0.2">
      <c r="D73" s="450"/>
      <c r="E73" s="450"/>
      <c r="F73" s="450"/>
      <c r="G73" s="450"/>
      <c r="H73" s="450"/>
      <c r="I73" s="450"/>
      <c r="J73" s="450"/>
      <c r="K73" s="450"/>
      <c r="L73" s="450"/>
      <c r="M73" s="450"/>
    </row>
    <row r="74" spans="2:16" s="41" customFormat="1" ht="14.25" x14ac:dyDescent="0.2"/>
    <row r="75" spans="2:16" s="41" customFormat="1" ht="24" customHeight="1" x14ac:dyDescent="0.2">
      <c r="D75" s="29" t="str">
        <f>IF(AND(D68&lt;&gt;"",D72&lt;&gt;"",D76=""),"Please scroll down to complete the Program Course Requirements Table","")</f>
        <v/>
      </c>
    </row>
    <row r="76" spans="2:16" s="41" customFormat="1" ht="44.25" customHeight="1" x14ac:dyDescent="0.2">
      <c r="D76" s="451" t="str">
        <f>IF(AND(I61="Yes",I63="Yes",I65="Yes"),"Explain the process the " &amp;'Program Info'!B3&amp;" program uses to enroll students for Advanced Placement and identify the type students being enrolled: 
(i.e., other healthcare professionals, military experience, " &amp;'Program Info'!B3&amp;" seeking Nationaly Registry eligibility)","")</f>
        <v/>
      </c>
      <c r="E76" s="451"/>
      <c r="F76" s="451"/>
      <c r="G76" s="451"/>
      <c r="H76" s="451"/>
      <c r="I76" s="451"/>
      <c r="J76" s="451"/>
      <c r="K76" s="451"/>
      <c r="L76" s="451"/>
      <c r="M76" s="451"/>
    </row>
    <row r="77" spans="2:16" s="41" customFormat="1" ht="177" customHeight="1" x14ac:dyDescent="0.2">
      <c r="D77" s="450"/>
      <c r="E77" s="450"/>
      <c r="F77" s="450"/>
      <c r="G77" s="450"/>
      <c r="H77" s="450"/>
      <c r="I77" s="450"/>
      <c r="J77" s="450"/>
      <c r="K77" s="450"/>
      <c r="L77" s="450"/>
      <c r="M77" s="450"/>
    </row>
    <row r="78" spans="2:16" s="41" customFormat="1" ht="14.25" x14ac:dyDescent="0.2"/>
    <row r="79" spans="2:16" s="41" customFormat="1" ht="35.25" customHeight="1" x14ac:dyDescent="0.25">
      <c r="B79" s="4" t="s">
        <v>355</v>
      </c>
      <c r="C79" s="4"/>
      <c r="D79" s="4"/>
      <c r="K79" s="64"/>
    </row>
    <row r="80" spans="2:16" s="41" customFormat="1" ht="18" x14ac:dyDescent="0.25">
      <c r="B80" s="145"/>
      <c r="E80" s="143"/>
      <c r="F80" s="143"/>
      <c r="G80" s="143"/>
      <c r="H80" s="146"/>
      <c r="I80" s="146"/>
      <c r="J80" s="146"/>
      <c r="K80" s="147"/>
      <c r="O80" s="1" t="s">
        <v>90</v>
      </c>
      <c r="P80" s="1"/>
    </row>
    <row r="81" spans="2:27" s="41" customFormat="1" ht="66.75" customHeight="1" x14ac:dyDescent="0.2">
      <c r="B81" s="455" t="str">
        <f>"TABLE 1       
Provide " &amp;'Program Info'!B3&amp;" Core Courses ONLY 
(Do Not Include General Education or EMT Courses)"</f>
        <v>TABLE 1       
Provide  Core Courses ONLY 
(Do Not Include General Education or EMT Courses)</v>
      </c>
      <c r="C81" s="456"/>
      <c r="D81" s="456"/>
      <c r="E81" s="456"/>
      <c r="F81" s="456"/>
      <c r="G81" s="456"/>
      <c r="H81" s="456"/>
      <c r="I81" s="456"/>
      <c r="J81" s="456"/>
      <c r="K81" s="456"/>
      <c r="L81" s="456"/>
      <c r="M81" s="457"/>
      <c r="N81" s="148"/>
      <c r="O81" s="89"/>
      <c r="P81" s="149"/>
      <c r="Q81" s="128"/>
      <c r="R81" s="128"/>
      <c r="S81" s="128"/>
      <c r="T81" s="128"/>
      <c r="U81" s="128"/>
      <c r="V81" s="128"/>
      <c r="W81" s="128"/>
      <c r="X81" s="128"/>
      <c r="Y81" s="128"/>
      <c r="Z81" s="128"/>
      <c r="AA81" s="128"/>
    </row>
    <row r="82" spans="2:27" s="41" customFormat="1" ht="89.25" customHeight="1" x14ac:dyDescent="0.2">
      <c r="B82" s="444" t="str">
        <f>"Please Note:  Programs must have a separate syllabus for each course"&amp;" listed in the Program Course Requirements table.  Each syllabus must 
                         clearly define expectations and responsibilities of the student required for progression and completion of the course. "&amp;"At a minimum, 
                         this includes a course description, description of prerequisite or preparatory work, objectives, methods of evaluation, topic outline 
                         (as applicable), and required competencies.  "&amp;"Syllabi must address didactic, laboratory, clinical, and field experience.  "&amp;"There must be a 
                         separate syllabus for the capstone field internship.  A schedule is not a syllabus."</f>
        <v>Please Note:  Programs must have a separate syllabus for each course listed in the Program Course Requirements table.  Each syllabus must 
                         clearly define expectations and responsibilities of the student required for progression and completion of the course. At a minimum, 
                         this includes a course description, description of prerequisite or preparatory work, objectives, methods of evaluation, topic outline 
                         (as applicable), and required competencies.  Syllabi must address didactic, laboratory, clinical, and field experience.  There must be a 
                         separate syllabus for the capstone field internship.  A schedule is not a syllabus.</v>
      </c>
      <c r="C82" s="445"/>
      <c r="D82" s="445"/>
      <c r="E82" s="445"/>
      <c r="F82" s="445"/>
      <c r="G82" s="445"/>
      <c r="H82" s="445"/>
      <c r="I82" s="445"/>
      <c r="J82" s="445"/>
      <c r="K82" s="445"/>
      <c r="L82" s="445"/>
      <c r="M82" s="446"/>
      <c r="N82" s="148"/>
      <c r="O82" s="89"/>
      <c r="P82" s="149"/>
      <c r="Q82" s="128"/>
      <c r="R82" s="128"/>
      <c r="S82" s="128"/>
      <c r="T82" s="128"/>
      <c r="U82" s="128"/>
      <c r="V82" s="128"/>
      <c r="W82" s="128"/>
      <c r="X82" s="128"/>
      <c r="Y82" s="128"/>
      <c r="Z82" s="128"/>
      <c r="AA82" s="128"/>
    </row>
    <row r="83" spans="2:27" s="41" customFormat="1" ht="60" customHeight="1" x14ac:dyDescent="0.25">
      <c r="B83" s="447" t="s">
        <v>519</v>
      </c>
      <c r="C83" s="447"/>
      <c r="D83" s="150" t="s">
        <v>123</v>
      </c>
      <c r="E83" s="454" t="s">
        <v>48</v>
      </c>
      <c r="F83" s="454"/>
      <c r="G83" s="454"/>
      <c r="H83" s="150" t="str">
        <f>IF('Program Info'!D5="No","N/A","# of semester credit hours")</f>
        <v># of semester credit hours</v>
      </c>
      <c r="I83" s="150" t="s">
        <v>84</v>
      </c>
      <c r="J83" s="150" t="s">
        <v>86</v>
      </c>
      <c r="K83" s="151" t="s">
        <v>87</v>
      </c>
      <c r="L83" s="151" t="s">
        <v>88</v>
      </c>
      <c r="M83" s="151" t="s">
        <v>89</v>
      </c>
      <c r="N83" s="148"/>
      <c r="O83" s="152"/>
      <c r="P83" s="149"/>
      <c r="Q83" s="149"/>
      <c r="R83" s="149"/>
      <c r="S83" s="149"/>
      <c r="T83" s="149"/>
      <c r="U83" s="149"/>
      <c r="V83" s="149"/>
      <c r="W83" s="149"/>
      <c r="X83" s="149"/>
      <c r="Y83" s="149"/>
      <c r="Z83" s="149"/>
      <c r="AA83" s="149"/>
    </row>
    <row r="84" spans="2:27" s="41" customFormat="1" x14ac:dyDescent="0.25">
      <c r="B84" s="453">
        <v>1</v>
      </c>
      <c r="C84" s="453"/>
      <c r="D84" s="78"/>
      <c r="E84" s="452"/>
      <c r="F84" s="452"/>
      <c r="G84" s="452"/>
      <c r="H84" s="78"/>
      <c r="I84" s="78"/>
      <c r="J84" s="78"/>
      <c r="K84" s="78"/>
      <c r="L84" s="78"/>
      <c r="M84" s="78"/>
      <c r="N84" s="154"/>
      <c r="P84" s="149"/>
    </row>
    <row r="85" spans="2:27" s="41" customFormat="1" x14ac:dyDescent="0.25">
      <c r="B85" s="453">
        <v>2</v>
      </c>
      <c r="C85" s="453"/>
      <c r="D85" s="78"/>
      <c r="E85" s="437"/>
      <c r="F85" s="438"/>
      <c r="G85" s="439"/>
      <c r="H85" s="78"/>
      <c r="I85" s="78"/>
      <c r="J85" s="78"/>
      <c r="K85" s="78"/>
      <c r="L85" s="78"/>
      <c r="M85" s="78"/>
      <c r="N85" s="154"/>
    </row>
    <row r="86" spans="2:27" s="41" customFormat="1" x14ac:dyDescent="0.25">
      <c r="B86" s="453">
        <v>3</v>
      </c>
      <c r="C86" s="453"/>
      <c r="D86" s="78"/>
      <c r="E86" s="437"/>
      <c r="F86" s="438"/>
      <c r="G86" s="439"/>
      <c r="H86" s="78"/>
      <c r="I86" s="78"/>
      <c r="J86" s="78"/>
      <c r="K86" s="78"/>
      <c r="L86" s="78"/>
      <c r="M86" s="78"/>
      <c r="N86" s="154"/>
    </row>
    <row r="87" spans="2:27" s="41" customFormat="1" x14ac:dyDescent="0.25">
      <c r="B87" s="453">
        <v>4</v>
      </c>
      <c r="C87" s="453"/>
      <c r="D87" s="78"/>
      <c r="E87" s="437"/>
      <c r="F87" s="438"/>
      <c r="G87" s="439"/>
      <c r="H87" s="78"/>
      <c r="I87" s="78"/>
      <c r="J87" s="78"/>
      <c r="K87" s="78"/>
      <c r="L87" s="78"/>
      <c r="M87" s="78"/>
      <c r="N87" s="154"/>
    </row>
    <row r="88" spans="2:27" s="41" customFormat="1" x14ac:dyDescent="0.25">
      <c r="B88" s="453">
        <v>5</v>
      </c>
      <c r="C88" s="453"/>
      <c r="D88" s="78"/>
      <c r="E88" s="437"/>
      <c r="F88" s="438"/>
      <c r="G88" s="439"/>
      <c r="H88" s="78"/>
      <c r="I88" s="78"/>
      <c r="J88" s="78"/>
      <c r="K88" s="78"/>
      <c r="L88" s="78"/>
      <c r="M88" s="78"/>
      <c r="N88" s="154"/>
    </row>
    <row r="89" spans="2:27" s="41" customFormat="1" x14ac:dyDescent="0.25">
      <c r="B89" s="453">
        <v>6</v>
      </c>
      <c r="C89" s="453"/>
      <c r="D89" s="78"/>
      <c r="E89" s="437"/>
      <c r="F89" s="438"/>
      <c r="G89" s="439"/>
      <c r="H89" s="78"/>
      <c r="I89" s="78"/>
      <c r="J89" s="78"/>
      <c r="K89" s="78"/>
      <c r="L89" s="78"/>
      <c r="M89" s="78"/>
      <c r="N89" s="154"/>
    </row>
    <row r="90" spans="2:27" s="41" customFormat="1" x14ac:dyDescent="0.25">
      <c r="B90" s="453">
        <v>7</v>
      </c>
      <c r="C90" s="453"/>
      <c r="D90" s="78"/>
      <c r="E90" s="437"/>
      <c r="F90" s="438"/>
      <c r="G90" s="439"/>
      <c r="H90" s="78"/>
      <c r="I90" s="78"/>
      <c r="J90" s="78"/>
      <c r="K90" s="78"/>
      <c r="L90" s="78"/>
      <c r="M90" s="78"/>
      <c r="N90" s="154"/>
    </row>
    <row r="91" spans="2:27" s="41" customFormat="1" x14ac:dyDescent="0.25">
      <c r="B91" s="453">
        <v>8</v>
      </c>
      <c r="C91" s="453"/>
      <c r="D91" s="78"/>
      <c r="E91" s="437"/>
      <c r="F91" s="438"/>
      <c r="G91" s="439"/>
      <c r="H91" s="78"/>
      <c r="I91" s="78"/>
      <c r="J91" s="78"/>
      <c r="K91" s="78"/>
      <c r="L91" s="78"/>
      <c r="M91" s="78"/>
      <c r="N91" s="154"/>
    </row>
    <row r="92" spans="2:27" s="41" customFormat="1" x14ac:dyDescent="0.25">
      <c r="B92" s="453">
        <v>9</v>
      </c>
      <c r="C92" s="453"/>
      <c r="D92" s="78"/>
      <c r="E92" s="452"/>
      <c r="F92" s="452"/>
      <c r="G92" s="452"/>
      <c r="H92" s="78"/>
      <c r="I92" s="78"/>
      <c r="J92" s="78"/>
      <c r="K92" s="78"/>
      <c r="L92" s="78"/>
      <c r="M92" s="78"/>
      <c r="N92" s="154"/>
    </row>
    <row r="93" spans="2:27" s="41" customFormat="1" x14ac:dyDescent="0.25">
      <c r="B93" s="453">
        <v>10</v>
      </c>
      <c r="C93" s="453"/>
      <c r="D93" s="78"/>
      <c r="E93" s="452"/>
      <c r="F93" s="452"/>
      <c r="G93" s="452"/>
      <c r="H93" s="78"/>
      <c r="I93" s="78"/>
      <c r="J93" s="78"/>
      <c r="K93" s="78"/>
      <c r="L93" s="78"/>
      <c r="M93" s="78"/>
      <c r="N93" s="154"/>
    </row>
    <row r="94" spans="2:27" s="41" customFormat="1" x14ac:dyDescent="0.25">
      <c r="B94" s="453">
        <v>11</v>
      </c>
      <c r="C94" s="453"/>
      <c r="D94" s="78"/>
      <c r="E94" s="452"/>
      <c r="F94" s="452"/>
      <c r="G94" s="452"/>
      <c r="H94" s="78"/>
      <c r="I94" s="78"/>
      <c r="J94" s="78"/>
      <c r="K94" s="78"/>
      <c r="L94" s="78"/>
      <c r="M94" s="78"/>
      <c r="N94" s="154"/>
    </row>
    <row r="95" spans="2:27" s="41" customFormat="1" x14ac:dyDescent="0.25">
      <c r="B95" s="453">
        <v>12</v>
      </c>
      <c r="C95" s="453"/>
      <c r="D95" s="78"/>
      <c r="E95" s="452"/>
      <c r="F95" s="452"/>
      <c r="G95" s="452"/>
      <c r="H95" s="78"/>
      <c r="I95" s="78"/>
      <c r="J95" s="78"/>
      <c r="K95" s="78"/>
      <c r="L95" s="78"/>
      <c r="M95" s="78"/>
      <c r="N95" s="154"/>
    </row>
    <row r="96" spans="2:27" s="41" customFormat="1" x14ac:dyDescent="0.25">
      <c r="B96" s="453">
        <v>13</v>
      </c>
      <c r="C96" s="453"/>
      <c r="D96" s="78"/>
      <c r="E96" s="452"/>
      <c r="F96" s="452"/>
      <c r="G96" s="452"/>
      <c r="H96" s="78"/>
      <c r="I96" s="78"/>
      <c r="J96" s="78"/>
      <c r="K96" s="78"/>
      <c r="L96" s="78"/>
      <c r="M96" s="78"/>
      <c r="N96" s="154"/>
    </row>
    <row r="97" spans="2:14" s="41" customFormat="1" x14ac:dyDescent="0.25">
      <c r="B97" s="453">
        <v>14</v>
      </c>
      <c r="C97" s="453"/>
      <c r="D97" s="78"/>
      <c r="E97" s="437"/>
      <c r="F97" s="438"/>
      <c r="G97" s="439"/>
      <c r="H97" s="78"/>
      <c r="I97" s="78"/>
      <c r="J97" s="78"/>
      <c r="K97" s="78"/>
      <c r="L97" s="78"/>
      <c r="M97" s="78"/>
      <c r="N97" s="154"/>
    </row>
    <row r="98" spans="2:14" s="41" customFormat="1" x14ac:dyDescent="0.25">
      <c r="B98" s="453">
        <v>15</v>
      </c>
      <c r="C98" s="453"/>
      <c r="D98" s="78"/>
      <c r="E98" s="437"/>
      <c r="F98" s="438"/>
      <c r="G98" s="439"/>
      <c r="H98" s="78"/>
      <c r="I98" s="78"/>
      <c r="J98" s="78"/>
      <c r="K98" s="78"/>
      <c r="L98" s="78"/>
      <c r="M98" s="78"/>
      <c r="N98" s="154"/>
    </row>
    <row r="99" spans="2:14" s="41" customFormat="1" x14ac:dyDescent="0.25">
      <c r="B99" s="453">
        <v>16</v>
      </c>
      <c r="C99" s="453"/>
      <c r="D99" s="78"/>
      <c r="E99" s="437"/>
      <c r="F99" s="438"/>
      <c r="G99" s="439"/>
      <c r="H99" s="78"/>
      <c r="I99" s="78"/>
      <c r="J99" s="78"/>
      <c r="K99" s="78"/>
      <c r="L99" s="78"/>
      <c r="M99" s="78"/>
      <c r="N99" s="154"/>
    </row>
    <row r="100" spans="2:14" s="41" customFormat="1" x14ac:dyDescent="0.25">
      <c r="B100" s="453">
        <v>17</v>
      </c>
      <c r="C100" s="453"/>
      <c r="D100" s="78"/>
      <c r="E100" s="437"/>
      <c r="F100" s="438"/>
      <c r="G100" s="439"/>
      <c r="H100" s="78"/>
      <c r="I100" s="78"/>
      <c r="J100" s="78"/>
      <c r="K100" s="78"/>
      <c r="L100" s="78"/>
      <c r="M100" s="78"/>
      <c r="N100" s="154"/>
    </row>
    <row r="101" spans="2:14" s="41" customFormat="1" x14ac:dyDescent="0.25">
      <c r="B101" s="453">
        <v>18</v>
      </c>
      <c r="C101" s="453"/>
      <c r="D101" s="78"/>
      <c r="E101" s="437"/>
      <c r="F101" s="438"/>
      <c r="G101" s="439"/>
      <c r="H101" s="78"/>
      <c r="I101" s="78"/>
      <c r="J101" s="78"/>
      <c r="K101" s="78"/>
      <c r="L101" s="78"/>
      <c r="M101" s="78"/>
      <c r="N101" s="154"/>
    </row>
    <row r="102" spans="2:14" s="41" customFormat="1" x14ac:dyDescent="0.25">
      <c r="B102" s="453">
        <v>19</v>
      </c>
      <c r="C102" s="453"/>
      <c r="D102" s="78"/>
      <c r="E102" s="452"/>
      <c r="F102" s="452"/>
      <c r="G102" s="452"/>
      <c r="H102" s="78"/>
      <c r="I102" s="78"/>
      <c r="J102" s="78"/>
      <c r="K102" s="78"/>
      <c r="L102" s="78"/>
      <c r="M102" s="78"/>
      <c r="N102" s="154"/>
    </row>
    <row r="103" spans="2:14" s="41" customFormat="1" x14ac:dyDescent="0.25">
      <c r="B103" s="453">
        <v>20</v>
      </c>
      <c r="C103" s="453"/>
      <c r="D103" s="78"/>
      <c r="E103" s="437"/>
      <c r="F103" s="438"/>
      <c r="G103" s="439"/>
      <c r="H103" s="78"/>
      <c r="I103" s="78"/>
      <c r="J103" s="78"/>
      <c r="K103" s="78"/>
      <c r="L103" s="78"/>
      <c r="M103" s="78"/>
      <c r="N103" s="154"/>
    </row>
    <row r="104" spans="2:14" s="41" customFormat="1" x14ac:dyDescent="0.25">
      <c r="B104" s="453">
        <v>21</v>
      </c>
      <c r="C104" s="453"/>
      <c r="D104" s="78"/>
      <c r="E104" s="437"/>
      <c r="F104" s="438"/>
      <c r="G104" s="439"/>
      <c r="H104" s="78"/>
      <c r="I104" s="78"/>
      <c r="J104" s="78"/>
      <c r="K104" s="78"/>
      <c r="L104" s="78"/>
      <c r="M104" s="78"/>
      <c r="N104" s="154"/>
    </row>
    <row r="105" spans="2:14" s="41" customFormat="1" x14ac:dyDescent="0.25">
      <c r="B105" s="453">
        <v>22</v>
      </c>
      <c r="C105" s="453"/>
      <c r="D105" s="78"/>
      <c r="E105" s="437"/>
      <c r="F105" s="438"/>
      <c r="G105" s="439"/>
      <c r="H105" s="78"/>
      <c r="I105" s="78"/>
      <c r="J105" s="78"/>
      <c r="K105" s="78"/>
      <c r="L105" s="78"/>
      <c r="M105" s="78"/>
      <c r="N105" s="154"/>
    </row>
    <row r="106" spans="2:14" s="41" customFormat="1" x14ac:dyDescent="0.25">
      <c r="B106" s="453">
        <v>23</v>
      </c>
      <c r="C106" s="453"/>
      <c r="D106" s="78"/>
      <c r="E106" s="437"/>
      <c r="F106" s="438"/>
      <c r="G106" s="439"/>
      <c r="H106" s="78"/>
      <c r="I106" s="78"/>
      <c r="J106" s="78"/>
      <c r="K106" s="78"/>
      <c r="L106" s="78"/>
      <c r="M106" s="78"/>
      <c r="N106" s="154"/>
    </row>
    <row r="107" spans="2:14" s="41" customFormat="1" x14ac:dyDescent="0.25">
      <c r="B107" s="453">
        <v>24</v>
      </c>
      <c r="C107" s="453"/>
      <c r="D107" s="78"/>
      <c r="E107" s="437"/>
      <c r="F107" s="438"/>
      <c r="G107" s="439"/>
      <c r="H107" s="78"/>
      <c r="I107" s="78"/>
      <c r="J107" s="78"/>
      <c r="K107" s="78"/>
      <c r="L107" s="78"/>
      <c r="M107" s="78"/>
      <c r="N107" s="154"/>
    </row>
    <row r="108" spans="2:14" s="41" customFormat="1" x14ac:dyDescent="0.25">
      <c r="B108" s="453">
        <v>25</v>
      </c>
      <c r="C108" s="453"/>
      <c r="D108" s="78"/>
      <c r="E108" s="452"/>
      <c r="F108" s="452"/>
      <c r="G108" s="452"/>
      <c r="H108" s="78"/>
      <c r="I108" s="78"/>
      <c r="J108" s="78"/>
      <c r="K108" s="78"/>
      <c r="L108" s="78"/>
      <c r="M108" s="78"/>
      <c r="N108" s="154"/>
    </row>
    <row r="109" spans="2:14" s="41" customFormat="1" hidden="1" x14ac:dyDescent="0.25">
      <c r="B109" s="453">
        <v>26</v>
      </c>
      <c r="C109" s="453"/>
      <c r="D109" s="78"/>
      <c r="E109" s="437"/>
      <c r="F109" s="438"/>
      <c r="G109" s="439"/>
      <c r="H109" s="78"/>
      <c r="I109" s="78"/>
      <c r="J109" s="78"/>
      <c r="K109" s="78"/>
      <c r="L109" s="78"/>
      <c r="M109" s="78"/>
      <c r="N109" s="154" t="str">
        <f t="shared" ref="N109:N113" si="0">IF(OR(AND($D109&lt;&gt;"",$H109=""),AND($D109&lt;&gt;"",$I109=""),AND($D109&lt;&gt;"",$J109=""),AND($D109&lt;&gt;"",$K109=""),AND($D109&lt;&gt;"",$L109=""),AND($D109&lt;&gt;"",$M109=""))," &lt;=== All columns (H to M) in this row must contain a number","")</f>
        <v/>
      </c>
    </row>
    <row r="110" spans="2:14" s="41" customFormat="1" hidden="1" x14ac:dyDescent="0.25">
      <c r="B110" s="453">
        <v>27</v>
      </c>
      <c r="C110" s="453"/>
      <c r="D110" s="78"/>
      <c r="E110" s="437"/>
      <c r="F110" s="438"/>
      <c r="G110" s="439"/>
      <c r="H110" s="78"/>
      <c r="I110" s="78"/>
      <c r="J110" s="78"/>
      <c r="K110" s="78"/>
      <c r="L110" s="78"/>
      <c r="M110" s="78"/>
      <c r="N110" s="154" t="str">
        <f t="shared" si="0"/>
        <v/>
      </c>
    </row>
    <row r="111" spans="2:14" s="41" customFormat="1" hidden="1" x14ac:dyDescent="0.25">
      <c r="B111" s="453">
        <v>28</v>
      </c>
      <c r="C111" s="453"/>
      <c r="D111" s="78"/>
      <c r="E111" s="437"/>
      <c r="F111" s="438"/>
      <c r="G111" s="439"/>
      <c r="H111" s="78"/>
      <c r="I111" s="78"/>
      <c r="J111" s="78"/>
      <c r="K111" s="78"/>
      <c r="L111" s="78"/>
      <c r="M111" s="78"/>
      <c r="N111" s="154" t="str">
        <f t="shared" si="0"/>
        <v/>
      </c>
    </row>
    <row r="112" spans="2:14" s="41" customFormat="1" hidden="1" x14ac:dyDescent="0.25">
      <c r="B112" s="453">
        <v>29</v>
      </c>
      <c r="C112" s="453"/>
      <c r="D112" s="78"/>
      <c r="E112" s="437"/>
      <c r="F112" s="438"/>
      <c r="G112" s="439"/>
      <c r="H112" s="78"/>
      <c r="I112" s="78"/>
      <c r="J112" s="78"/>
      <c r="K112" s="78"/>
      <c r="L112" s="78"/>
      <c r="M112" s="78"/>
      <c r="N112" s="154" t="str">
        <f t="shared" si="0"/>
        <v/>
      </c>
    </row>
    <row r="113" spans="2:27" s="41" customFormat="1" hidden="1" x14ac:dyDescent="0.25">
      <c r="B113" s="453">
        <v>30</v>
      </c>
      <c r="C113" s="453"/>
      <c r="D113" s="78"/>
      <c r="E113" s="437"/>
      <c r="F113" s="438"/>
      <c r="G113" s="439"/>
      <c r="H113" s="78"/>
      <c r="I113" s="78"/>
      <c r="J113" s="78"/>
      <c r="K113" s="78"/>
      <c r="L113" s="78"/>
      <c r="M113" s="78"/>
      <c r="N113" s="154" t="str">
        <f t="shared" si="0"/>
        <v/>
      </c>
    </row>
    <row r="114" spans="2:27" s="41" customFormat="1" ht="66.75" customHeight="1" x14ac:dyDescent="0.2">
      <c r="B114" s="468" t="s">
        <v>83</v>
      </c>
      <c r="C114" s="469"/>
      <c r="D114" s="469"/>
      <c r="E114" s="469"/>
      <c r="F114" s="469"/>
      <c r="G114" s="470"/>
      <c r="H114" s="155">
        <f>IF(H83="N/A", "N/A",SUM(H84:H113))</f>
        <v>0</v>
      </c>
      <c r="I114" s="155">
        <f t="shared" ref="I114:M114" si="1">SUM(I84:I113)</f>
        <v>0</v>
      </c>
      <c r="J114" s="155">
        <f t="shared" si="1"/>
        <v>0</v>
      </c>
      <c r="K114" s="155">
        <f t="shared" si="1"/>
        <v>0</v>
      </c>
      <c r="L114" s="155">
        <f t="shared" si="1"/>
        <v>0</v>
      </c>
      <c r="M114" s="155">
        <f t="shared" si="1"/>
        <v>0</v>
      </c>
      <c r="N114" s="476" t="str">
        <f>IF(AND(OR(D84&lt;&gt;"",D85&lt;&gt;"",D86&lt;&gt;"",D87&lt;&gt;"",D88&lt;&gt;"",D89&lt;&gt;"",D90&lt;&gt;"",D91&lt;&gt;"",D92&lt;&gt;"",D93&lt;&gt;"",D94&lt;&gt;"",D95&lt;&gt;"",D96&lt;&gt;"",D97&lt;&gt;"",D98&lt;&gt;"",D99&lt;&gt;"",D100&lt;&gt;"",D101&lt;&gt;"",D102&lt;&gt;"",D103&lt;&gt;"",D104&lt;&gt;"",D105&lt;&gt;"",D106&lt;&gt;"",D107&lt;&gt;"",D108&lt;&gt;""),AND(OR(H114=0, I114=0,J114=0,K114=0,L114=0,M114=0),AND(OR(H114&lt;&gt;"N/A",I114=0,J114=0,K114=0,L114=0,M114=0)))),"&lt;=== There should be clock hours provided for each phase of the 
          program (didactic, clinical, laboratory, field experience, and 
          capstone field internship).  All columns (H to M) must contain 
          a number.","")</f>
        <v/>
      </c>
      <c r="O114" s="476"/>
      <c r="P114" s="476"/>
      <c r="Q114" s="476"/>
      <c r="R114" s="476"/>
      <c r="S114" s="476"/>
      <c r="T114" s="476"/>
    </row>
    <row r="115" spans="2:27" s="41" customFormat="1" ht="20.25" x14ac:dyDescent="0.2">
      <c r="E115" s="61" t="s">
        <v>49</v>
      </c>
      <c r="F115" s="156">
        <f>COUNTA(D84:D113)</f>
        <v>0</v>
      </c>
      <c r="I115" s="477" t="s">
        <v>341</v>
      </c>
      <c r="J115" s="478"/>
      <c r="K115" s="478"/>
      <c r="L115" s="479"/>
      <c r="M115" s="157">
        <f>SUM(I114:M114)</f>
        <v>0</v>
      </c>
    </row>
    <row r="116" spans="2:27" s="41" customFormat="1" ht="34.5" customHeight="1" x14ac:dyDescent="0.25">
      <c r="B116" s="145"/>
      <c r="C116" s="158"/>
      <c r="D116" s="158"/>
      <c r="E116" s="158"/>
      <c r="F116" s="158"/>
      <c r="G116" s="158"/>
      <c r="H116" s="159"/>
      <c r="I116" s="159"/>
      <c r="J116" s="159"/>
      <c r="K116" s="159"/>
      <c r="L116" s="159"/>
      <c r="M116" s="159"/>
      <c r="O116" s="448"/>
      <c r="P116" s="449"/>
      <c r="Q116" s="449"/>
      <c r="R116" s="449"/>
      <c r="S116" s="449"/>
      <c r="T116" s="449"/>
      <c r="U116" s="449"/>
      <c r="V116" s="449"/>
      <c r="W116" s="449"/>
      <c r="X116" s="449"/>
      <c r="Y116" s="449"/>
      <c r="Z116" s="449"/>
      <c r="AA116" s="449"/>
    </row>
    <row r="117" spans="2:27" s="41" customFormat="1" ht="57.75" customHeight="1" x14ac:dyDescent="0.2">
      <c r="B117" s="465" t="s">
        <v>520</v>
      </c>
      <c r="C117" s="466"/>
      <c r="D117" s="466"/>
      <c r="E117" s="466"/>
      <c r="F117" s="466"/>
      <c r="G117" s="466"/>
      <c r="H117" s="467"/>
      <c r="I117" s="148"/>
      <c r="J117" s="148"/>
      <c r="K117" s="148"/>
      <c r="L117" s="148"/>
      <c r="M117" s="148"/>
      <c r="N117" s="148"/>
      <c r="O117" s="448"/>
      <c r="P117" s="449"/>
      <c r="Q117" s="449"/>
      <c r="R117" s="449"/>
      <c r="S117" s="449"/>
      <c r="T117" s="449"/>
      <c r="U117" s="449"/>
      <c r="V117" s="449"/>
      <c r="W117" s="449"/>
      <c r="X117" s="449"/>
      <c r="Y117" s="449"/>
      <c r="Z117" s="449"/>
      <c r="AA117" s="449"/>
    </row>
    <row r="118" spans="2:27" s="41" customFormat="1" ht="30" x14ac:dyDescent="0.2">
      <c r="B118" s="471" t="s">
        <v>46</v>
      </c>
      <c r="C118" s="471"/>
      <c r="D118" s="160" t="s">
        <v>47</v>
      </c>
      <c r="E118" s="464" t="s">
        <v>48</v>
      </c>
      <c r="F118" s="464"/>
      <c r="G118" s="464"/>
      <c r="H118" s="160" t="s">
        <v>206</v>
      </c>
      <c r="I118" s="161"/>
      <c r="J118" s="161"/>
      <c r="K118" s="161"/>
      <c r="L118" s="161"/>
      <c r="M118" s="161"/>
    </row>
    <row r="119" spans="2:27" s="41" customFormat="1" ht="14.25" x14ac:dyDescent="0.2">
      <c r="B119" s="431"/>
      <c r="C119" s="433"/>
      <c r="D119" s="72"/>
      <c r="E119" s="319"/>
      <c r="F119" s="320"/>
      <c r="G119" s="321"/>
      <c r="H119" s="72"/>
      <c r="I119" s="277"/>
      <c r="J119" s="277"/>
      <c r="K119" s="277"/>
      <c r="L119" s="277"/>
      <c r="M119" s="277"/>
      <c r="N119" s="148"/>
    </row>
    <row r="120" spans="2:27" s="41" customFormat="1" ht="14.25" x14ac:dyDescent="0.2">
      <c r="B120" s="431"/>
      <c r="C120" s="433"/>
      <c r="D120" s="72"/>
      <c r="E120" s="319"/>
      <c r="F120" s="320"/>
      <c r="G120" s="321"/>
      <c r="H120" s="72"/>
      <c r="I120" s="277"/>
      <c r="J120" s="277"/>
      <c r="K120" s="277"/>
      <c r="L120" s="277"/>
      <c r="M120" s="277"/>
      <c r="N120" s="148"/>
    </row>
    <row r="121" spans="2:27" s="41" customFormat="1" ht="14.25" x14ac:dyDescent="0.2">
      <c r="B121" s="431"/>
      <c r="C121" s="433"/>
      <c r="D121" s="72"/>
      <c r="E121" s="319"/>
      <c r="F121" s="320"/>
      <c r="G121" s="321"/>
      <c r="H121" s="72"/>
      <c r="I121" s="277"/>
      <c r="J121" s="277"/>
      <c r="K121" s="277"/>
      <c r="L121" s="277"/>
      <c r="M121" s="277"/>
      <c r="N121" s="148"/>
    </row>
    <row r="122" spans="2:27" s="41" customFormat="1" ht="14.25" x14ac:dyDescent="0.2">
      <c r="B122" s="431"/>
      <c r="C122" s="433"/>
      <c r="D122" s="72"/>
      <c r="E122" s="319"/>
      <c r="F122" s="320"/>
      <c r="G122" s="321"/>
      <c r="H122" s="72"/>
      <c r="I122" s="277"/>
      <c r="J122" s="277"/>
      <c r="K122" s="277"/>
      <c r="L122" s="277"/>
      <c r="M122" s="277"/>
      <c r="N122" s="148"/>
    </row>
    <row r="123" spans="2:27" s="41" customFormat="1" ht="14.25" x14ac:dyDescent="0.2">
      <c r="B123" s="431"/>
      <c r="C123" s="433"/>
      <c r="D123" s="72"/>
      <c r="E123" s="319"/>
      <c r="F123" s="320"/>
      <c r="G123" s="321"/>
      <c r="H123" s="72"/>
      <c r="I123" s="277"/>
      <c r="J123" s="277"/>
      <c r="K123" s="277"/>
      <c r="L123" s="277"/>
      <c r="M123" s="277"/>
      <c r="N123" s="148"/>
    </row>
    <row r="124" spans="2:27" s="41" customFormat="1" ht="14.25" x14ac:dyDescent="0.2">
      <c r="B124" s="431"/>
      <c r="C124" s="433"/>
      <c r="D124" s="72"/>
      <c r="E124" s="319"/>
      <c r="F124" s="320"/>
      <c r="G124" s="321"/>
      <c r="H124" s="72"/>
      <c r="I124" s="277"/>
      <c r="J124" s="277"/>
      <c r="K124" s="277"/>
      <c r="L124" s="277"/>
      <c r="M124" s="277"/>
      <c r="N124" s="148"/>
    </row>
    <row r="125" spans="2:27" s="41" customFormat="1" ht="14.25" x14ac:dyDescent="0.2">
      <c r="B125" s="431"/>
      <c r="C125" s="433"/>
      <c r="D125" s="72"/>
      <c r="E125" s="319"/>
      <c r="F125" s="320"/>
      <c r="G125" s="321"/>
      <c r="H125" s="72"/>
      <c r="I125" s="277"/>
      <c r="J125" s="277"/>
      <c r="K125" s="277"/>
      <c r="L125" s="277"/>
      <c r="M125" s="277"/>
      <c r="N125" s="148"/>
    </row>
    <row r="126" spans="2:27" s="41" customFormat="1" ht="14.25" x14ac:dyDescent="0.2">
      <c r="B126" s="431"/>
      <c r="C126" s="433"/>
      <c r="D126" s="72"/>
      <c r="E126" s="319"/>
      <c r="F126" s="320"/>
      <c r="G126" s="321"/>
      <c r="H126" s="72"/>
      <c r="I126" s="277"/>
      <c r="J126" s="277"/>
      <c r="K126" s="277"/>
      <c r="L126" s="277"/>
      <c r="M126" s="277"/>
      <c r="N126" s="148"/>
    </row>
    <row r="127" spans="2:27" s="41" customFormat="1" ht="14.25" x14ac:dyDescent="0.2">
      <c r="B127" s="431"/>
      <c r="C127" s="433"/>
      <c r="D127" s="72"/>
      <c r="E127" s="319"/>
      <c r="F127" s="320"/>
      <c r="G127" s="321"/>
      <c r="H127" s="72"/>
      <c r="I127" s="277"/>
      <c r="J127" s="277"/>
      <c r="K127" s="277"/>
      <c r="L127" s="277"/>
      <c r="M127" s="277"/>
      <c r="N127" s="148"/>
    </row>
    <row r="128" spans="2:27" s="41" customFormat="1" ht="14.25" x14ac:dyDescent="0.2">
      <c r="B128" s="431"/>
      <c r="C128" s="433"/>
      <c r="D128" s="72"/>
      <c r="E128" s="319"/>
      <c r="F128" s="320"/>
      <c r="G128" s="321"/>
      <c r="H128" s="72"/>
      <c r="I128" s="277"/>
      <c r="J128" s="277"/>
      <c r="K128" s="277"/>
      <c r="L128" s="277"/>
      <c r="M128" s="277"/>
      <c r="N128" s="148"/>
    </row>
    <row r="129" spans="2:22" s="41" customFormat="1" ht="21" customHeight="1" x14ac:dyDescent="0.2">
      <c r="E129" s="61" t="s">
        <v>49</v>
      </c>
      <c r="F129" s="156">
        <f>COUNTA(D119:D128)</f>
        <v>0</v>
      </c>
      <c r="H129" s="156">
        <f>IF(H114&gt;=0,SUM(H119:H128)+H114,IF(H114="N/A",SUM(H119:H128),""))</f>
        <v>0</v>
      </c>
      <c r="I129" s="163"/>
      <c r="J129" s="163"/>
      <c r="K129" s="163"/>
      <c r="L129" s="163"/>
      <c r="M129" s="163"/>
    </row>
    <row r="130" spans="2:22" s="41" customFormat="1" ht="14.25" x14ac:dyDescent="0.2"/>
    <row r="131" spans="2:22" s="41" customFormat="1" ht="50.25" customHeight="1" x14ac:dyDescent="0.25">
      <c r="B131" s="59" t="s">
        <v>297</v>
      </c>
      <c r="D131" s="164"/>
    </row>
    <row r="132" spans="2:22" s="41" customFormat="1" ht="177" customHeight="1" x14ac:dyDescent="0.2">
      <c r="B132" s="472"/>
      <c r="C132" s="473"/>
      <c r="D132" s="473"/>
      <c r="E132" s="473"/>
      <c r="F132" s="473"/>
      <c r="G132" s="473"/>
      <c r="H132" s="473"/>
      <c r="I132" s="473"/>
      <c r="J132" s="473"/>
      <c r="K132" s="473"/>
      <c r="L132" s="473"/>
      <c r="M132" s="474"/>
    </row>
    <row r="133" spans="2:22" s="41" customFormat="1" ht="33" customHeight="1" x14ac:dyDescent="0.2"/>
    <row r="134" spans="2:22" s="41" customFormat="1" ht="10.5" customHeight="1" x14ac:dyDescent="0.2"/>
    <row r="135" spans="2:22" s="41" customFormat="1" ht="41.25" customHeight="1" x14ac:dyDescent="0.2">
      <c r="B135" s="29" t="s">
        <v>126</v>
      </c>
      <c r="C135" s="29"/>
      <c r="D135" s="165" t="s">
        <v>75</v>
      </c>
      <c r="E135" s="165"/>
      <c r="O135" s="353" t="s">
        <v>362</v>
      </c>
      <c r="P135" s="353"/>
      <c r="Q135" s="353"/>
      <c r="R135" s="480" t="s">
        <v>363</v>
      </c>
      <c r="S135" s="480"/>
      <c r="T135" s="480"/>
      <c r="U135" s="480"/>
      <c r="V135" s="480"/>
    </row>
    <row r="136" spans="2:22" s="41" customFormat="1" ht="220.5" customHeight="1" x14ac:dyDescent="0.2">
      <c r="C136" s="109" t="s">
        <v>486</v>
      </c>
      <c r="D136" s="340" t="s">
        <v>370</v>
      </c>
      <c r="E136" s="340"/>
      <c r="F136" s="340"/>
      <c r="G136" s="340"/>
      <c r="H136" s="340"/>
      <c r="I136" s="340"/>
      <c r="J136" s="340"/>
      <c r="K136" s="340"/>
      <c r="L136" s="340"/>
      <c r="M136" s="8"/>
      <c r="N136" s="8"/>
      <c r="O136" s="458" t="s">
        <v>82</v>
      </c>
      <c r="P136" s="458"/>
      <c r="Q136" s="458"/>
      <c r="R136" s="8"/>
    </row>
    <row r="137" spans="2:22" s="41" customFormat="1" ht="39.75" customHeight="1" x14ac:dyDescent="0.2">
      <c r="B137" s="110"/>
      <c r="D137" s="366" t="s">
        <v>204</v>
      </c>
      <c r="E137" s="366"/>
      <c r="F137" s="366"/>
      <c r="G137" s="366"/>
      <c r="H137" s="366"/>
      <c r="I137" s="366"/>
      <c r="J137" s="366"/>
    </row>
    <row r="138" spans="2:22" s="41" customFormat="1" ht="65.25" customHeight="1" x14ac:dyDescent="0.2">
      <c r="C138" s="88"/>
      <c r="D138" s="358" t="str">
        <f>"Place a copy of the course syllabus for EACH " &amp;'Program Info'!B3&amp;" core professional course listed above in the Documentation folder.  At a minimum, a separate syllabus should be provided for each course listed in the Program Course Requirements table.  "&amp;"Each document must be titled with the 'EXACT document name' and must be included as the type of file format listed below (not Word 97-2003 [.doc], Word 2013 [.docx], or Excel (.xlsx)."</f>
        <v>Place a copy of the course syllabus for EACH  core professional course listed above in the Documentation folder.  At a minimum, a separate syllabus should be provided for each course listed in the Program Course Requirements table.  Each document must be titled with the 'EXACT document name' and must be included as the type of file format listed below (not Word 97-2003 [.doc], Word 2013 [.docx], or Excel (.xlsx).</v>
      </c>
      <c r="E138" s="358"/>
      <c r="F138" s="358"/>
      <c r="G138" s="358"/>
      <c r="H138" s="358"/>
      <c r="I138" s="358"/>
      <c r="J138" s="358"/>
      <c r="K138" s="358"/>
      <c r="L138" s="358"/>
      <c r="M138" s="358"/>
      <c r="N138" s="358"/>
      <c r="O138" s="358"/>
      <c r="S138" s="63"/>
    </row>
    <row r="139" spans="2:22" s="41" customFormat="1" ht="27" customHeight="1" x14ac:dyDescent="0.2">
      <c r="C139" s="88"/>
      <c r="H139" s="360" t="s">
        <v>124</v>
      </c>
      <c r="I139" s="360"/>
      <c r="J139" s="360"/>
      <c r="K139" s="360"/>
      <c r="L139" s="360"/>
      <c r="M139" s="360"/>
      <c r="N139" s="360"/>
      <c r="S139" s="63"/>
    </row>
    <row r="140" spans="2:22" s="41" customFormat="1" ht="30.75" customHeight="1" x14ac:dyDescent="0.2">
      <c r="C140" s="88"/>
      <c r="H140" s="360" t="str">
        <f>IF(D84&lt;&gt;"","                                            16 Syllabus 01", "")</f>
        <v/>
      </c>
      <c r="I140" s="360"/>
      <c r="J140" s="360"/>
      <c r="K140" s="360"/>
      <c r="L140" s="360"/>
      <c r="M140" s="360"/>
      <c r="N140" s="360"/>
      <c r="S140" s="63"/>
    </row>
    <row r="141" spans="2:22" s="41" customFormat="1" ht="29.25" customHeight="1" x14ac:dyDescent="0.2">
      <c r="C141" s="88"/>
      <c r="E141" s="343"/>
      <c r="F141" s="343"/>
      <c r="G141" s="343"/>
      <c r="H141" s="360" t="str">
        <f>IF(D85&lt;&gt;"","                                            16 Syllabus 02", "")</f>
        <v/>
      </c>
      <c r="I141" s="360"/>
      <c r="J141" s="360"/>
      <c r="K141" s="360"/>
      <c r="L141" s="360"/>
      <c r="M141" s="360"/>
      <c r="N141" s="360"/>
      <c r="S141" s="63"/>
    </row>
    <row r="142" spans="2:22" s="41" customFormat="1" ht="27" customHeight="1" x14ac:dyDescent="0.2">
      <c r="C142" s="88"/>
      <c r="H142" s="360" t="str">
        <f>IF(D86&lt;&gt;"","                                            16 Syllabus 03", "")</f>
        <v/>
      </c>
      <c r="I142" s="360"/>
      <c r="J142" s="360"/>
      <c r="K142" s="360"/>
      <c r="L142" s="360"/>
      <c r="M142" s="360"/>
      <c r="N142" s="360"/>
      <c r="S142" s="63"/>
    </row>
    <row r="143" spans="2:22" s="41" customFormat="1" ht="27" customHeight="1" x14ac:dyDescent="0.2">
      <c r="C143" s="88"/>
      <c r="H143" s="360" t="str">
        <f>IF(D87&lt;&gt;"","                                            16 Syllabus 04", "")</f>
        <v/>
      </c>
      <c r="I143" s="360"/>
      <c r="J143" s="360"/>
      <c r="K143" s="360"/>
      <c r="L143" s="360"/>
      <c r="M143" s="360"/>
      <c r="N143" s="360"/>
      <c r="S143" s="63"/>
    </row>
    <row r="144" spans="2:22" s="41" customFormat="1" ht="27" customHeight="1" x14ac:dyDescent="0.2">
      <c r="C144" s="88"/>
      <c r="H144" s="360" t="str">
        <f>IF(D88&lt;&gt;"","                                            16 Syllabus 05", "")</f>
        <v/>
      </c>
      <c r="I144" s="360"/>
      <c r="J144" s="360"/>
      <c r="K144" s="360"/>
      <c r="L144" s="360"/>
      <c r="M144" s="360"/>
      <c r="N144" s="360"/>
      <c r="S144" s="63"/>
    </row>
    <row r="145" spans="3:19" s="41" customFormat="1" ht="27" customHeight="1" x14ac:dyDescent="0.2">
      <c r="C145" s="88"/>
      <c r="H145" s="360" t="str">
        <f>IF(D89&lt;&gt;"","                                            16 Syllabus 06", "")</f>
        <v/>
      </c>
      <c r="I145" s="360"/>
      <c r="J145" s="360"/>
      <c r="K145" s="360"/>
      <c r="L145" s="360"/>
      <c r="M145" s="360"/>
      <c r="N145" s="360"/>
      <c r="S145" s="63"/>
    </row>
    <row r="146" spans="3:19" s="41" customFormat="1" ht="27" customHeight="1" x14ac:dyDescent="0.2">
      <c r="C146" s="88"/>
      <c r="H146" s="360" t="str">
        <f>IF(D90&lt;&gt;"","                                            16 Syllabus 07", "")</f>
        <v/>
      </c>
      <c r="I146" s="360"/>
      <c r="J146" s="360"/>
      <c r="K146" s="360"/>
      <c r="L146" s="360"/>
      <c r="M146" s="360"/>
      <c r="N146" s="360"/>
      <c r="S146" s="63"/>
    </row>
    <row r="147" spans="3:19" s="41" customFormat="1" ht="27" customHeight="1" x14ac:dyDescent="0.2">
      <c r="C147" s="88"/>
      <c r="H147" s="360" t="str">
        <f>IF(D91&lt;&gt;"","                                            16 Syllabus 08", "")</f>
        <v/>
      </c>
      <c r="I147" s="360"/>
      <c r="J147" s="360"/>
      <c r="K147" s="360"/>
      <c r="L147" s="360"/>
      <c r="M147" s="360"/>
      <c r="N147" s="360"/>
      <c r="S147" s="63"/>
    </row>
    <row r="148" spans="3:19" s="41" customFormat="1" ht="27" customHeight="1" x14ac:dyDescent="0.2">
      <c r="C148" s="88"/>
      <c r="E148" s="430"/>
      <c r="F148" s="430"/>
      <c r="G148" s="430"/>
      <c r="H148" s="360" t="str">
        <f>IF(D92&lt;&gt;"","                                            16 Syllabus 09", "")</f>
        <v/>
      </c>
      <c r="I148" s="360"/>
      <c r="J148" s="360"/>
      <c r="K148" s="360"/>
      <c r="L148" s="360"/>
      <c r="M148" s="360"/>
      <c r="N148" s="360"/>
      <c r="S148" s="63"/>
    </row>
    <row r="149" spans="3:19" s="41" customFormat="1" ht="27" customHeight="1" x14ac:dyDescent="0.2">
      <c r="C149" s="88"/>
      <c r="H149" s="360" t="str">
        <f>IF(D93&lt;&gt;"","                                            16 Syllabus 10", "")</f>
        <v/>
      </c>
      <c r="I149" s="360"/>
      <c r="J149" s="360"/>
      <c r="K149" s="360"/>
      <c r="L149" s="360"/>
      <c r="M149" s="360"/>
      <c r="N149" s="360"/>
      <c r="S149" s="63"/>
    </row>
    <row r="150" spans="3:19" s="41" customFormat="1" ht="27" customHeight="1" x14ac:dyDescent="0.2">
      <c r="C150" s="88"/>
      <c r="H150" s="360" t="str">
        <f>IF(D94&lt;&gt;"","                                            16 Syllabus 11", "")</f>
        <v/>
      </c>
      <c r="I150" s="360"/>
      <c r="J150" s="360"/>
      <c r="K150" s="360"/>
      <c r="L150" s="360"/>
      <c r="M150" s="360"/>
      <c r="N150" s="360"/>
      <c r="S150" s="63"/>
    </row>
    <row r="151" spans="3:19" s="41" customFormat="1" ht="27" customHeight="1" x14ac:dyDescent="0.2">
      <c r="C151" s="88"/>
      <c r="H151" s="360" t="str">
        <f>IF(D95&lt;&gt;"","                                            16 Syllabus 12", "")</f>
        <v/>
      </c>
      <c r="I151" s="360"/>
      <c r="J151" s="360"/>
      <c r="K151" s="360"/>
      <c r="L151" s="360"/>
      <c r="M151" s="360"/>
      <c r="N151" s="360"/>
      <c r="S151" s="63"/>
    </row>
    <row r="152" spans="3:19" s="41" customFormat="1" ht="27" customHeight="1" x14ac:dyDescent="0.2">
      <c r="C152" s="88"/>
      <c r="H152" s="360" t="str">
        <f>IF(D96&lt;&gt;"","                                            16 Syllabus 13", "")</f>
        <v/>
      </c>
      <c r="I152" s="360"/>
      <c r="J152" s="360"/>
      <c r="K152" s="360"/>
      <c r="L152" s="360"/>
      <c r="M152" s="360"/>
      <c r="N152" s="360"/>
      <c r="S152" s="63"/>
    </row>
    <row r="153" spans="3:19" s="41" customFormat="1" ht="27" customHeight="1" x14ac:dyDescent="0.2">
      <c r="C153" s="88"/>
      <c r="H153" s="360" t="str">
        <f>IF(D97&lt;&gt;"","                                            16 Syllabus 14", "")</f>
        <v/>
      </c>
      <c r="I153" s="360"/>
      <c r="J153" s="360"/>
      <c r="K153" s="360"/>
      <c r="L153" s="360"/>
      <c r="M153" s="360"/>
      <c r="N153" s="360"/>
      <c r="S153" s="63"/>
    </row>
    <row r="154" spans="3:19" s="41" customFormat="1" ht="27" customHeight="1" x14ac:dyDescent="0.2">
      <c r="C154" s="88"/>
      <c r="H154" s="360" t="str">
        <f>IF(D98&lt;&gt;"","                                            16 Syllabus 15", "")</f>
        <v/>
      </c>
      <c r="I154" s="360"/>
      <c r="J154" s="360"/>
      <c r="K154" s="360"/>
      <c r="L154" s="360"/>
      <c r="M154" s="360"/>
      <c r="N154" s="360"/>
      <c r="S154" s="63"/>
    </row>
    <row r="155" spans="3:19" s="41" customFormat="1" ht="27" customHeight="1" x14ac:dyDescent="0.2">
      <c r="C155" s="88"/>
      <c r="H155" s="360" t="str">
        <f>IF(D99&lt;&gt;"","                                            16 Syllabus 16", "")</f>
        <v/>
      </c>
      <c r="I155" s="360"/>
      <c r="J155" s="360"/>
      <c r="K155" s="360"/>
      <c r="L155" s="360"/>
      <c r="M155" s="360"/>
      <c r="N155" s="360"/>
      <c r="S155" s="63"/>
    </row>
    <row r="156" spans="3:19" s="41" customFormat="1" ht="27" customHeight="1" x14ac:dyDescent="0.2">
      <c r="C156" s="88"/>
      <c r="H156" s="360" t="str">
        <f>IF(D100&lt;&gt;"","                                            16 Syllabus 17", "")</f>
        <v/>
      </c>
      <c r="I156" s="360"/>
      <c r="J156" s="360"/>
      <c r="K156" s="360"/>
      <c r="L156" s="360"/>
      <c r="M156" s="360"/>
      <c r="N156" s="360"/>
      <c r="S156" s="63"/>
    </row>
    <row r="157" spans="3:19" s="41" customFormat="1" ht="27" customHeight="1" x14ac:dyDescent="0.2">
      <c r="C157" s="88"/>
      <c r="H157" s="360" t="str">
        <f>IF(D101&lt;&gt;"","                                            16 Syllabus 18", "")</f>
        <v/>
      </c>
      <c r="I157" s="360"/>
      <c r="J157" s="360"/>
      <c r="K157" s="360"/>
      <c r="L157" s="360"/>
      <c r="M157" s="360"/>
      <c r="N157" s="360"/>
      <c r="S157" s="63"/>
    </row>
    <row r="158" spans="3:19" s="41" customFormat="1" ht="27" customHeight="1" x14ac:dyDescent="0.2">
      <c r="C158" s="88"/>
      <c r="H158" s="360" t="str">
        <f>IF(D102&lt;&gt;"","                                            16 Syllabus 19", "")</f>
        <v/>
      </c>
      <c r="I158" s="360"/>
      <c r="J158" s="360"/>
      <c r="K158" s="360"/>
      <c r="L158" s="360"/>
      <c r="M158" s="360"/>
      <c r="N158" s="360"/>
      <c r="S158" s="63"/>
    </row>
    <row r="159" spans="3:19" s="41" customFormat="1" ht="27" customHeight="1" x14ac:dyDescent="0.2">
      <c r="C159" s="88"/>
      <c r="H159" s="360" t="str">
        <f>IF(D103&lt;&gt;"","                                            16 Syllabus 20", "")</f>
        <v/>
      </c>
      <c r="I159" s="360"/>
      <c r="J159" s="360"/>
      <c r="K159" s="360"/>
      <c r="L159" s="360"/>
      <c r="M159" s="360"/>
      <c r="N159" s="360"/>
      <c r="S159" s="63"/>
    </row>
    <row r="160" spans="3:19" s="41" customFormat="1" ht="27" customHeight="1" x14ac:dyDescent="0.2">
      <c r="C160" s="88"/>
      <c r="H160" s="360" t="str">
        <f>IF(D104&lt;&gt;"","                                            16 Syllabus 21", "")</f>
        <v/>
      </c>
      <c r="I160" s="360"/>
      <c r="J160" s="360"/>
      <c r="K160" s="360"/>
      <c r="L160" s="360"/>
      <c r="M160" s="360"/>
      <c r="N160" s="360"/>
      <c r="S160" s="63"/>
    </row>
    <row r="161" spans="3:19" s="41" customFormat="1" ht="27" customHeight="1" x14ac:dyDescent="0.2">
      <c r="C161" s="88"/>
      <c r="H161" s="360" t="str">
        <f>IF(D105&lt;&gt;"","                                            16 Syllabus 22", "")</f>
        <v/>
      </c>
      <c r="I161" s="360"/>
      <c r="J161" s="360"/>
      <c r="K161" s="360"/>
      <c r="L161" s="360"/>
      <c r="M161" s="360"/>
      <c r="N161" s="360"/>
      <c r="S161" s="63"/>
    </row>
    <row r="162" spans="3:19" s="41" customFormat="1" ht="27" customHeight="1" x14ac:dyDescent="0.2">
      <c r="C162" s="88"/>
      <c r="H162" s="360" t="str">
        <f>IF(D106&lt;&gt;"","                                            16 Syllabus 23", "")</f>
        <v/>
      </c>
      <c r="I162" s="360"/>
      <c r="J162" s="360"/>
      <c r="K162" s="360"/>
      <c r="L162" s="360"/>
      <c r="M162" s="360"/>
      <c r="N162" s="360"/>
      <c r="S162" s="63"/>
    </row>
    <row r="163" spans="3:19" s="41" customFormat="1" ht="27" customHeight="1" x14ac:dyDescent="0.2">
      <c r="C163" s="88"/>
      <c r="H163" s="360" t="str">
        <f>IF(D107&lt;&gt;"","                                            16 Syllabus 24", "")</f>
        <v/>
      </c>
      <c r="I163" s="360"/>
      <c r="J163" s="360"/>
      <c r="K163" s="360"/>
      <c r="L163" s="360"/>
      <c r="M163" s="360"/>
      <c r="N163" s="360"/>
      <c r="S163" s="63"/>
    </row>
    <row r="164" spans="3:19" s="41" customFormat="1" ht="27" customHeight="1" x14ac:dyDescent="0.2">
      <c r="C164" s="88"/>
      <c r="H164" s="360" t="str">
        <f>IF(D108&lt;&gt;"","                                            16 Syllabus 25", "")</f>
        <v/>
      </c>
      <c r="I164" s="360"/>
      <c r="J164" s="360"/>
      <c r="K164" s="360"/>
      <c r="L164" s="360"/>
      <c r="M164" s="360"/>
      <c r="N164" s="360"/>
      <c r="S164" s="63"/>
    </row>
    <row r="165" spans="3:19" s="41" customFormat="1" ht="27" hidden="1" customHeight="1" x14ac:dyDescent="0.2">
      <c r="C165" s="88"/>
      <c r="H165" s="475" t="str">
        <f>IF(D109&lt;&gt;"","                                            14 Syllabus 26", "")</f>
        <v/>
      </c>
      <c r="I165" s="475"/>
      <c r="J165" s="475"/>
      <c r="K165" s="475"/>
      <c r="L165" s="475"/>
      <c r="M165" s="475"/>
      <c r="N165" s="475"/>
      <c r="S165" s="63"/>
    </row>
    <row r="166" spans="3:19" s="41" customFormat="1" ht="27" hidden="1" customHeight="1" x14ac:dyDescent="0.2">
      <c r="C166" s="88"/>
      <c r="H166" s="475" t="str">
        <f>IF(D110&lt;&gt;"","                                            14 Syllabus 27", "")</f>
        <v/>
      </c>
      <c r="I166" s="475"/>
      <c r="J166" s="475"/>
      <c r="K166" s="475"/>
      <c r="L166" s="475"/>
      <c r="M166" s="475"/>
      <c r="N166" s="475"/>
      <c r="S166" s="63"/>
    </row>
    <row r="167" spans="3:19" s="41" customFormat="1" ht="27" hidden="1" customHeight="1" x14ac:dyDescent="0.2">
      <c r="C167" s="88"/>
      <c r="H167" s="475" t="str">
        <f>IF(D111&lt;&gt;"","                                            14 Syllabus 28", "")</f>
        <v/>
      </c>
      <c r="I167" s="475"/>
      <c r="J167" s="475"/>
      <c r="K167" s="475"/>
      <c r="L167" s="475"/>
      <c r="M167" s="475"/>
      <c r="N167" s="475"/>
      <c r="S167" s="63"/>
    </row>
    <row r="168" spans="3:19" s="41" customFormat="1" ht="27" hidden="1" customHeight="1" x14ac:dyDescent="0.2">
      <c r="C168" s="88"/>
      <c r="H168" s="475" t="str">
        <f>IF(D112&lt;&gt;"","                                            14 Syllabus 29", "")</f>
        <v/>
      </c>
      <c r="I168" s="475"/>
      <c r="J168" s="475"/>
      <c r="K168" s="475"/>
      <c r="L168" s="475"/>
      <c r="M168" s="475"/>
      <c r="N168" s="475"/>
      <c r="S168" s="63"/>
    </row>
    <row r="169" spans="3:19" s="41" customFormat="1" ht="27" hidden="1" customHeight="1" x14ac:dyDescent="0.2">
      <c r="C169" s="88"/>
      <c r="H169" s="475" t="str">
        <f>IF(D113&lt;&gt;"","                                            14 Syllabus 30", "")</f>
        <v/>
      </c>
      <c r="I169" s="475"/>
      <c r="J169" s="475"/>
      <c r="K169" s="475"/>
      <c r="L169" s="475"/>
      <c r="M169" s="475"/>
      <c r="N169" s="475"/>
      <c r="S169" s="63"/>
    </row>
    <row r="170" spans="3:19" s="41" customFormat="1" ht="27.75" customHeight="1" x14ac:dyDescent="0.2">
      <c r="C170" s="88"/>
      <c r="H170" s="361" t="s">
        <v>116</v>
      </c>
      <c r="I170" s="361"/>
      <c r="J170" s="361"/>
      <c r="K170" s="361"/>
      <c r="L170" s="361"/>
      <c r="M170" s="361"/>
      <c r="N170" s="361"/>
      <c r="S170" s="63"/>
    </row>
    <row r="171" spans="3:19" s="41" customFormat="1" ht="14.25" x14ac:dyDescent="0.2">
      <c r="C171" s="27"/>
    </row>
    <row r="172" spans="3:19" s="41" customFormat="1" ht="14.25" x14ac:dyDescent="0.2"/>
    <row r="173" spans="3:19" s="41" customFormat="1" ht="14.25" x14ac:dyDescent="0.2"/>
    <row r="174" spans="3:19" s="41" customFormat="1" ht="14.25" x14ac:dyDescent="0.2"/>
    <row r="175" spans="3:19" s="41" customFormat="1" ht="14.25" x14ac:dyDescent="0.2"/>
    <row r="176" spans="3:19" s="41" customFormat="1" ht="14.25" x14ac:dyDescent="0.2"/>
    <row r="177" spans="2:15" s="41" customFormat="1" ht="24" customHeight="1" x14ac:dyDescent="0.25">
      <c r="B177" s="378" t="s">
        <v>208</v>
      </c>
      <c r="C177" s="378"/>
      <c r="D177" s="378"/>
      <c r="E177" s="378"/>
      <c r="F177" s="378"/>
      <c r="G177" s="378"/>
      <c r="K177" s="64"/>
    </row>
    <row r="180" spans="2:15" ht="27" customHeight="1" x14ac:dyDescent="0.25">
      <c r="B180" s="310" t="str">
        <f>IF('Title Page'!D3&lt;&gt;"Please Select",'Title Page'!D3,"")</f>
        <v/>
      </c>
      <c r="C180" s="310"/>
      <c r="D180" s="310"/>
      <c r="E180" s="310"/>
      <c r="F180" s="310"/>
      <c r="G180" s="310"/>
      <c r="H180" s="310"/>
      <c r="I180" s="310"/>
      <c r="J180" s="310"/>
      <c r="K180" s="310"/>
      <c r="L180" s="310"/>
      <c r="M180" s="310"/>
      <c r="N180" s="310"/>
      <c r="O180" s="310"/>
    </row>
  </sheetData>
  <sheetProtection algorithmName="SHA-512" hashValue="k2sevG5+TbpTi0EkE7osO0sqlbXmw6JZduPyawdNFhdCfPETm8qYiA6fS+106pR3gpSgGRpofHQchm2jzyL6bA==" saltValue="M8ZJontHHKYqh4Xni6LPVw==" spinCount="100000" sheet="1" formatRows="0" selectLockedCells="1"/>
  <mergeCells count="190">
    <mergeCell ref="H168:N168"/>
    <mergeCell ref="N114:T114"/>
    <mergeCell ref="I115:L115"/>
    <mergeCell ref="H169:N169"/>
    <mergeCell ref="H159:N159"/>
    <mergeCell ref="H160:N160"/>
    <mergeCell ref="H161:N161"/>
    <mergeCell ref="H162:N162"/>
    <mergeCell ref="H163:N163"/>
    <mergeCell ref="H164:N164"/>
    <mergeCell ref="H165:N165"/>
    <mergeCell ref="H166:N166"/>
    <mergeCell ref="H167:N167"/>
    <mergeCell ref="R135:V135"/>
    <mergeCell ref="O117:AA117"/>
    <mergeCell ref="B123:C123"/>
    <mergeCell ref="E123:G123"/>
    <mergeCell ref="B124:C124"/>
    <mergeCell ref="H158:N158"/>
    <mergeCell ref="H140:N140"/>
    <mergeCell ref="E141:G141"/>
    <mergeCell ref="D136:L136"/>
    <mergeCell ref="B132:M132"/>
    <mergeCell ref="D137:J137"/>
    <mergeCell ref="E124:G124"/>
    <mergeCell ref="B128:C128"/>
    <mergeCell ref="E128:G128"/>
    <mergeCell ref="B125:C125"/>
    <mergeCell ref="E125:G125"/>
    <mergeCell ref="B126:C126"/>
    <mergeCell ref="E126:G126"/>
    <mergeCell ref="B127:C127"/>
    <mergeCell ref="E127:G127"/>
    <mergeCell ref="B177:G177"/>
    <mergeCell ref="E148:G148"/>
    <mergeCell ref="O135:Q135"/>
    <mergeCell ref="H170:N170"/>
    <mergeCell ref="H143:N143"/>
    <mergeCell ref="H144:N144"/>
    <mergeCell ref="H145:N145"/>
    <mergeCell ref="H146:N146"/>
    <mergeCell ref="H147:N147"/>
    <mergeCell ref="H148:N148"/>
    <mergeCell ref="H149:N149"/>
    <mergeCell ref="H150:N150"/>
    <mergeCell ref="H151:N151"/>
    <mergeCell ref="H152:N152"/>
    <mergeCell ref="H153:N153"/>
    <mergeCell ref="H154:N154"/>
    <mergeCell ref="H155:N155"/>
    <mergeCell ref="H156:N156"/>
    <mergeCell ref="H141:N141"/>
    <mergeCell ref="H142:N142"/>
    <mergeCell ref="D138:O138"/>
    <mergeCell ref="O136:Q136"/>
    <mergeCell ref="H157:N157"/>
    <mergeCell ref="H139:N139"/>
    <mergeCell ref="B120:C120"/>
    <mergeCell ref="E120:G120"/>
    <mergeCell ref="B121:C121"/>
    <mergeCell ref="E118:G118"/>
    <mergeCell ref="B99:C99"/>
    <mergeCell ref="E99:G99"/>
    <mergeCell ref="B100:C100"/>
    <mergeCell ref="B117:H117"/>
    <mergeCell ref="B101:C101"/>
    <mergeCell ref="E111:G111"/>
    <mergeCell ref="B112:C112"/>
    <mergeCell ref="E112:G112"/>
    <mergeCell ref="B113:C113"/>
    <mergeCell ref="E113:G113"/>
    <mergeCell ref="E121:G121"/>
    <mergeCell ref="E101:G101"/>
    <mergeCell ref="B114:G114"/>
    <mergeCell ref="B118:C118"/>
    <mergeCell ref="E100:G100"/>
    <mergeCell ref="E119:G119"/>
    <mergeCell ref="B122:C122"/>
    <mergeCell ref="E122:G122"/>
    <mergeCell ref="B105:C105"/>
    <mergeCell ref="E105:G105"/>
    <mergeCell ref="B106:C106"/>
    <mergeCell ref="E106:G106"/>
    <mergeCell ref="B107:C107"/>
    <mergeCell ref="B94:C94"/>
    <mergeCell ref="E94:G94"/>
    <mergeCell ref="E95:G95"/>
    <mergeCell ref="B96:C96"/>
    <mergeCell ref="E96:G96"/>
    <mergeCell ref="B97:C97"/>
    <mergeCell ref="B95:C95"/>
    <mergeCell ref="B98:C98"/>
    <mergeCell ref="B119:C119"/>
    <mergeCell ref="E107:G107"/>
    <mergeCell ref="B108:C108"/>
    <mergeCell ref="E108:G108"/>
    <mergeCell ref="B109:C109"/>
    <mergeCell ref="E109:G109"/>
    <mergeCell ref="B110:C110"/>
    <mergeCell ref="E110:G110"/>
    <mergeCell ref="B111:C111"/>
    <mergeCell ref="B2:J2"/>
    <mergeCell ref="E16:G16"/>
    <mergeCell ref="H16:N16"/>
    <mergeCell ref="D5:L5"/>
    <mergeCell ref="D10:N10"/>
    <mergeCell ref="D13:O13"/>
    <mergeCell ref="D6:J6"/>
    <mergeCell ref="D23:J23"/>
    <mergeCell ref="B10:B11"/>
    <mergeCell ref="O21:Q21"/>
    <mergeCell ref="B7:B9"/>
    <mergeCell ref="B3:O3"/>
    <mergeCell ref="R4:V4"/>
    <mergeCell ref="O5:Q5"/>
    <mergeCell ref="H14:N14"/>
    <mergeCell ref="H15:N15"/>
    <mergeCell ref="H17:N17"/>
    <mergeCell ref="H18:N18"/>
    <mergeCell ref="O4:Q4"/>
    <mergeCell ref="H28:N28"/>
    <mergeCell ref="D77:M77"/>
    <mergeCell ref="D50:H52"/>
    <mergeCell ref="D25:I25"/>
    <mergeCell ref="J55:M65"/>
    <mergeCell ref="E29:G29"/>
    <mergeCell ref="R21:V21"/>
    <mergeCell ref="D22:L22"/>
    <mergeCell ref="O22:Q22"/>
    <mergeCell ref="D27:O27"/>
    <mergeCell ref="H29:N29"/>
    <mergeCell ref="H30:N30"/>
    <mergeCell ref="O43:Q43"/>
    <mergeCell ref="B47:H47"/>
    <mergeCell ref="D43:L46"/>
    <mergeCell ref="C50:C51"/>
    <mergeCell ref="D59:H59"/>
    <mergeCell ref="E98:G98"/>
    <mergeCell ref="B84:C84"/>
    <mergeCell ref="E84:G84"/>
    <mergeCell ref="B85:C85"/>
    <mergeCell ref="B102:C102"/>
    <mergeCell ref="E102:G102"/>
    <mergeCell ref="B103:C103"/>
    <mergeCell ref="E103:G103"/>
    <mergeCell ref="B104:C104"/>
    <mergeCell ref="E104:G104"/>
    <mergeCell ref="B87:C87"/>
    <mergeCell ref="E87:G87"/>
    <mergeCell ref="B88:C88"/>
    <mergeCell ref="E88:G88"/>
    <mergeCell ref="B90:C90"/>
    <mergeCell ref="E90:G90"/>
    <mergeCell ref="B91:C91"/>
    <mergeCell ref="E85:G85"/>
    <mergeCell ref="B86:C86"/>
    <mergeCell ref="D76:M76"/>
    <mergeCell ref="E91:G91"/>
    <mergeCell ref="E93:G93"/>
    <mergeCell ref="B89:C89"/>
    <mergeCell ref="E97:G97"/>
    <mergeCell ref="B92:C92"/>
    <mergeCell ref="E92:G92"/>
    <mergeCell ref="B93:C93"/>
    <mergeCell ref="E83:G83"/>
    <mergeCell ref="B81:M81"/>
    <mergeCell ref="B180:O180"/>
    <mergeCell ref="R33:V33"/>
    <mergeCell ref="H40:N40"/>
    <mergeCell ref="D33:L33"/>
    <mergeCell ref="O33:Q33"/>
    <mergeCell ref="D34:J34"/>
    <mergeCell ref="D37:O37"/>
    <mergeCell ref="H38:N38"/>
    <mergeCell ref="E39:G39"/>
    <mergeCell ref="H39:N39"/>
    <mergeCell ref="B82:M82"/>
    <mergeCell ref="B83:C83"/>
    <mergeCell ref="D55:H55"/>
    <mergeCell ref="D61:H61"/>
    <mergeCell ref="D63:H63"/>
    <mergeCell ref="D65:H65"/>
    <mergeCell ref="O116:AA116"/>
    <mergeCell ref="E89:G89"/>
    <mergeCell ref="E86:G86"/>
    <mergeCell ref="D69:M69"/>
    <mergeCell ref="D57:H57"/>
    <mergeCell ref="D73:M73"/>
    <mergeCell ref="D68:M68"/>
    <mergeCell ref="D72:M72"/>
  </mergeCells>
  <conditionalFormatting sqref="B3:O3">
    <cfRule type="expression" dxfId="3077" priority="2">
      <formula>$B$3="Paramedic"</formula>
    </cfRule>
    <cfRule type="expression" dxfId="3076" priority="4">
      <formula>$B$3="AEMT"</formula>
    </cfRule>
  </conditionalFormatting>
  <conditionalFormatting sqref="B180:O180">
    <cfRule type="expression" dxfId="3075" priority="1">
      <formula>$B$180="Paramedic"</formula>
    </cfRule>
    <cfRule type="expression" dxfId="3074" priority="3">
      <formula>$B$180="AEMT"</formula>
    </cfRule>
  </conditionalFormatting>
  <conditionalFormatting sqref="D69:M69">
    <cfRule type="expression" dxfId="3073" priority="6">
      <formula>$D$68&lt;&gt;""</formula>
    </cfRule>
  </conditionalFormatting>
  <conditionalFormatting sqref="D73:M73">
    <cfRule type="expression" dxfId="3072" priority="5">
      <formula>$D$72&lt;&gt;""</formula>
    </cfRule>
  </conditionalFormatting>
  <conditionalFormatting sqref="D77:M77">
    <cfRule type="expression" dxfId="3071" priority="39">
      <formula>$D$76&lt;&gt;""</formula>
    </cfRule>
  </conditionalFormatting>
  <conditionalFormatting sqref="H84">
    <cfRule type="expression" dxfId="3070" priority="45">
      <formula>#REF!="No"</formula>
    </cfRule>
  </conditionalFormatting>
  <conditionalFormatting sqref="H127">
    <cfRule type="expression" dxfId="3069" priority="43">
      <formula>#REF!="No"</formula>
    </cfRule>
  </conditionalFormatting>
  <conditionalFormatting sqref="H129">
    <cfRule type="expression" dxfId="3068" priority="44">
      <formula>#REF!="No"</formula>
    </cfRule>
  </conditionalFormatting>
  <conditionalFormatting sqref="N84:O84 Q84:S84">
    <cfRule type="expression" dxfId="3066" priority="37">
      <formula>$N84&lt;&gt;""</formula>
    </cfRule>
  </conditionalFormatting>
  <conditionalFormatting sqref="N85:S113">
    <cfRule type="expression" dxfId="3065" priority="8">
      <formula>$N85&lt;&gt;""</formula>
    </cfRule>
  </conditionalFormatting>
  <conditionalFormatting sqref="N114:T114">
    <cfRule type="expression" dxfId="3064" priority="7">
      <formula>$N$114&lt;&gt;""</formula>
    </cfRule>
  </conditionalFormatting>
  <dataValidations count="1">
    <dataValidation type="list" allowBlank="1" showInputMessage="1" showErrorMessage="1" sqref="J51 J25" xr:uid="{00000000-0002-0000-0500-000000000000}">
      <formula1>"Yes, No"</formula1>
    </dataValidation>
  </dataValidations>
  <hyperlinks>
    <hyperlink ref="R4:V4" r:id="rId1" display="Resource Assessment Matrix (RAM)" xr:uid="{00000000-0004-0000-0500-000000000000}"/>
    <hyperlink ref="R21:V21" r:id="rId2" display="https://coaemsp.org/resource-library" xr:uid="{00000000-0004-0000-0500-000001000000}"/>
    <hyperlink ref="R135:V135" r:id="rId3" display="Sample Syllabus" xr:uid="{00000000-0004-0000-0500-000002000000}"/>
    <hyperlink ref="H165:N165" r:id="rId4" display="Documentation\14 Syllabus 18.pdf" xr:uid="{00000000-0004-0000-0500-000003000000}"/>
    <hyperlink ref="H166:N166" r:id="rId5" display="Documentation\14 Syllabus 17.pdf" xr:uid="{00000000-0004-0000-0500-000004000000}"/>
    <hyperlink ref="H167:N167" r:id="rId6" display="Documentation\14 Syllabus 18.pdf" xr:uid="{00000000-0004-0000-0500-000005000000}"/>
    <hyperlink ref="H168:N168" r:id="rId7" display="Documentation\14 Syllabus 17.pdf" xr:uid="{00000000-0004-0000-0500-000006000000}"/>
    <hyperlink ref="H169:N169" r:id="rId8" display="Documentation\14 Syllabus 18.pdf" xr:uid="{00000000-0004-0000-0500-000007000000}"/>
    <hyperlink ref="R33:V33" r:id="rId9" display="https://coaemsp.org/resource-library" xr:uid="{751B211A-4BBC-4100-BAF4-FAD0FFFBCEE6}"/>
  </hyperlinks>
  <printOptions horizontalCentered="1" verticalCentered="1"/>
  <pageMargins left="0.25" right="0.25" top="0.25" bottom="0.25" header="0.3" footer="0.3"/>
  <pageSetup scale="79" fitToHeight="0" orientation="landscape" horizontalDpi="300" verticalDpi="300" r:id="rId10"/>
  <rowBreaks count="3" manualBreakCount="3">
    <brk id="42" max="14" man="1"/>
    <brk id="133" max="14" man="1"/>
    <brk id="149" max="14" man="1"/>
  </rowBreaks>
  <colBreaks count="1" manualBreakCount="1">
    <brk id="15" max="1048575" man="1"/>
  </colBreaks>
  <legacyDrawing r:id="rId11"/>
  <extLst>
    <ext xmlns:x14="http://schemas.microsoft.com/office/spreadsheetml/2009/9/main" uri="{78C0D931-6437-407d-A8EE-F0AAD7539E65}">
      <x14:conditionalFormattings>
        <x14:conditionalFormatting xmlns:xm="http://schemas.microsoft.com/office/excel/2006/main">
          <x14:cfRule type="expression" priority="62" id="{89B61D33-DC98-4CD1-984E-E239443B4C45}">
            <xm:f>'Standard I-Sponsorship'!J1048540="Yes"</xm:f>
            <x14:dxf>
              <fill>
                <patternFill>
                  <bgColor rgb="FFEFF6FB"/>
                </patternFill>
              </fill>
              <border>
                <left style="thin">
                  <color auto="1"/>
                </left>
                <right style="thin">
                  <color auto="1"/>
                </right>
                <top style="thin">
                  <color auto="1"/>
                </top>
                <bottom style="thin">
                  <color auto="1"/>
                </bottom>
                <vertical/>
                <horizontal/>
              </border>
            </x14:dxf>
          </x14:cfRule>
          <xm:sqref>J7:K7 H8:K8</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5B8EA"/>
  </sheetPr>
  <dimension ref="B1:V206"/>
  <sheetViews>
    <sheetView showGridLines="0" zoomScaleNormal="100" workbookViewId="0">
      <selection activeCell="J19" sqref="J19"/>
    </sheetView>
  </sheetViews>
  <sheetFormatPr defaultColWidth="9.140625" defaultRowHeight="15" x14ac:dyDescent="0.25"/>
  <cols>
    <col min="1" max="1" width="4.7109375" customWidth="1"/>
    <col min="2" max="2" width="17.42578125" customWidth="1"/>
    <col min="3" max="3" width="7.7109375" customWidth="1"/>
    <col min="4" max="4" width="15" customWidth="1"/>
    <col min="5" max="5" width="14" customWidth="1"/>
    <col min="6" max="6" width="13.42578125" customWidth="1"/>
    <col min="7" max="7" width="18.7109375" customWidth="1"/>
    <col min="8" max="8" width="13" customWidth="1"/>
    <col min="9" max="9" width="11.7109375" customWidth="1"/>
    <col min="10" max="10" width="14.28515625" customWidth="1"/>
    <col min="11" max="11" width="11" customWidth="1"/>
    <col min="12" max="12" width="11.7109375" customWidth="1"/>
    <col min="13" max="14" width="10.140625" customWidth="1"/>
  </cols>
  <sheetData>
    <row r="1" spans="2:22" s="41" customFormat="1" ht="45.95" customHeight="1" x14ac:dyDescent="0.25">
      <c r="B1" s="4" t="s">
        <v>122</v>
      </c>
      <c r="N1" s="64" t="str">
        <f>Instructions!C19</f>
        <v>SSR Revised 2025.02</v>
      </c>
    </row>
    <row r="2" spans="2:22" s="41" customFormat="1" ht="23.25" customHeight="1" x14ac:dyDescent="0.2">
      <c r="B2" s="499">
        <f>'Title Page'!$D$10</f>
        <v>0</v>
      </c>
      <c r="C2" s="499"/>
      <c r="D2" s="499"/>
      <c r="E2" s="499"/>
      <c r="F2" s="499"/>
      <c r="G2" s="499"/>
      <c r="H2" s="499"/>
      <c r="I2" s="499"/>
      <c r="J2" s="499"/>
    </row>
    <row r="3" spans="2:22" s="41" customFormat="1" ht="27" customHeight="1" x14ac:dyDescent="0.2">
      <c r="B3" s="335" t="str">
        <f>IF('Title Page'!D3&lt;&gt;"Please Select",'Title Page'!D3,"")</f>
        <v/>
      </c>
      <c r="C3" s="335"/>
      <c r="D3" s="335"/>
      <c r="E3" s="335"/>
      <c r="F3" s="335"/>
      <c r="G3" s="335"/>
      <c r="H3" s="335"/>
      <c r="I3" s="335"/>
      <c r="J3" s="335"/>
      <c r="K3" s="335"/>
      <c r="L3" s="335"/>
      <c r="M3" s="335"/>
      <c r="N3" s="335"/>
      <c r="O3" s="335"/>
    </row>
    <row r="4" spans="2:22" s="41" customFormat="1" ht="14.25" x14ac:dyDescent="0.2"/>
    <row r="5" spans="2:22" s="41" customFormat="1" ht="30.75" customHeight="1" x14ac:dyDescent="0.2">
      <c r="O5" s="514" t="s">
        <v>199</v>
      </c>
      <c r="P5" s="514"/>
      <c r="Q5" s="514"/>
      <c r="R5" s="515" t="s">
        <v>416</v>
      </c>
      <c r="S5" s="515"/>
      <c r="T5" s="515"/>
      <c r="U5" s="515"/>
      <c r="V5" s="515"/>
    </row>
    <row r="6" spans="2:22" s="41" customFormat="1" ht="77.25" customHeight="1" x14ac:dyDescent="0.2">
      <c r="C6" s="109" t="s">
        <v>8</v>
      </c>
      <c r="D6" s="500" t="str">
        <f>IF(Instructions!A14&lt;&gt;"(LSSR)","The sponsor must establish or verify key program personnel which have been approved through the CoAEMSP."&amp;"
                                               [Required]          President, Dean, Program Director, Medical Director  
                                               [If Applicable]    Satellite Lead Instructor(s)","The sponsor must establish or verify key program personnel which have been approved through the CoAEMSP."&amp;"
                                               [Required]          President, Dean, Program Director, Medical Director")</f>
        <v>The sponsor must establish or verify key program personnel which have been approved through the CoAEMSP.
                                               [Required]          President, Dean, Program Director, Medical Director</v>
      </c>
      <c r="E6" s="500"/>
      <c r="F6" s="500"/>
      <c r="G6" s="500"/>
      <c r="H6" s="500"/>
      <c r="I6" s="500"/>
      <c r="J6" s="500"/>
      <c r="K6" s="500"/>
      <c r="L6" s="500"/>
      <c r="M6" s="500"/>
      <c r="N6" s="500"/>
      <c r="O6" s="500"/>
    </row>
    <row r="7" spans="2:22" s="41" customFormat="1" ht="27" customHeight="1" x14ac:dyDescent="0.2">
      <c r="B7" s="339" t="s">
        <v>120</v>
      </c>
      <c r="D7" s="502"/>
      <c r="E7" s="502"/>
      <c r="F7" s="502"/>
      <c r="G7" s="502"/>
      <c r="H7" s="502"/>
      <c r="I7" s="502"/>
      <c r="J7" s="502"/>
      <c r="K7" s="502"/>
      <c r="L7" s="502"/>
      <c r="M7" s="502"/>
      <c r="N7" s="502"/>
      <c r="O7" s="502"/>
    </row>
    <row r="8" spans="2:22" s="41" customFormat="1" ht="99.75" customHeight="1" x14ac:dyDescent="0.2">
      <c r="B8" s="339"/>
      <c r="D8" s="503" t="s">
        <v>553</v>
      </c>
      <c r="E8" s="503"/>
      <c r="F8" s="503"/>
      <c r="G8" s="503"/>
      <c r="H8" s="503"/>
      <c r="I8" s="503"/>
      <c r="J8" s="503"/>
      <c r="K8" s="503"/>
      <c r="L8" s="503"/>
    </row>
    <row r="9" spans="2:22" s="41" customFormat="1" ht="65.25" customHeight="1" x14ac:dyDescent="0.2">
      <c r="C9" s="88"/>
      <c r="D9" s="358" t="s">
        <v>554</v>
      </c>
      <c r="E9" s="358"/>
      <c r="F9" s="358"/>
      <c r="G9" s="358"/>
      <c r="H9" s="358"/>
      <c r="I9" s="358"/>
      <c r="J9" s="358"/>
      <c r="K9" s="358"/>
      <c r="L9" s="358"/>
      <c r="M9" s="358"/>
      <c r="N9" s="358"/>
      <c r="O9" s="358"/>
      <c r="S9" s="63"/>
    </row>
    <row r="10" spans="2:22" s="41" customFormat="1" ht="27" customHeight="1" x14ac:dyDescent="0.2">
      <c r="C10" s="88"/>
      <c r="H10" s="360" t="s">
        <v>117</v>
      </c>
      <c r="I10" s="360"/>
      <c r="J10" s="360"/>
      <c r="K10" s="360"/>
      <c r="L10" s="360"/>
      <c r="M10" s="360"/>
      <c r="N10" s="360"/>
      <c r="S10" s="63"/>
    </row>
    <row r="11" spans="2:22" s="41" customFormat="1" ht="29.25" customHeight="1" x14ac:dyDescent="0.2">
      <c r="C11" s="88"/>
      <c r="E11" s="430" t="s">
        <v>111</v>
      </c>
      <c r="F11" s="430"/>
      <c r="G11" s="430"/>
      <c r="H11" s="360" t="s">
        <v>441</v>
      </c>
      <c r="I11" s="360"/>
      <c r="J11" s="360"/>
      <c r="K11" s="360"/>
      <c r="L11" s="360"/>
      <c r="M11" s="360"/>
      <c r="N11" s="360"/>
      <c r="S11" s="63"/>
    </row>
    <row r="12" spans="2:22" s="41" customFormat="1" ht="27.75" customHeight="1" x14ac:dyDescent="0.2">
      <c r="C12" s="88"/>
      <c r="H12" s="361" t="s">
        <v>172</v>
      </c>
      <c r="I12" s="361"/>
      <c r="J12" s="361"/>
      <c r="K12" s="361"/>
      <c r="L12" s="361"/>
      <c r="M12" s="361"/>
      <c r="N12" s="361"/>
      <c r="S12" s="63"/>
    </row>
    <row r="13" spans="2:22" s="41" customFormat="1" ht="30" customHeight="1" x14ac:dyDescent="0.2"/>
    <row r="14" spans="2:22" s="41" customFormat="1" ht="14.25" x14ac:dyDescent="0.2"/>
    <row r="15" spans="2:22" s="41" customFormat="1" ht="14.25" x14ac:dyDescent="0.2"/>
    <row r="16" spans="2:22" s="41" customFormat="1" ht="15" customHeight="1" x14ac:dyDescent="0.2">
      <c r="C16" s="461" t="s">
        <v>9</v>
      </c>
      <c r="D16" s="346" t="s">
        <v>504</v>
      </c>
      <c r="E16" s="346"/>
      <c r="F16" s="346"/>
      <c r="G16" s="346"/>
      <c r="H16" s="346"/>
      <c r="I16" s="346"/>
      <c r="J16" s="346"/>
      <c r="K16" s="346"/>
      <c r="L16" s="346"/>
      <c r="M16" s="346"/>
    </row>
    <row r="17" spans="2:19" s="41" customFormat="1" ht="33" customHeight="1" x14ac:dyDescent="0.2">
      <c r="B17" s="339" t="s">
        <v>398</v>
      </c>
      <c r="C17" s="461"/>
      <c r="D17" s="346"/>
      <c r="E17" s="346"/>
      <c r="F17" s="346"/>
      <c r="G17" s="346"/>
      <c r="H17" s="346"/>
      <c r="I17" s="346"/>
      <c r="J17" s="346"/>
      <c r="K17" s="346"/>
      <c r="L17" s="346"/>
      <c r="M17" s="346"/>
    </row>
    <row r="18" spans="2:19" s="41" customFormat="1" ht="14.25" x14ac:dyDescent="0.2">
      <c r="B18" s="339"/>
      <c r="I18" s="8"/>
      <c r="J18" s="8"/>
      <c r="K18" s="8"/>
      <c r="L18" s="8"/>
      <c r="M18" s="8"/>
      <c r="N18" s="8"/>
      <c r="O18" s="8"/>
      <c r="P18" s="8"/>
      <c r="Q18" s="8"/>
      <c r="R18" s="8"/>
    </row>
    <row r="19" spans="2:19" s="41" customFormat="1" ht="42.6" customHeight="1" x14ac:dyDescent="0.2">
      <c r="B19" s="339"/>
      <c r="D19" s="508" t="s">
        <v>536</v>
      </c>
      <c r="E19" s="509"/>
      <c r="F19" s="509"/>
      <c r="G19" s="509"/>
      <c r="H19" s="509"/>
      <c r="I19" s="510"/>
      <c r="J19" s="166"/>
      <c r="K19" s="79" t="str">
        <f>IF(J19="", " &lt;=== Select from drop down list","")</f>
        <v xml:space="preserve"> &lt;=== Select from drop down list</v>
      </c>
      <c r="L19" s="8"/>
      <c r="M19" s="8"/>
      <c r="N19" s="8"/>
      <c r="O19" s="8"/>
      <c r="P19" s="8"/>
      <c r="Q19" s="8"/>
      <c r="R19" s="8"/>
    </row>
    <row r="20" spans="2:19" s="41" customFormat="1" ht="16.5" customHeight="1" x14ac:dyDescent="0.2">
      <c r="M20" s="8"/>
    </row>
    <row r="21" spans="2:19" s="41" customFormat="1" ht="42.6" customHeight="1" x14ac:dyDescent="0.2">
      <c r="B21" s="339" t="s">
        <v>399</v>
      </c>
      <c r="D21" s="508" t="str">
        <f>IF(OR(J19="Clinical Coordinator",J19="Both"),"                                Does the program utilize the Clinical Coordinator (CC) 
                                  position with individual(s) other than the Program Director?",IF(OR(J19="Lead Instructor",,J19="None"),"                       Does the program utilize the Clinical Coordinator (CC) position?",""))</f>
        <v/>
      </c>
      <c r="E21" s="508"/>
      <c r="F21" s="508"/>
      <c r="G21" s="508"/>
      <c r="H21" s="508"/>
      <c r="I21" s="508"/>
      <c r="J21" s="167"/>
      <c r="K21" s="79" t="str">
        <f>IF(D21&lt;&gt;""," &lt;=== Select from drop down list","")</f>
        <v/>
      </c>
      <c r="L21" s="8"/>
      <c r="M21" s="8"/>
      <c r="N21" s="8"/>
      <c r="O21" s="8"/>
      <c r="Q21" s="8"/>
      <c r="R21" s="8"/>
    </row>
    <row r="22" spans="2:19" s="41" customFormat="1" ht="16.5" customHeight="1" x14ac:dyDescent="0.2">
      <c r="B22" s="339"/>
      <c r="N22" s="8"/>
    </row>
    <row r="23" spans="2:19" s="41" customFormat="1" ht="36" customHeight="1" x14ac:dyDescent="0.2">
      <c r="D23" s="508" t="str">
        <f>IF(OR(J19="Lead Instructor",J19="Both"),"                                        Does the program utilize the Lead Instructor (LI) position
                                                  with individual(s) other than the Program Director?", IF(OR(J19="Clinical Coordinator",,J19="None"),"                                         Does the program utilize the Lead Instructor (LI) position?",""))</f>
        <v/>
      </c>
      <c r="E23" s="508"/>
      <c r="F23" s="508"/>
      <c r="G23" s="508"/>
      <c r="H23" s="508"/>
      <c r="I23" s="508"/>
      <c r="J23" s="167"/>
      <c r="K23" s="79" t="str">
        <f>IF(AND(D23&lt;&gt;"",J23="")," &lt;=== Select from drop down list","")</f>
        <v/>
      </c>
      <c r="L23" s="8"/>
      <c r="M23" s="8"/>
      <c r="N23" s="8"/>
      <c r="O23" s="8"/>
      <c r="Q23" s="8"/>
      <c r="R23" s="8"/>
    </row>
    <row r="24" spans="2:19" s="41" customFormat="1" ht="16.5" customHeight="1" x14ac:dyDescent="0.2">
      <c r="B24" s="339" t="s">
        <v>401</v>
      </c>
    </row>
    <row r="25" spans="2:19" s="41" customFormat="1" ht="36" customHeight="1" x14ac:dyDescent="0.2">
      <c r="B25" s="339"/>
      <c r="D25" s="506" t="s">
        <v>262</v>
      </c>
      <c r="E25" s="506"/>
      <c r="F25" s="506"/>
      <c r="G25" s="506"/>
      <c r="H25" s="506"/>
      <c r="I25" s="507"/>
      <c r="J25" s="132"/>
      <c r="K25" s="79" t="str">
        <f>IF(J25="", " &lt;=== Select from drop down list","")</f>
        <v xml:space="preserve"> &lt;=== Select from drop down list</v>
      </c>
      <c r="L25" s="8"/>
      <c r="M25" s="8"/>
      <c r="N25" s="8"/>
      <c r="O25" s="8"/>
      <c r="P25" s="8"/>
      <c r="Q25" s="8"/>
      <c r="R25" s="8"/>
    </row>
    <row r="26" spans="2:19" s="41" customFormat="1" ht="14.25" x14ac:dyDescent="0.2">
      <c r="B26" s="339"/>
    </row>
    <row r="27" spans="2:19" s="41" customFormat="1" ht="36" customHeight="1" x14ac:dyDescent="0.2">
      <c r="B27" s="339"/>
      <c r="D27" s="506" t="s">
        <v>263</v>
      </c>
      <c r="E27" s="506"/>
      <c r="F27" s="506"/>
      <c r="G27" s="506"/>
      <c r="H27" s="506"/>
      <c r="I27" s="507"/>
      <c r="J27" s="132"/>
      <c r="K27" s="79" t="str">
        <f>IF(J27="", " &lt;=== Select from drop down list","")</f>
        <v xml:space="preserve"> &lt;=== Select from drop down list</v>
      </c>
      <c r="L27" s="8"/>
      <c r="M27" s="8"/>
      <c r="N27" s="8"/>
      <c r="O27" s="8"/>
      <c r="P27" s="8"/>
      <c r="Q27" s="8"/>
      <c r="R27" s="8"/>
    </row>
    <row r="28" spans="2:19" s="41" customFormat="1" ht="15" customHeight="1" x14ac:dyDescent="0.2"/>
    <row r="29" spans="2:19" s="41" customFormat="1" ht="27.75" customHeight="1" x14ac:dyDescent="0.2">
      <c r="D29" s="164"/>
      <c r="E29" s="506" t="s">
        <v>264</v>
      </c>
      <c r="F29" s="506"/>
      <c r="G29" s="506"/>
      <c r="H29" s="506"/>
      <c r="I29" s="507"/>
      <c r="J29" s="132"/>
      <c r="K29" s="99" t="str">
        <f>IF(J29="", " &lt;=== Select from drop down list","")</f>
        <v xml:space="preserve"> &lt;=== Select from drop down list</v>
      </c>
      <c r="L29" s="8"/>
      <c r="M29" s="8"/>
      <c r="N29" s="8"/>
      <c r="O29" s="8"/>
      <c r="P29" s="8"/>
      <c r="Q29" s="8"/>
      <c r="R29" s="8"/>
    </row>
    <row r="30" spans="2:19" s="41" customFormat="1" ht="27" customHeight="1" x14ac:dyDescent="0.2">
      <c r="I30" s="8"/>
      <c r="J30" s="8"/>
      <c r="K30" s="8"/>
      <c r="L30" s="8"/>
      <c r="M30" s="8"/>
      <c r="N30" s="8"/>
      <c r="O30" s="8"/>
      <c r="P30" s="8"/>
      <c r="Q30" s="8"/>
      <c r="R30" s="8"/>
    </row>
    <row r="31" spans="2:19" s="41" customFormat="1" ht="30" customHeight="1" x14ac:dyDescent="0.2">
      <c r="I31" s="8"/>
      <c r="J31" s="8"/>
      <c r="K31" s="8"/>
      <c r="L31" s="8"/>
      <c r="M31" s="8"/>
      <c r="N31" s="8"/>
      <c r="O31" s="8"/>
      <c r="P31" s="8"/>
      <c r="Q31" s="8"/>
      <c r="R31" s="8"/>
    </row>
    <row r="32" spans="2:19" s="41" customFormat="1" ht="65.25" customHeight="1" x14ac:dyDescent="0.2">
      <c r="C32" s="88"/>
      <c r="D32" s="358" t="s">
        <v>522</v>
      </c>
      <c r="E32" s="358"/>
      <c r="F32" s="358"/>
      <c r="G32" s="358"/>
      <c r="H32" s="358"/>
      <c r="I32" s="358"/>
      <c r="J32" s="358"/>
      <c r="K32" s="358"/>
      <c r="L32" s="358"/>
      <c r="M32" s="358"/>
      <c r="N32" s="358"/>
      <c r="O32" s="358"/>
      <c r="S32" s="63"/>
    </row>
    <row r="33" spans="2:22" s="41" customFormat="1" ht="37.5" customHeight="1" x14ac:dyDescent="0.2">
      <c r="C33" s="88"/>
      <c r="H33" s="347" t="s">
        <v>115</v>
      </c>
      <c r="I33" s="347"/>
      <c r="J33" s="347"/>
      <c r="K33" s="347"/>
      <c r="L33" s="347"/>
      <c r="M33" s="347"/>
      <c r="N33" s="347"/>
      <c r="S33" s="63"/>
    </row>
    <row r="34" spans="2:22" s="41" customFormat="1" ht="30.75" customHeight="1" x14ac:dyDescent="0.2">
      <c r="C34" s="88"/>
      <c r="H34" s="347" t="s">
        <v>507</v>
      </c>
      <c r="I34" s="347"/>
      <c r="J34" s="347"/>
      <c r="K34" s="347"/>
      <c r="L34" s="347"/>
      <c r="M34" s="347"/>
      <c r="N34" s="347"/>
      <c r="S34" s="63"/>
    </row>
    <row r="35" spans="2:22" s="41" customFormat="1" ht="29.25" customHeight="1" x14ac:dyDescent="0.2">
      <c r="C35" s="88"/>
      <c r="E35" s="118"/>
      <c r="F35" s="118"/>
      <c r="G35" s="118"/>
      <c r="H35" s="347" t="s">
        <v>508</v>
      </c>
      <c r="I35" s="347"/>
      <c r="J35" s="347"/>
      <c r="K35" s="347"/>
      <c r="L35" s="347"/>
      <c r="M35" s="347"/>
      <c r="N35" s="347"/>
      <c r="S35" s="63"/>
    </row>
    <row r="36" spans="2:22" s="41" customFormat="1" ht="30.75" customHeight="1" x14ac:dyDescent="0.2">
      <c r="C36" s="88"/>
      <c r="H36" s="347" t="str">
        <f>IF(J21="Yes","                                            17c Job Description CC","")</f>
        <v/>
      </c>
      <c r="I36" s="347"/>
      <c r="J36" s="347"/>
      <c r="K36" s="347"/>
      <c r="L36" s="347"/>
      <c r="M36" s="347"/>
      <c r="N36" s="347"/>
      <c r="S36" s="63"/>
    </row>
    <row r="37" spans="2:22" s="41" customFormat="1" ht="29.25" customHeight="1" x14ac:dyDescent="0.2">
      <c r="C37" s="88"/>
      <c r="E37" s="118"/>
      <c r="F37" s="118"/>
      <c r="G37" s="118"/>
      <c r="H37" s="347" t="str">
        <f>IF(J23="Yes","                                            17d Job Description LI","")</f>
        <v/>
      </c>
      <c r="I37" s="347"/>
      <c r="J37" s="347"/>
      <c r="K37" s="347"/>
      <c r="L37" s="347"/>
      <c r="M37" s="347"/>
      <c r="N37" s="347"/>
      <c r="S37" s="63"/>
    </row>
    <row r="38" spans="2:22" s="41" customFormat="1" ht="27" customHeight="1" x14ac:dyDescent="0.2">
      <c r="C38" s="88"/>
      <c r="H38" s="347" t="str">
        <f>IF(J25="Yes","                                            17e Job Description Assoc MD", "")</f>
        <v/>
      </c>
      <c r="I38" s="347"/>
      <c r="J38" s="347"/>
      <c r="K38" s="347"/>
      <c r="L38" s="347"/>
      <c r="M38" s="347"/>
      <c r="N38" s="347"/>
      <c r="S38" s="63"/>
    </row>
    <row r="39" spans="2:22" s="41" customFormat="1" ht="27" customHeight="1" x14ac:dyDescent="0.2">
      <c r="C39" s="88"/>
      <c r="H39" s="347" t="str">
        <f>IF(J27="Yes","                                            17f Job Description Assist MD", "")</f>
        <v/>
      </c>
      <c r="I39" s="347"/>
      <c r="J39" s="347"/>
      <c r="K39" s="347"/>
      <c r="L39" s="347"/>
      <c r="M39" s="347"/>
      <c r="N39" s="347"/>
      <c r="S39" s="63"/>
    </row>
    <row r="40" spans="2:22" s="41" customFormat="1" ht="27" customHeight="1" x14ac:dyDescent="0.2">
      <c r="C40" s="88"/>
      <c r="H40" s="347" t="str">
        <f>IF(J29="Yes","                                            17g Job Description Faculty","")</f>
        <v/>
      </c>
      <c r="I40" s="347"/>
      <c r="J40" s="347"/>
      <c r="K40" s="347"/>
      <c r="L40" s="347"/>
      <c r="M40" s="347"/>
      <c r="N40" s="347"/>
      <c r="S40" s="63"/>
    </row>
    <row r="41" spans="2:22" s="41" customFormat="1" ht="27.75" customHeight="1" x14ac:dyDescent="0.2">
      <c r="C41" s="88"/>
      <c r="H41" s="344" t="s">
        <v>116</v>
      </c>
      <c r="I41" s="344"/>
      <c r="J41" s="344"/>
      <c r="K41" s="344"/>
      <c r="L41" s="344"/>
      <c r="M41" s="344"/>
      <c r="N41" s="344"/>
      <c r="S41" s="63"/>
    </row>
    <row r="42" spans="2:22" s="41" customFormat="1" ht="33.75" customHeight="1" x14ac:dyDescent="0.2"/>
    <row r="43" spans="2:22" s="41" customFormat="1" ht="14.25" x14ac:dyDescent="0.2"/>
    <row r="44" spans="2:22" s="41" customFormat="1" ht="14.25" x14ac:dyDescent="0.2"/>
    <row r="45" spans="2:22" s="41" customFormat="1" ht="56.25" customHeight="1" x14ac:dyDescent="0.2">
      <c r="B45" s="168"/>
      <c r="C45" s="511" t="s">
        <v>21</v>
      </c>
      <c r="D45" s="511"/>
      <c r="E45" s="511"/>
      <c r="F45" s="168"/>
      <c r="G45" s="168"/>
      <c r="H45" s="168"/>
      <c r="I45" s="168"/>
      <c r="J45" s="168"/>
      <c r="K45" s="168"/>
      <c r="L45" s="168"/>
      <c r="M45" s="168"/>
      <c r="N45" s="168"/>
      <c r="O45" s="353" t="s">
        <v>475</v>
      </c>
      <c r="P45" s="353"/>
      <c r="Q45" s="353"/>
      <c r="R45" s="356" t="str">
        <f>IF(Instructions!A14="(LSSR)","Program Director Responsibilities","CoAEMSP Long Range Planning 
Program Director Responsibilities")</f>
        <v>Program Director Responsibilities</v>
      </c>
      <c r="S45" s="356"/>
      <c r="T45" s="356"/>
      <c r="U45" s="356"/>
      <c r="V45" s="356"/>
    </row>
    <row r="46" spans="2:22" s="41" customFormat="1" ht="14.25" x14ac:dyDescent="0.2">
      <c r="I46" s="8"/>
      <c r="J46" s="8"/>
      <c r="K46" s="8"/>
      <c r="L46" s="8"/>
      <c r="M46" s="8"/>
      <c r="N46" s="8"/>
      <c r="O46" s="8"/>
      <c r="P46" s="8"/>
      <c r="Q46" s="8"/>
      <c r="R46" s="8"/>
    </row>
    <row r="47" spans="2:22" s="41" customFormat="1" ht="83.45" customHeight="1" x14ac:dyDescent="0.2">
      <c r="B47" s="339" t="s">
        <v>396</v>
      </c>
      <c r="C47" s="109" t="s">
        <v>468</v>
      </c>
      <c r="D47" s="340" t="str">
        <f>IF(Instructions!A14="(LSSR)","The Program Director must fulfill each of the duties and responsibilities for all aspects of the program identified in Standard III.B.1.a.","The Program Director must fulfill each of the duties and responsibilities for all aspects of the program identified in Standard III.B.1.a."&amp;"
Other than long range planning, provide documentation demonstrating the Program Director is responsible for each of the duties listed below.")</f>
        <v>The Program Director must fulfill each of the duties and responsibilities for all aspects of the program identified in Standard III.B.1.a.</v>
      </c>
      <c r="E47" s="340"/>
      <c r="F47" s="340"/>
      <c r="G47" s="340"/>
      <c r="H47" s="340"/>
      <c r="I47" s="340"/>
      <c r="J47" s="340"/>
      <c r="K47" s="340"/>
      <c r="L47" s="340"/>
      <c r="M47" s="8"/>
      <c r="N47" s="8"/>
      <c r="O47" s="458" t="s">
        <v>82</v>
      </c>
      <c r="P47" s="458"/>
      <c r="Q47" s="458"/>
      <c r="R47" s="8"/>
    </row>
    <row r="48" spans="2:22" s="41" customFormat="1" ht="26.25" customHeight="1" x14ac:dyDescent="0.2">
      <c r="B48" s="339"/>
      <c r="D48" s="366" t="s">
        <v>476</v>
      </c>
      <c r="E48" s="366"/>
      <c r="F48" s="366"/>
      <c r="G48" s="366"/>
      <c r="H48" s="366"/>
      <c r="I48" s="366"/>
      <c r="J48" s="366"/>
    </row>
    <row r="49" spans="3:19" s="41" customFormat="1" ht="5.25" customHeight="1" x14ac:dyDescent="0.2">
      <c r="I49" s="8"/>
      <c r="J49" s="8"/>
      <c r="K49" s="8"/>
      <c r="L49" s="8"/>
      <c r="M49" s="8"/>
      <c r="N49" s="8"/>
      <c r="O49" s="8"/>
      <c r="P49" s="8"/>
      <c r="Q49" s="8"/>
      <c r="R49" s="8"/>
    </row>
    <row r="50" spans="3:19" s="41" customFormat="1" ht="5.25" customHeight="1" x14ac:dyDescent="0.25">
      <c r="D50" s="501"/>
      <c r="E50" s="501"/>
      <c r="F50" s="501"/>
      <c r="G50" s="501"/>
      <c r="H50" s="501"/>
      <c r="I50" s="501"/>
      <c r="J50" s="501"/>
      <c r="K50" s="501"/>
      <c r="L50" s="501"/>
      <c r="M50" s="501"/>
      <c r="N50" s="501"/>
      <c r="O50" s="501"/>
      <c r="P50" s="8"/>
      <c r="Q50" s="8"/>
      <c r="R50" s="8"/>
    </row>
    <row r="51" spans="3:19" s="41" customFormat="1" ht="14.25" x14ac:dyDescent="0.2">
      <c r="D51" s="134" t="s">
        <v>104</v>
      </c>
      <c r="E51" s="135" t="s">
        <v>471</v>
      </c>
      <c r="F51" s="135"/>
      <c r="G51" s="135"/>
      <c r="H51" s="135"/>
      <c r="I51" s="136"/>
      <c r="J51" s="136"/>
      <c r="K51" s="136"/>
      <c r="L51" s="136"/>
      <c r="M51" s="136"/>
      <c r="N51" s="136"/>
      <c r="O51" s="136"/>
      <c r="P51" s="8"/>
      <c r="Q51" s="8"/>
      <c r="R51" s="8"/>
    </row>
    <row r="52" spans="3:19" s="41" customFormat="1" ht="18.75" customHeight="1" x14ac:dyDescent="0.2">
      <c r="D52" s="134" t="s">
        <v>104</v>
      </c>
      <c r="E52" s="135" t="s">
        <v>472</v>
      </c>
      <c r="F52" s="135"/>
      <c r="G52" s="135"/>
      <c r="H52" s="135"/>
      <c r="I52" s="136"/>
      <c r="J52" s="136"/>
      <c r="K52" s="136"/>
      <c r="L52" s="136"/>
      <c r="M52" s="136"/>
      <c r="N52" s="136"/>
      <c r="O52" s="136"/>
      <c r="P52" s="8"/>
      <c r="Q52" s="8"/>
      <c r="R52" s="8"/>
    </row>
    <row r="53" spans="3:19" s="41" customFormat="1" ht="18" customHeight="1" x14ac:dyDescent="0.2">
      <c r="D53" s="134" t="s">
        <v>104</v>
      </c>
      <c r="E53" s="135" t="s">
        <v>473</v>
      </c>
      <c r="F53" s="135"/>
      <c r="G53" s="135"/>
      <c r="H53" s="135"/>
      <c r="I53" s="136"/>
      <c r="J53" s="136"/>
      <c r="K53" s="136"/>
      <c r="L53" s="136"/>
      <c r="M53" s="136"/>
      <c r="N53" s="136"/>
      <c r="O53" s="136"/>
      <c r="P53" s="8"/>
      <c r="Q53" s="8"/>
      <c r="R53" s="8"/>
    </row>
    <row r="54" spans="3:19" s="41" customFormat="1" ht="15.75" customHeight="1" x14ac:dyDescent="0.2">
      <c r="D54" s="134" t="s">
        <v>104</v>
      </c>
      <c r="E54" s="135" t="s">
        <v>474</v>
      </c>
      <c r="F54" s="135"/>
      <c r="G54" s="135"/>
      <c r="H54" s="135"/>
      <c r="I54" s="136"/>
      <c r="J54" s="136"/>
      <c r="K54" s="136"/>
      <c r="L54" s="136"/>
      <c r="M54" s="136"/>
      <c r="N54" s="136"/>
      <c r="O54" s="136"/>
      <c r="P54" s="8"/>
      <c r="Q54" s="8"/>
      <c r="R54" s="8"/>
    </row>
    <row r="55" spans="3:19" s="41" customFormat="1" ht="14.25" x14ac:dyDescent="0.2">
      <c r="I55" s="8"/>
      <c r="J55" s="8"/>
      <c r="K55" s="8"/>
      <c r="L55" s="8"/>
      <c r="M55" s="8"/>
      <c r="N55" s="8"/>
      <c r="O55" s="8"/>
      <c r="P55" s="8"/>
      <c r="Q55" s="8"/>
      <c r="R55" s="8"/>
    </row>
    <row r="56" spans="3:19" s="41" customFormat="1" ht="14.25" x14ac:dyDescent="0.2">
      <c r="I56" s="8"/>
      <c r="J56" s="8"/>
      <c r="K56" s="8"/>
      <c r="L56" s="8"/>
      <c r="M56" s="8"/>
      <c r="N56" s="8"/>
      <c r="O56" s="8"/>
      <c r="P56" s="8"/>
      <c r="Q56" s="8"/>
      <c r="R56" s="8"/>
    </row>
    <row r="57" spans="3:19" s="41" customFormat="1" ht="65.25" customHeight="1" x14ac:dyDescent="0.2">
      <c r="C57" s="88"/>
      <c r="D57" s="358" t="str">
        <f>IF(Instructions!A14="(LSSR)","Place a completed Program Director Responsibilities form in the Documentation folder.  "&amp;"The document must be titled with the 'EXACT document name' and must be included as the type of file format listed below (not Word 97-2003 [.doc], Word 2013 [.docx], or or Excel [.xls]).","Place a completed CoAEMSP Long Range Planning form and the Program Director Responsibilities form in the Documentation folder.  "&amp;"Each document must be titled with the 'EXACT document name' and must be included as the type of file format listed below (not Word 97-2003 [.doc], Word 2013 [.docx], or or Excel [.xls]).")</f>
        <v>Place a completed Program Director Responsibilities form in the Documentation folder.  The document must be titled with the 'EXACT document name' and must be included as the type of file format listed below (not Word 97-2003 [.doc], Word 2013 [.docx], or or Excel [.xls]).</v>
      </c>
      <c r="E57" s="358"/>
      <c r="F57" s="358"/>
      <c r="G57" s="358"/>
      <c r="H57" s="358"/>
      <c r="I57" s="358"/>
      <c r="J57" s="358"/>
      <c r="K57" s="358"/>
      <c r="L57" s="358"/>
      <c r="M57" s="358"/>
      <c r="N57" s="358"/>
      <c r="O57" s="358"/>
      <c r="R57" s="8"/>
      <c r="S57" s="63"/>
    </row>
    <row r="58" spans="3:19" s="41" customFormat="1" ht="27" customHeight="1" x14ac:dyDescent="0.2">
      <c r="C58" s="88"/>
      <c r="H58" s="360" t="s">
        <v>174</v>
      </c>
      <c r="I58" s="360"/>
      <c r="J58" s="360"/>
      <c r="K58" s="360"/>
      <c r="L58" s="360"/>
      <c r="M58" s="360"/>
      <c r="N58" s="360"/>
      <c r="S58" s="63"/>
    </row>
    <row r="59" spans="3:19" s="41" customFormat="1" ht="29.25" customHeight="1" x14ac:dyDescent="0.2">
      <c r="C59" s="88"/>
      <c r="E59" s="430" t="s">
        <v>101</v>
      </c>
      <c r="F59" s="430"/>
      <c r="G59" s="430"/>
      <c r="H59" s="360" t="str">
        <f>IF(Instructions!A14="(LSSR)","","                                            18a PD Long Range Plan")</f>
        <v/>
      </c>
      <c r="I59" s="360"/>
      <c r="J59" s="360"/>
      <c r="K59" s="360"/>
      <c r="L59" s="360"/>
      <c r="M59" s="360"/>
      <c r="N59" s="360"/>
      <c r="S59" s="63"/>
    </row>
    <row r="60" spans="3:19" s="41" customFormat="1" ht="29.25" customHeight="1" x14ac:dyDescent="0.2">
      <c r="C60" s="88"/>
      <c r="E60" s="118"/>
      <c r="F60" s="118"/>
      <c r="G60" s="118"/>
      <c r="H60" s="360" t="str">
        <f>IF(H59="","                                            18a PD Responsibilities","                                            18b PD Responsibilities")</f>
        <v xml:space="preserve">                                            18a PD Responsibilities</v>
      </c>
      <c r="I60" s="360"/>
      <c r="J60" s="360"/>
      <c r="K60" s="360"/>
      <c r="L60" s="360"/>
      <c r="M60" s="360"/>
      <c r="N60" s="360"/>
      <c r="Q60" s="147"/>
      <c r="S60" s="63"/>
    </row>
    <row r="61" spans="3:19" s="41" customFormat="1" ht="27.75" customHeight="1" x14ac:dyDescent="0.2">
      <c r="C61" s="88"/>
      <c r="H61" s="361" t="s">
        <v>116</v>
      </c>
      <c r="I61" s="361"/>
      <c r="J61" s="361"/>
      <c r="K61" s="361"/>
      <c r="L61" s="361"/>
      <c r="M61" s="361"/>
      <c r="N61" s="361"/>
      <c r="S61" s="63"/>
    </row>
    <row r="62" spans="3:19" s="41" customFormat="1" ht="14.25" x14ac:dyDescent="0.2"/>
    <row r="63" spans="3:19" s="41" customFormat="1" ht="14.25" x14ac:dyDescent="0.2"/>
    <row r="64" spans="3:19" s="41" customFormat="1" ht="14.25" x14ac:dyDescent="0.2">
      <c r="D64" s="278"/>
      <c r="F64" s="279"/>
      <c r="G64" s="279"/>
      <c r="H64" s="279"/>
      <c r="I64" s="279"/>
      <c r="J64" s="279"/>
    </row>
    <row r="65" spans="2:10" s="41" customFormat="1" ht="14.25" x14ac:dyDescent="0.2">
      <c r="D65" s="278"/>
      <c r="F65" s="279"/>
      <c r="G65" s="279"/>
      <c r="H65" s="279"/>
      <c r="I65" s="279"/>
      <c r="J65" s="279"/>
    </row>
    <row r="66" spans="2:10" s="41" customFormat="1" ht="14.25" x14ac:dyDescent="0.2">
      <c r="D66" s="278"/>
      <c r="F66" s="279"/>
      <c r="G66" s="279"/>
      <c r="H66" s="279"/>
      <c r="I66" s="279"/>
      <c r="J66" s="279"/>
    </row>
    <row r="67" spans="2:10" s="41" customFormat="1" ht="14.25" x14ac:dyDescent="0.2">
      <c r="C67" s="27"/>
    </row>
    <row r="68" spans="2:10" s="41" customFormat="1" x14ac:dyDescent="0.25">
      <c r="B68" s="63"/>
      <c r="D68" s="512" t="s">
        <v>266</v>
      </c>
      <c r="E68" s="512"/>
      <c r="F68" s="512"/>
    </row>
    <row r="69" spans="2:10" s="41" customFormat="1" ht="14.25" x14ac:dyDescent="0.2">
      <c r="D69" s="41" t="s">
        <v>298</v>
      </c>
    </row>
    <row r="70" spans="2:10" s="41" customFormat="1" ht="8.25" customHeight="1" x14ac:dyDescent="0.2"/>
    <row r="71" spans="2:10" s="41" customFormat="1" ht="9" customHeight="1" x14ac:dyDescent="0.2"/>
    <row r="72" spans="2:10" s="41" customFormat="1" ht="36" x14ac:dyDescent="0.2">
      <c r="D72" s="50" t="s">
        <v>303</v>
      </c>
      <c r="E72" s="47" t="s">
        <v>267</v>
      </c>
      <c r="F72" s="47" t="s">
        <v>299</v>
      </c>
      <c r="G72" s="47" t="s">
        <v>300</v>
      </c>
      <c r="H72" s="51" t="s">
        <v>302</v>
      </c>
      <c r="I72" s="51" t="s">
        <v>301</v>
      </c>
      <c r="J72" s="50" t="s">
        <v>268</v>
      </c>
    </row>
    <row r="73" spans="2:10" s="41" customFormat="1" ht="14.25" x14ac:dyDescent="0.2">
      <c r="D73" s="47" t="s">
        <v>269</v>
      </c>
      <c r="E73" s="47" t="s">
        <v>270</v>
      </c>
      <c r="F73" s="47" t="s">
        <v>272</v>
      </c>
      <c r="G73" s="47" t="s">
        <v>272</v>
      </c>
      <c r="H73" s="47" t="s">
        <v>272</v>
      </c>
      <c r="I73" s="47" t="s">
        <v>272</v>
      </c>
      <c r="J73" s="47" t="s">
        <v>271</v>
      </c>
    </row>
    <row r="74" spans="2:10" s="41" customFormat="1" ht="29.25" customHeight="1" x14ac:dyDescent="0.2">
      <c r="D74" s="169"/>
      <c r="E74" s="170"/>
      <c r="F74" s="171"/>
      <c r="G74" s="171"/>
      <c r="H74" s="171"/>
      <c r="I74" s="171"/>
      <c r="J74" s="171"/>
    </row>
    <row r="75" spans="2:10" s="41" customFormat="1" ht="14.25" x14ac:dyDescent="0.2">
      <c r="D75" s="278"/>
      <c r="F75" s="279"/>
      <c r="G75" s="279"/>
      <c r="H75" s="279"/>
      <c r="I75" s="279"/>
      <c r="J75" s="279"/>
    </row>
    <row r="76" spans="2:10" s="41" customFormat="1" ht="14.25" x14ac:dyDescent="0.2">
      <c r="D76" s="278"/>
      <c r="F76" s="279"/>
      <c r="G76" s="279"/>
      <c r="H76" s="279"/>
      <c r="I76" s="279"/>
      <c r="J76" s="279"/>
    </row>
    <row r="77" spans="2:10" s="41" customFormat="1" ht="14.25" x14ac:dyDescent="0.2">
      <c r="D77" s="278"/>
      <c r="F77" s="279"/>
      <c r="G77" s="279"/>
      <c r="H77" s="279"/>
      <c r="I77" s="279"/>
      <c r="J77" s="279"/>
    </row>
    <row r="78" spans="2:10" s="41" customFormat="1" ht="14.25" x14ac:dyDescent="0.2">
      <c r="D78" s="278"/>
      <c r="F78" s="279"/>
      <c r="G78" s="279"/>
      <c r="H78" s="279"/>
      <c r="I78" s="279"/>
      <c r="J78" s="279"/>
    </row>
    <row r="79" spans="2:10" s="41" customFormat="1" ht="14.25" x14ac:dyDescent="0.2">
      <c r="D79" s="278"/>
      <c r="F79" s="279"/>
      <c r="G79" s="279"/>
      <c r="H79" s="279"/>
      <c r="I79" s="279"/>
      <c r="J79" s="279"/>
    </row>
    <row r="80" spans="2:10" s="41" customFormat="1" ht="14.25" x14ac:dyDescent="0.2"/>
    <row r="81" spans="2:22" s="41" customFormat="1" ht="14.25" x14ac:dyDescent="0.2"/>
    <row r="82" spans="2:22" s="41" customFormat="1" ht="14.25" x14ac:dyDescent="0.2">
      <c r="C82" s="27"/>
    </row>
    <row r="83" spans="2:22" s="41" customFormat="1" ht="56.25" customHeight="1" x14ac:dyDescent="0.2">
      <c r="B83" s="172"/>
      <c r="C83" s="496" t="s">
        <v>22</v>
      </c>
      <c r="D83" s="496"/>
      <c r="E83" s="496"/>
      <c r="F83" s="172"/>
      <c r="G83" s="172"/>
      <c r="H83" s="172"/>
      <c r="I83" s="172"/>
      <c r="J83" s="172"/>
      <c r="K83" s="172"/>
      <c r="L83" s="172"/>
      <c r="M83" s="172"/>
      <c r="N83" s="172"/>
      <c r="O83" s="353" t="s">
        <v>475</v>
      </c>
      <c r="P83" s="353"/>
      <c r="Q83" s="353"/>
      <c r="R83" s="356" t="s">
        <v>480</v>
      </c>
      <c r="S83" s="356"/>
      <c r="T83" s="356"/>
      <c r="U83" s="356"/>
      <c r="V83" s="356"/>
    </row>
    <row r="84" spans="2:22" s="41" customFormat="1" ht="14.25" x14ac:dyDescent="0.2">
      <c r="I84" s="8"/>
      <c r="J84" s="8"/>
      <c r="K84" s="8"/>
      <c r="L84" s="8"/>
      <c r="M84" s="8"/>
      <c r="N84" s="8"/>
      <c r="O84" s="8"/>
      <c r="P84" s="8"/>
      <c r="Q84" s="8"/>
      <c r="R84" s="8"/>
    </row>
    <row r="85" spans="2:22" s="41" customFormat="1" ht="84.75" customHeight="1" x14ac:dyDescent="0.2">
      <c r="B85" s="339" t="s">
        <v>397</v>
      </c>
      <c r="C85" s="113" t="s">
        <v>11</v>
      </c>
      <c r="D85" s="340" t="s">
        <v>537</v>
      </c>
      <c r="E85" s="340"/>
      <c r="F85" s="340"/>
      <c r="G85" s="340"/>
      <c r="H85" s="340"/>
      <c r="I85" s="340"/>
      <c r="J85" s="340"/>
      <c r="K85" s="340"/>
      <c r="L85" s="340"/>
      <c r="M85" s="8"/>
      <c r="N85" s="8"/>
      <c r="O85" s="458" t="s">
        <v>82</v>
      </c>
      <c r="P85" s="458"/>
      <c r="Q85" s="458"/>
      <c r="R85" s="8"/>
    </row>
    <row r="86" spans="2:22" s="41" customFormat="1" ht="25.5" customHeight="1" x14ac:dyDescent="0.2">
      <c r="B86" s="339"/>
      <c r="D86" s="366" t="s">
        <v>204</v>
      </c>
      <c r="E86" s="366"/>
      <c r="F86" s="366"/>
      <c r="G86" s="366"/>
      <c r="H86" s="366"/>
      <c r="I86" s="366"/>
      <c r="J86" s="366"/>
    </row>
    <row r="87" spans="2:22" s="41" customFormat="1" ht="5.25" customHeight="1" x14ac:dyDescent="0.2">
      <c r="B87" s="339"/>
      <c r="I87" s="8"/>
      <c r="J87" s="8"/>
      <c r="K87" s="8"/>
      <c r="L87" s="8"/>
      <c r="M87" s="8"/>
      <c r="N87" s="8"/>
      <c r="O87" s="8"/>
      <c r="P87" s="8"/>
      <c r="Q87" s="8"/>
      <c r="R87" s="8"/>
    </row>
    <row r="88" spans="2:22" s="41" customFormat="1" ht="5.25" customHeight="1" x14ac:dyDescent="0.25">
      <c r="D88" s="501"/>
      <c r="E88" s="501"/>
      <c r="F88" s="501"/>
      <c r="G88" s="501"/>
      <c r="H88" s="501"/>
      <c r="I88" s="501"/>
      <c r="J88" s="501"/>
      <c r="K88" s="501"/>
      <c r="L88" s="501"/>
      <c r="M88" s="501"/>
      <c r="N88" s="501"/>
      <c r="O88" s="501"/>
      <c r="P88" s="8"/>
      <c r="Q88" s="8"/>
      <c r="R88" s="8"/>
    </row>
    <row r="89" spans="2:22" s="41" customFormat="1" ht="45" customHeight="1" x14ac:dyDescent="0.2">
      <c r="D89" s="173" t="s">
        <v>104</v>
      </c>
      <c r="E89" s="442" t="s">
        <v>540</v>
      </c>
      <c r="F89" s="442"/>
      <c r="G89" s="442"/>
      <c r="H89" s="442"/>
      <c r="I89" s="442"/>
      <c r="J89" s="442"/>
      <c r="K89" s="442"/>
      <c r="L89" s="442"/>
      <c r="M89" s="442"/>
      <c r="N89" s="442"/>
      <c r="O89" s="442"/>
      <c r="P89" s="8"/>
      <c r="Q89" s="8"/>
      <c r="R89" s="8"/>
    </row>
    <row r="90" spans="2:22" s="41" customFormat="1" ht="17.25" customHeight="1" x14ac:dyDescent="0.2">
      <c r="D90" s="134" t="s">
        <v>104</v>
      </c>
      <c r="E90" s="252" t="s">
        <v>477</v>
      </c>
      <c r="F90" s="135"/>
      <c r="G90" s="135"/>
      <c r="H90" s="135"/>
      <c r="I90" s="136"/>
      <c r="J90" s="136"/>
      <c r="K90" s="136"/>
      <c r="L90" s="136"/>
      <c r="M90" s="136"/>
      <c r="N90" s="136"/>
      <c r="O90" s="136"/>
      <c r="P90" s="8"/>
      <c r="Q90" s="8"/>
      <c r="R90" s="8"/>
    </row>
    <row r="91" spans="2:22" s="41" customFormat="1" ht="27" customHeight="1" x14ac:dyDescent="0.2">
      <c r="D91" s="134" t="s">
        <v>104</v>
      </c>
      <c r="E91" s="442" t="s">
        <v>531</v>
      </c>
      <c r="F91" s="442"/>
      <c r="G91" s="442"/>
      <c r="H91" s="442"/>
      <c r="I91" s="442"/>
      <c r="J91" s="442"/>
      <c r="K91" s="442"/>
      <c r="L91" s="442"/>
      <c r="M91" s="442"/>
      <c r="N91" s="442"/>
      <c r="O91" s="442"/>
      <c r="P91" s="8"/>
      <c r="Q91" s="8"/>
      <c r="R91" s="8"/>
    </row>
    <row r="92" spans="2:22" s="41" customFormat="1" ht="27" customHeight="1" x14ac:dyDescent="0.2">
      <c r="D92" s="173" t="s">
        <v>173</v>
      </c>
      <c r="E92" s="498" t="s">
        <v>521</v>
      </c>
      <c r="F92" s="498"/>
      <c r="G92" s="498"/>
      <c r="H92" s="498"/>
      <c r="I92" s="498"/>
      <c r="J92" s="498"/>
      <c r="K92" s="498"/>
      <c r="L92" s="498"/>
      <c r="M92" s="498"/>
      <c r="N92" s="498"/>
      <c r="O92" s="498"/>
      <c r="P92" s="8"/>
      <c r="Q92" s="8"/>
      <c r="R92" s="8"/>
    </row>
    <row r="93" spans="2:22" s="41" customFormat="1" ht="14.25" x14ac:dyDescent="0.2">
      <c r="D93" s="134" t="s">
        <v>104</v>
      </c>
      <c r="E93" s="135" t="s">
        <v>478</v>
      </c>
      <c r="F93" s="135"/>
      <c r="G93" s="135"/>
      <c r="H93" s="135"/>
      <c r="I93" s="136"/>
      <c r="J93" s="136"/>
      <c r="K93" s="136"/>
      <c r="L93" s="136"/>
      <c r="M93" s="136"/>
      <c r="N93" s="136"/>
      <c r="O93" s="136"/>
      <c r="P93" s="8"/>
      <c r="Q93" s="8"/>
      <c r="R93" s="8"/>
    </row>
    <row r="94" spans="2:22" s="41" customFormat="1" ht="14.25" x14ac:dyDescent="0.2">
      <c r="D94" s="134" t="s">
        <v>104</v>
      </c>
      <c r="E94" s="135" t="s">
        <v>479</v>
      </c>
      <c r="F94" s="135"/>
      <c r="G94" s="135"/>
      <c r="H94" s="135"/>
      <c r="I94" s="136"/>
      <c r="J94" s="136"/>
      <c r="K94" s="136"/>
      <c r="L94" s="136"/>
      <c r="M94" s="136"/>
      <c r="N94" s="136"/>
      <c r="O94" s="136"/>
      <c r="P94" s="8"/>
      <c r="Q94" s="8"/>
      <c r="R94" s="8"/>
    </row>
    <row r="95" spans="2:22" s="165" customFormat="1" ht="57.75" customHeight="1" x14ac:dyDescent="0.25">
      <c r="D95" s="137" t="s">
        <v>104</v>
      </c>
      <c r="E95" s="482" t="s">
        <v>532</v>
      </c>
      <c r="F95" s="482"/>
      <c r="G95" s="482"/>
      <c r="H95" s="482"/>
      <c r="I95" s="482"/>
      <c r="J95" s="482"/>
      <c r="K95" s="482"/>
      <c r="L95" s="482"/>
      <c r="M95" s="482"/>
      <c r="N95" s="482"/>
      <c r="O95" s="482"/>
      <c r="P95" s="174"/>
      <c r="Q95" s="174"/>
      <c r="R95" s="174"/>
    </row>
    <row r="96" spans="2:22" s="41" customFormat="1" ht="14.25" x14ac:dyDescent="0.2">
      <c r="I96" s="8"/>
      <c r="J96" s="8"/>
      <c r="K96" s="8"/>
      <c r="L96" s="8"/>
      <c r="M96" s="8"/>
      <c r="N96" s="8"/>
      <c r="O96" s="8"/>
      <c r="P96" s="8"/>
      <c r="Q96" s="8"/>
      <c r="R96" s="8"/>
    </row>
    <row r="97" spans="2:22" s="41" customFormat="1" ht="14.25" x14ac:dyDescent="0.2">
      <c r="I97" s="8"/>
      <c r="J97" s="8"/>
      <c r="K97" s="8"/>
      <c r="L97" s="8"/>
      <c r="M97" s="8"/>
      <c r="N97" s="8"/>
      <c r="O97" s="8"/>
      <c r="P97" s="8"/>
      <c r="Q97" s="8"/>
      <c r="R97" s="8"/>
    </row>
    <row r="98" spans="2:22" s="41" customFormat="1" ht="117" customHeight="1" x14ac:dyDescent="0.2">
      <c r="C98" s="88"/>
      <c r="D98" s="358" t="str">
        <f>IF(Instructions!A14="(LSSR)","Place a completed CoAEMSP Medical Director Review form and a Medical Director Responsibilities form in the Documentation folder.  "&amp;"Each document must be titled with the 'EXACT document name' and must be included as the type of file format listed below (not Word 97-2003 [.doc], Word 2013 [.docx], or or Excel [.xls])."&amp;"
Please Note:  The role of the Medical Director is important to the medical oversight of the program.  "&amp;"However, some responsibilities may be 'in progress' or 'under development' and should be identified as such on the MD Responsibilities form.","Place a completed CoAEMSP Medical Director Review form and a Medical Director Responsibilities form in the Documentation folder.  "&amp;"Each document must be titled with the 'EXACT document name' and must be included as the type of file format listed below (not Word 97-2003 [.doc], Word 2013 [.docx], or or Excel [.xls].")</f>
        <v>Place a completed CoAEMSP Medical Director Review form and a Medical Director Responsibilities form in the Documentation folder.  Each document must be titled with the 'EXACT document name' and must be included as the type of file format listed below (not Word 97-2003 [.doc], Word 2013 [.docx], or or Excel [.xls]).
Please Note:  The role of the Medical Director is important to the medical oversight of the program.  However, some responsibilities may be 'in progress' or 'under development' and should be identified as such on the MD Responsibilities form.</v>
      </c>
      <c r="E98" s="358"/>
      <c r="F98" s="358"/>
      <c r="G98" s="358"/>
      <c r="H98" s="358"/>
      <c r="I98" s="358"/>
      <c r="J98" s="358"/>
      <c r="K98" s="358"/>
      <c r="L98" s="358"/>
      <c r="M98" s="358"/>
      <c r="N98" s="358"/>
      <c r="O98" s="358"/>
      <c r="S98" s="63"/>
    </row>
    <row r="99" spans="2:22" s="41" customFormat="1" ht="27" customHeight="1" x14ac:dyDescent="0.2">
      <c r="C99" s="88"/>
      <c r="H99" s="360" t="s">
        <v>174</v>
      </c>
      <c r="I99" s="360"/>
      <c r="J99" s="360"/>
      <c r="K99" s="360"/>
      <c r="L99" s="360"/>
      <c r="M99" s="360"/>
      <c r="N99" s="360"/>
      <c r="S99" s="63"/>
    </row>
    <row r="100" spans="2:22" s="41" customFormat="1" ht="29.25" customHeight="1" x14ac:dyDescent="0.2">
      <c r="C100" s="88"/>
      <c r="E100" s="118"/>
      <c r="F100" s="118"/>
      <c r="G100" s="118"/>
      <c r="H100" s="360" t="s">
        <v>442</v>
      </c>
      <c r="I100" s="360"/>
      <c r="J100" s="360"/>
      <c r="K100" s="360"/>
      <c r="L100" s="360"/>
      <c r="M100" s="360"/>
      <c r="N100" s="360"/>
      <c r="S100" s="63"/>
    </row>
    <row r="101" spans="2:22" s="41" customFormat="1" ht="29.25" customHeight="1" x14ac:dyDescent="0.2">
      <c r="C101" s="88"/>
      <c r="E101" s="430" t="s">
        <v>101</v>
      </c>
      <c r="F101" s="430"/>
      <c r="G101" s="430"/>
      <c r="H101" s="360" t="s">
        <v>443</v>
      </c>
      <c r="I101" s="360"/>
      <c r="J101" s="360"/>
      <c r="K101" s="360"/>
      <c r="L101" s="360"/>
      <c r="M101" s="360"/>
      <c r="N101" s="360"/>
      <c r="S101" s="63"/>
    </row>
    <row r="102" spans="2:22" s="41" customFormat="1" ht="27.75" customHeight="1" x14ac:dyDescent="0.2">
      <c r="C102" s="88"/>
      <c r="H102" s="361" t="s">
        <v>116</v>
      </c>
      <c r="I102" s="361"/>
      <c r="J102" s="361"/>
      <c r="K102" s="361"/>
      <c r="L102" s="361"/>
      <c r="M102" s="361"/>
      <c r="N102" s="361"/>
      <c r="S102" s="63"/>
    </row>
    <row r="103" spans="2:22" s="41" customFormat="1" ht="14.25" x14ac:dyDescent="0.2"/>
    <row r="104" spans="2:22" s="41" customFormat="1" ht="14.25" x14ac:dyDescent="0.2"/>
    <row r="105" spans="2:22" s="41" customFormat="1" ht="14.25" x14ac:dyDescent="0.2"/>
    <row r="106" spans="2:22" s="41" customFormat="1" ht="14.25" x14ac:dyDescent="0.2"/>
    <row r="107" spans="2:22" s="41" customFormat="1" ht="56.25" customHeight="1" x14ac:dyDescent="0.25">
      <c r="B107" s="175"/>
      <c r="C107" s="175" t="s">
        <v>289</v>
      </c>
      <c r="D107" s="175"/>
      <c r="E107" s="175"/>
      <c r="F107" s="175"/>
      <c r="G107" s="175"/>
      <c r="H107" s="175"/>
      <c r="I107" s="175"/>
      <c r="J107" s="175"/>
      <c r="K107" s="175"/>
      <c r="L107" s="175"/>
      <c r="M107" s="495"/>
      <c r="N107" s="495"/>
      <c r="O107" s="353"/>
      <c r="P107" s="353"/>
      <c r="Q107" s="353"/>
      <c r="R107" s="497"/>
      <c r="S107" s="497"/>
      <c r="T107" s="497"/>
      <c r="U107" s="497"/>
      <c r="V107" s="497"/>
    </row>
    <row r="108" spans="2:22" s="41" customFormat="1" ht="14.25" x14ac:dyDescent="0.2"/>
    <row r="109" spans="2:22" s="41" customFormat="1" ht="15" customHeight="1" x14ac:dyDescent="0.2">
      <c r="B109" s="339" t="s">
        <v>400</v>
      </c>
    </row>
    <row r="110" spans="2:22" s="41" customFormat="1" ht="60.75" customHeight="1" x14ac:dyDescent="0.2">
      <c r="B110" s="339"/>
      <c r="C110" s="113" t="s">
        <v>12</v>
      </c>
      <c r="D110" s="340" t="str">
        <f>"Identify the instructional faculty designated to coordinate supervision and provide frequent assessments of the students’ progress in achieving acceptable " &amp;'Program Info'!B3&amp;" program requirements.  This excludes the Program Director."</f>
        <v>Identify the instructional faculty designated to coordinate supervision and provide frequent assessments of the students’ progress in achieving acceptable  program requirements.  This excludes the Program Director.</v>
      </c>
      <c r="E110" s="340"/>
      <c r="F110" s="340"/>
      <c r="G110" s="340"/>
      <c r="H110" s="340"/>
      <c r="I110" s="340"/>
      <c r="J110" s="340"/>
      <c r="K110" s="340"/>
      <c r="L110" s="340"/>
    </row>
    <row r="111" spans="2:22" s="41" customFormat="1" ht="15" customHeight="1" x14ac:dyDescent="0.2">
      <c r="B111" s="339"/>
      <c r="D111" s="176"/>
      <c r="E111" s="176"/>
      <c r="F111" s="176"/>
      <c r="G111" s="176"/>
      <c r="H111" s="176"/>
      <c r="I111" s="176"/>
      <c r="J111" s="176"/>
      <c r="K111" s="176"/>
    </row>
    <row r="112" spans="2:22" s="41" customFormat="1" ht="52.5" customHeight="1" x14ac:dyDescent="0.2">
      <c r="D112" s="504" t="s">
        <v>541</v>
      </c>
      <c r="E112" s="505"/>
      <c r="F112" s="505"/>
      <c r="G112" s="505"/>
      <c r="H112" s="505"/>
      <c r="I112" s="505"/>
      <c r="J112" s="505"/>
      <c r="K112" s="505"/>
      <c r="L112" s="505"/>
      <c r="M112" s="505"/>
      <c r="N112" s="505"/>
      <c r="O112" s="177">
        <f>COUNTA(D115:E134)</f>
        <v>0</v>
      </c>
    </row>
    <row r="113" spans="3:14" s="41" customFormat="1" ht="15" customHeight="1" x14ac:dyDescent="0.2">
      <c r="D113" s="483" t="str">
        <f>'Program Info'!B3&amp;"  Paid Full-Time  
Faculty Member Name"</f>
        <v xml:space="preserve">  Paid Full-Time  
Faculty Member Name</v>
      </c>
      <c r="E113" s="484"/>
      <c r="F113" s="178" t="s">
        <v>176</v>
      </c>
      <c r="G113" s="179" t="s">
        <v>59</v>
      </c>
      <c r="H113" s="180" t="s">
        <v>175</v>
      </c>
      <c r="I113" s="180" t="s">
        <v>60</v>
      </c>
      <c r="J113" s="180" t="s">
        <v>65</v>
      </c>
      <c r="K113" s="179" t="s">
        <v>63</v>
      </c>
      <c r="L113" s="179" t="s">
        <v>63</v>
      </c>
      <c r="M113" s="180" t="s">
        <v>63</v>
      </c>
      <c r="N113" s="180" t="s">
        <v>63</v>
      </c>
    </row>
    <row r="114" spans="3:14" s="41" customFormat="1" ht="24" customHeight="1" x14ac:dyDescent="0.2">
      <c r="D114" s="485"/>
      <c r="E114" s="486"/>
      <c r="F114" s="181" t="s">
        <v>177</v>
      </c>
      <c r="G114" s="182" t="s">
        <v>345</v>
      </c>
      <c r="H114" s="183" t="s">
        <v>59</v>
      </c>
      <c r="I114" s="183" t="s">
        <v>61</v>
      </c>
      <c r="J114" s="183" t="s">
        <v>62</v>
      </c>
      <c r="K114" s="183" t="s">
        <v>60</v>
      </c>
      <c r="L114" s="183" t="s">
        <v>64</v>
      </c>
      <c r="M114" s="183" t="s">
        <v>73</v>
      </c>
      <c r="N114" s="183" t="s">
        <v>74</v>
      </c>
    </row>
    <row r="115" spans="3:14" s="41" customFormat="1" ht="14.25" x14ac:dyDescent="0.2">
      <c r="C115" s="73" t="s">
        <v>178</v>
      </c>
      <c r="D115" s="437"/>
      <c r="E115" s="487"/>
      <c r="F115" s="153"/>
      <c r="G115" s="184"/>
      <c r="H115" s="78"/>
      <c r="I115" s="78"/>
      <c r="J115" s="78"/>
      <c r="K115" s="78"/>
      <c r="L115" s="78"/>
      <c r="M115" s="78"/>
      <c r="N115" s="78"/>
    </row>
    <row r="116" spans="3:14" s="41" customFormat="1" ht="14.25" x14ac:dyDescent="0.2">
      <c r="C116" s="73" t="s">
        <v>179</v>
      </c>
      <c r="D116" s="488"/>
      <c r="E116" s="487"/>
      <c r="F116" s="153"/>
      <c r="G116" s="184"/>
      <c r="H116" s="78"/>
      <c r="I116" s="78"/>
      <c r="J116" s="78"/>
      <c r="K116" s="78"/>
      <c r="L116" s="78"/>
      <c r="M116" s="78"/>
      <c r="N116" s="78"/>
    </row>
    <row r="117" spans="3:14" s="41" customFormat="1" ht="14.25" x14ac:dyDescent="0.2">
      <c r="C117" s="73" t="s">
        <v>180</v>
      </c>
      <c r="D117" s="488"/>
      <c r="E117" s="487"/>
      <c r="F117" s="153"/>
      <c r="G117" s="184"/>
      <c r="H117" s="78"/>
      <c r="I117" s="78"/>
      <c r="J117" s="78"/>
      <c r="K117" s="78"/>
      <c r="L117" s="78"/>
      <c r="M117" s="78"/>
      <c r="N117" s="78"/>
    </row>
    <row r="118" spans="3:14" s="41" customFormat="1" ht="14.25" x14ac:dyDescent="0.2">
      <c r="C118" s="73" t="s">
        <v>181</v>
      </c>
      <c r="D118" s="488"/>
      <c r="E118" s="487"/>
      <c r="F118" s="153"/>
      <c r="G118" s="184"/>
      <c r="H118" s="78"/>
      <c r="I118" s="78"/>
      <c r="J118" s="78"/>
      <c r="K118" s="78"/>
      <c r="L118" s="78"/>
      <c r="M118" s="78"/>
      <c r="N118" s="78"/>
    </row>
    <row r="119" spans="3:14" s="41" customFormat="1" ht="14.25" x14ac:dyDescent="0.2">
      <c r="C119" s="73" t="s">
        <v>182</v>
      </c>
      <c r="D119" s="488"/>
      <c r="E119" s="487"/>
      <c r="F119" s="153"/>
      <c r="G119" s="184"/>
      <c r="H119" s="78"/>
      <c r="I119" s="78"/>
      <c r="J119" s="78"/>
      <c r="K119" s="78"/>
      <c r="L119" s="78"/>
      <c r="M119" s="78"/>
      <c r="N119" s="78"/>
    </row>
    <row r="120" spans="3:14" s="41" customFormat="1" ht="14.25" x14ac:dyDescent="0.2">
      <c r="C120" s="73" t="s">
        <v>183</v>
      </c>
      <c r="D120" s="488"/>
      <c r="E120" s="487"/>
      <c r="F120" s="153"/>
      <c r="G120" s="184"/>
      <c r="H120" s="78"/>
      <c r="I120" s="78"/>
      <c r="J120" s="78"/>
      <c r="K120" s="78"/>
      <c r="L120" s="78"/>
      <c r="M120" s="78"/>
      <c r="N120" s="78"/>
    </row>
    <row r="121" spans="3:14" s="41" customFormat="1" ht="14.25" x14ac:dyDescent="0.2">
      <c r="C121" s="73" t="s">
        <v>184</v>
      </c>
      <c r="D121" s="488"/>
      <c r="E121" s="487"/>
      <c r="F121" s="153"/>
      <c r="G121" s="184"/>
      <c r="H121" s="78"/>
      <c r="I121" s="78"/>
      <c r="J121" s="78"/>
      <c r="K121" s="78"/>
      <c r="L121" s="78"/>
      <c r="M121" s="78"/>
      <c r="N121" s="78"/>
    </row>
    <row r="122" spans="3:14" s="41" customFormat="1" ht="14.25" x14ac:dyDescent="0.2">
      <c r="C122" s="73" t="s">
        <v>185</v>
      </c>
      <c r="D122" s="488"/>
      <c r="E122" s="487"/>
      <c r="F122" s="153"/>
      <c r="G122" s="184"/>
      <c r="H122" s="78"/>
      <c r="I122" s="78"/>
      <c r="J122" s="78"/>
      <c r="K122" s="78"/>
      <c r="L122" s="78"/>
      <c r="M122" s="78"/>
      <c r="N122" s="78"/>
    </row>
    <row r="123" spans="3:14" s="41" customFormat="1" ht="14.25" x14ac:dyDescent="0.2">
      <c r="C123" s="73" t="s">
        <v>186</v>
      </c>
      <c r="D123" s="488"/>
      <c r="E123" s="487"/>
      <c r="F123" s="153"/>
      <c r="G123" s="184"/>
      <c r="H123" s="185"/>
      <c r="I123" s="78"/>
      <c r="J123" s="185"/>
      <c r="K123" s="185"/>
      <c r="L123" s="185"/>
      <c r="M123" s="185"/>
      <c r="N123" s="185"/>
    </row>
    <row r="124" spans="3:14" s="41" customFormat="1" ht="14.25" x14ac:dyDescent="0.2">
      <c r="C124" s="73" t="s">
        <v>187</v>
      </c>
      <c r="D124" s="488"/>
      <c r="E124" s="487"/>
      <c r="F124" s="153"/>
      <c r="G124" s="184"/>
      <c r="H124" s="185"/>
      <c r="I124" s="78"/>
      <c r="J124" s="185"/>
      <c r="K124" s="185"/>
      <c r="L124" s="185"/>
      <c r="M124" s="185"/>
      <c r="N124" s="185"/>
    </row>
    <row r="125" spans="3:14" s="41" customFormat="1" ht="14.25" x14ac:dyDescent="0.2">
      <c r="C125" s="73" t="s">
        <v>188</v>
      </c>
      <c r="D125" s="488"/>
      <c r="E125" s="487"/>
      <c r="F125" s="153"/>
      <c r="G125" s="184"/>
      <c r="H125" s="185"/>
      <c r="I125" s="78"/>
      <c r="J125" s="185"/>
      <c r="K125" s="185"/>
      <c r="L125" s="185"/>
      <c r="M125" s="185"/>
      <c r="N125" s="185"/>
    </row>
    <row r="126" spans="3:14" s="41" customFormat="1" ht="14.25" x14ac:dyDescent="0.2">
      <c r="C126" s="73" t="s">
        <v>189</v>
      </c>
      <c r="D126" s="488"/>
      <c r="E126" s="487"/>
      <c r="F126" s="153"/>
      <c r="G126" s="184"/>
      <c r="H126" s="185"/>
      <c r="I126" s="78"/>
      <c r="J126" s="185"/>
      <c r="K126" s="185"/>
      <c r="L126" s="185"/>
      <c r="M126" s="185"/>
      <c r="N126" s="185"/>
    </row>
    <row r="127" spans="3:14" s="41" customFormat="1" ht="14.25" x14ac:dyDescent="0.2">
      <c r="C127" s="73" t="s">
        <v>190</v>
      </c>
      <c r="D127" s="488"/>
      <c r="E127" s="487"/>
      <c r="F127" s="153"/>
      <c r="G127" s="184"/>
      <c r="H127" s="185"/>
      <c r="I127" s="78"/>
      <c r="J127" s="185"/>
      <c r="K127" s="185"/>
      <c r="L127" s="185"/>
      <c r="M127" s="185"/>
      <c r="N127" s="185"/>
    </row>
    <row r="128" spans="3:14" s="41" customFormat="1" ht="14.25" x14ac:dyDescent="0.2">
      <c r="C128" s="73" t="s">
        <v>191</v>
      </c>
      <c r="D128" s="488"/>
      <c r="E128" s="487"/>
      <c r="F128" s="153"/>
      <c r="G128" s="184"/>
      <c r="H128" s="185"/>
      <c r="I128" s="78"/>
      <c r="J128" s="185"/>
      <c r="K128" s="185"/>
      <c r="L128" s="185"/>
      <c r="M128" s="185"/>
      <c r="N128" s="185"/>
    </row>
    <row r="129" spans="3:19" s="41" customFormat="1" ht="14.25" x14ac:dyDescent="0.2">
      <c r="C129" s="73" t="s">
        <v>192</v>
      </c>
      <c r="D129" s="488"/>
      <c r="E129" s="487"/>
      <c r="F129" s="153"/>
      <c r="G129" s="184"/>
      <c r="H129" s="185"/>
      <c r="I129" s="78"/>
      <c r="J129" s="185"/>
      <c r="K129" s="185"/>
      <c r="L129" s="185"/>
      <c r="M129" s="185"/>
      <c r="N129" s="185"/>
    </row>
    <row r="130" spans="3:19" s="41" customFormat="1" ht="14.25" x14ac:dyDescent="0.2">
      <c r="C130" s="73" t="s">
        <v>193</v>
      </c>
      <c r="D130" s="488"/>
      <c r="E130" s="487"/>
      <c r="F130" s="153"/>
      <c r="G130" s="184"/>
      <c r="H130" s="185"/>
      <c r="I130" s="78"/>
      <c r="J130" s="185"/>
      <c r="K130" s="185"/>
      <c r="L130" s="185"/>
      <c r="M130" s="185"/>
      <c r="N130" s="185"/>
    </row>
    <row r="131" spans="3:19" s="41" customFormat="1" ht="14.25" x14ac:dyDescent="0.2">
      <c r="C131" s="73" t="s">
        <v>194</v>
      </c>
      <c r="D131" s="488"/>
      <c r="E131" s="487"/>
      <c r="F131" s="153"/>
      <c r="G131" s="184"/>
      <c r="H131" s="185"/>
      <c r="I131" s="78"/>
      <c r="J131" s="185"/>
      <c r="K131" s="185"/>
      <c r="L131" s="185"/>
      <c r="M131" s="185"/>
      <c r="N131" s="185"/>
    </row>
    <row r="132" spans="3:19" s="41" customFormat="1" ht="14.25" x14ac:dyDescent="0.2">
      <c r="C132" s="73" t="s">
        <v>195</v>
      </c>
      <c r="D132" s="488"/>
      <c r="E132" s="487"/>
      <c r="F132" s="153"/>
      <c r="G132" s="184"/>
      <c r="H132" s="185"/>
      <c r="I132" s="78"/>
      <c r="J132" s="185"/>
      <c r="K132" s="185"/>
      <c r="L132" s="185"/>
      <c r="M132" s="185"/>
      <c r="N132" s="185"/>
    </row>
    <row r="133" spans="3:19" s="41" customFormat="1" ht="14.25" x14ac:dyDescent="0.2">
      <c r="C133" s="73" t="s">
        <v>196</v>
      </c>
      <c r="D133" s="488"/>
      <c r="E133" s="487"/>
      <c r="F133" s="153"/>
      <c r="G133" s="184"/>
      <c r="H133" s="185"/>
      <c r="I133" s="78"/>
      <c r="J133" s="185"/>
      <c r="K133" s="185"/>
      <c r="L133" s="185"/>
      <c r="M133" s="185"/>
      <c r="N133" s="185"/>
    </row>
    <row r="134" spans="3:19" s="41" customFormat="1" ht="14.25" x14ac:dyDescent="0.2">
      <c r="C134" s="73" t="s">
        <v>197</v>
      </c>
      <c r="D134" s="488"/>
      <c r="E134" s="487"/>
      <c r="F134" s="153"/>
      <c r="G134" s="184"/>
      <c r="H134" s="185"/>
      <c r="I134" s="78"/>
      <c r="J134" s="185"/>
      <c r="K134" s="185"/>
      <c r="L134" s="185"/>
      <c r="M134" s="185"/>
      <c r="N134" s="185"/>
    </row>
    <row r="135" spans="3:19" s="41" customFormat="1" ht="14.25" x14ac:dyDescent="0.2"/>
    <row r="136" spans="3:19" s="41" customFormat="1" ht="65.25" customHeight="1" x14ac:dyDescent="0.2">
      <c r="C136" s="88"/>
      <c r="D136" s="358" t="str">
        <f>"Place a current curriculum vitae (CV) for each of the " &amp;'Program Info'!B3&amp;" faculty members listed above in the Documentation folder.  Each document must be titled with the 'EXACT document name' and must be included as the type of file format listed below (not Word 97-2003 [.doc], Word 2013 [.docx], or Excel [.xls])."</f>
        <v>Place a current curriculum vitae (CV) for each of the  faculty members listed above in the Documentation folder.  Each document must be titled with the 'EXACT document name' and must be included as the type of file format listed below (not Word 97-2003 [.doc], Word 2013 [.docx], or Excel [.xls]).</v>
      </c>
      <c r="E136" s="358"/>
      <c r="F136" s="358"/>
      <c r="G136" s="358"/>
      <c r="H136" s="358"/>
      <c r="I136" s="358"/>
      <c r="J136" s="358"/>
      <c r="K136" s="358"/>
      <c r="L136" s="358"/>
      <c r="M136" s="358"/>
      <c r="N136" s="358"/>
      <c r="O136" s="358"/>
      <c r="S136" s="63"/>
    </row>
    <row r="137" spans="3:19" s="41" customFormat="1" ht="27" customHeight="1" x14ac:dyDescent="0.2">
      <c r="C137" s="88"/>
      <c r="H137" s="360" t="s">
        <v>115</v>
      </c>
      <c r="I137" s="360"/>
      <c r="J137" s="360"/>
      <c r="K137" s="360"/>
      <c r="L137" s="360"/>
      <c r="M137" s="360"/>
      <c r="N137" s="360"/>
      <c r="S137" s="63"/>
    </row>
    <row r="138" spans="3:19" s="41" customFormat="1" ht="27" customHeight="1" x14ac:dyDescent="0.2">
      <c r="C138" s="88"/>
      <c r="H138" s="360" t="str">
        <f>IF(OR(D115="n/a",D115="na", D115=""),"                                            No Paid Paramedic Full-Time Faculty Listed","                                            20a Faculty CV")</f>
        <v xml:space="preserve">                                            No Paid Paramedic Full-Time Faculty Listed</v>
      </c>
      <c r="I138" s="360"/>
      <c r="J138" s="360"/>
      <c r="K138" s="360"/>
      <c r="L138" s="360"/>
      <c r="M138" s="360"/>
      <c r="N138" s="360"/>
      <c r="S138" s="63"/>
    </row>
    <row r="139" spans="3:19" s="41" customFormat="1" ht="29.25" customHeight="1" x14ac:dyDescent="0.2">
      <c r="C139" s="88"/>
      <c r="E139" s="343"/>
      <c r="F139" s="343"/>
      <c r="G139" s="343"/>
      <c r="H139" s="360" t="str">
        <f>IF(D116&lt;&gt;"","                                            20b Faculty CV", "")</f>
        <v/>
      </c>
      <c r="I139" s="360"/>
      <c r="J139" s="360"/>
      <c r="K139" s="360"/>
      <c r="L139" s="360"/>
      <c r="M139" s="360"/>
      <c r="N139" s="360"/>
      <c r="S139" s="63"/>
    </row>
    <row r="140" spans="3:19" s="41" customFormat="1" ht="27" customHeight="1" x14ac:dyDescent="0.2">
      <c r="C140" s="88"/>
      <c r="H140" s="360" t="str">
        <f>IF(D117&lt;&gt;"","                                            20c Faculty CV", "")</f>
        <v/>
      </c>
      <c r="I140" s="360"/>
      <c r="J140" s="360"/>
      <c r="K140" s="360"/>
      <c r="L140" s="360"/>
      <c r="M140" s="360"/>
      <c r="N140" s="360"/>
      <c r="S140" s="63"/>
    </row>
    <row r="141" spans="3:19" s="41" customFormat="1" ht="27" customHeight="1" x14ac:dyDescent="0.2">
      <c r="C141" s="88"/>
      <c r="H141" s="360" t="str">
        <f>IF(D118&lt;&gt;"","                                            20d Faculty CV", "")</f>
        <v/>
      </c>
      <c r="I141" s="360"/>
      <c r="J141" s="360"/>
      <c r="K141" s="360"/>
      <c r="L141" s="360"/>
      <c r="M141" s="360"/>
      <c r="N141" s="360"/>
      <c r="S141" s="63"/>
    </row>
    <row r="142" spans="3:19" s="41" customFormat="1" ht="27" customHeight="1" x14ac:dyDescent="0.2">
      <c r="C142" s="88"/>
      <c r="H142" s="360" t="str">
        <f>IF(D119&lt;&gt;"","                                            20e Faculty CV", "")</f>
        <v/>
      </c>
      <c r="I142" s="360"/>
      <c r="J142" s="360"/>
      <c r="K142" s="360"/>
      <c r="L142" s="360"/>
      <c r="M142" s="360"/>
      <c r="N142" s="360"/>
      <c r="S142" s="63"/>
    </row>
    <row r="143" spans="3:19" s="41" customFormat="1" ht="27" customHeight="1" x14ac:dyDescent="0.2">
      <c r="C143" s="88"/>
      <c r="H143" s="360" t="str">
        <f>IF(D120&lt;&gt;"","                                            20f Faculty CV", "")</f>
        <v/>
      </c>
      <c r="I143" s="360"/>
      <c r="J143" s="360"/>
      <c r="K143" s="360"/>
      <c r="L143" s="360"/>
      <c r="M143" s="360"/>
      <c r="N143" s="360"/>
      <c r="S143" s="63"/>
    </row>
    <row r="144" spans="3:19" s="41" customFormat="1" ht="27" customHeight="1" x14ac:dyDescent="0.2">
      <c r="C144" s="88"/>
      <c r="H144" s="360" t="str">
        <f>IF(D121&lt;&gt;"","                                            20g Faculty CV", "")</f>
        <v/>
      </c>
      <c r="I144" s="360"/>
      <c r="J144" s="360"/>
      <c r="K144" s="360"/>
      <c r="L144" s="360"/>
      <c r="M144" s="360"/>
      <c r="N144" s="360"/>
      <c r="S144" s="63"/>
    </row>
    <row r="145" spans="3:19" s="41" customFormat="1" ht="27" customHeight="1" x14ac:dyDescent="0.2">
      <c r="C145" s="88"/>
      <c r="H145" s="360" t="str">
        <f>IF(D122&lt;&gt;"","                                            20h Faculty CV", "")</f>
        <v/>
      </c>
      <c r="I145" s="360"/>
      <c r="J145" s="360"/>
      <c r="K145" s="360"/>
      <c r="L145" s="360"/>
      <c r="M145" s="360"/>
      <c r="N145" s="360"/>
      <c r="S145" s="63"/>
    </row>
    <row r="146" spans="3:19" s="41" customFormat="1" ht="27" customHeight="1" x14ac:dyDescent="0.2">
      <c r="C146" s="88"/>
      <c r="H146" s="360" t="str">
        <f>IF(D123&lt;&gt;"","                                            20i Faculty CV", "")</f>
        <v/>
      </c>
      <c r="I146" s="360"/>
      <c r="J146" s="360"/>
      <c r="K146" s="360"/>
      <c r="L146" s="360"/>
      <c r="M146" s="360"/>
      <c r="N146" s="360"/>
      <c r="S146" s="63"/>
    </row>
    <row r="147" spans="3:19" s="41" customFormat="1" ht="27" customHeight="1" x14ac:dyDescent="0.2">
      <c r="C147" s="88"/>
      <c r="H147" s="360" t="str">
        <f>IF(D124&lt;&gt;"","                                            20j Faculty CV", "")</f>
        <v/>
      </c>
      <c r="I147" s="360"/>
      <c r="J147" s="360"/>
      <c r="K147" s="360"/>
      <c r="L147" s="360"/>
      <c r="M147" s="360"/>
      <c r="N147" s="360"/>
      <c r="S147" s="63"/>
    </row>
    <row r="148" spans="3:19" s="41" customFormat="1" ht="27" customHeight="1" x14ac:dyDescent="0.2">
      <c r="C148" s="88"/>
      <c r="H148" s="360" t="str">
        <f>IF(D125&lt;&gt;"","                                            20k Faculty CV", "")</f>
        <v/>
      </c>
      <c r="I148" s="360"/>
      <c r="J148" s="360"/>
      <c r="K148" s="360"/>
      <c r="L148" s="360"/>
      <c r="M148" s="360"/>
      <c r="N148" s="360"/>
      <c r="S148" s="63"/>
    </row>
    <row r="149" spans="3:19" s="41" customFormat="1" ht="27" customHeight="1" x14ac:dyDescent="0.2">
      <c r="C149" s="88"/>
      <c r="H149" s="360" t="str">
        <f>IF(D126&lt;&gt;"","                                            20l Faculty CV", "")</f>
        <v/>
      </c>
      <c r="I149" s="360"/>
      <c r="J149" s="360"/>
      <c r="K149" s="360"/>
      <c r="L149" s="360"/>
      <c r="M149" s="360"/>
      <c r="N149" s="360"/>
      <c r="S149" s="63"/>
    </row>
    <row r="150" spans="3:19" s="41" customFormat="1" ht="27" customHeight="1" x14ac:dyDescent="0.2">
      <c r="C150" s="88"/>
      <c r="E150" s="491" t="str">
        <f>IF(OR(D115="n/a",D115="na", D115=""),"","Automatic Link(s) ====&gt;")</f>
        <v/>
      </c>
      <c r="F150" s="430"/>
      <c r="G150" s="430"/>
      <c r="H150" s="360" t="str">
        <f>IF(D127&lt;&gt;"","                                            20m Faculty CV", "")</f>
        <v/>
      </c>
      <c r="I150" s="360"/>
      <c r="J150" s="360"/>
      <c r="K150" s="360"/>
      <c r="L150" s="360"/>
      <c r="M150" s="360"/>
      <c r="N150" s="360"/>
      <c r="S150" s="63"/>
    </row>
    <row r="151" spans="3:19" s="41" customFormat="1" ht="27" customHeight="1" x14ac:dyDescent="0.2">
      <c r="C151" s="88"/>
      <c r="H151" s="360" t="str">
        <f>IF(D128&lt;&gt;"","                                            20n Faculty CV", "")</f>
        <v/>
      </c>
      <c r="I151" s="360"/>
      <c r="J151" s="360"/>
      <c r="K151" s="360"/>
      <c r="L151" s="360"/>
      <c r="M151" s="360"/>
      <c r="N151" s="360"/>
      <c r="S151" s="63"/>
    </row>
    <row r="152" spans="3:19" s="41" customFormat="1" ht="27" customHeight="1" x14ac:dyDescent="0.2">
      <c r="C152" s="88"/>
      <c r="H152" s="360" t="str">
        <f>IF(D129&lt;&gt;"","                                            20o Faculty CV", "")</f>
        <v/>
      </c>
      <c r="I152" s="360"/>
      <c r="J152" s="360"/>
      <c r="K152" s="360"/>
      <c r="L152" s="360"/>
      <c r="M152" s="360"/>
      <c r="N152" s="360"/>
      <c r="S152" s="63"/>
    </row>
    <row r="153" spans="3:19" s="41" customFormat="1" ht="27" customHeight="1" x14ac:dyDescent="0.2">
      <c r="C153" s="88"/>
      <c r="H153" s="360" t="str">
        <f>IF(D130&lt;&gt;"","                                            20p Faculty CV", "")</f>
        <v/>
      </c>
      <c r="I153" s="360"/>
      <c r="J153" s="360"/>
      <c r="K153" s="360"/>
      <c r="L153" s="360"/>
      <c r="M153" s="360"/>
      <c r="N153" s="360"/>
      <c r="S153" s="63"/>
    </row>
    <row r="154" spans="3:19" s="41" customFormat="1" ht="27" customHeight="1" x14ac:dyDescent="0.2">
      <c r="C154" s="88"/>
      <c r="H154" s="360" t="str">
        <f>IF(D131&lt;&gt;"","                                            20q Faculty CV", "")</f>
        <v/>
      </c>
      <c r="I154" s="360"/>
      <c r="J154" s="360"/>
      <c r="K154" s="360"/>
      <c r="L154" s="360"/>
      <c r="M154" s="360"/>
      <c r="N154" s="360"/>
      <c r="S154" s="63"/>
    </row>
    <row r="155" spans="3:19" s="41" customFormat="1" ht="27" customHeight="1" x14ac:dyDescent="0.2">
      <c r="C155" s="88"/>
      <c r="H155" s="360" t="str">
        <f>IF(D132&lt;&gt;"","                                            20r Faculty CV", "")</f>
        <v/>
      </c>
      <c r="I155" s="360"/>
      <c r="J155" s="360"/>
      <c r="K155" s="360"/>
      <c r="L155" s="360"/>
      <c r="M155" s="360"/>
      <c r="N155" s="360"/>
      <c r="S155" s="63"/>
    </row>
    <row r="156" spans="3:19" s="41" customFormat="1" ht="27" customHeight="1" x14ac:dyDescent="0.2">
      <c r="C156" s="88"/>
      <c r="H156" s="360" t="str">
        <f>IF(D133&lt;&gt;"","                                            20s Faculty CV", "")</f>
        <v/>
      </c>
      <c r="I156" s="360"/>
      <c r="J156" s="360"/>
      <c r="K156" s="360"/>
      <c r="L156" s="360"/>
      <c r="M156" s="360"/>
      <c r="N156" s="360"/>
      <c r="S156" s="63"/>
    </row>
    <row r="157" spans="3:19" s="41" customFormat="1" ht="27" customHeight="1" x14ac:dyDescent="0.2">
      <c r="C157" s="88"/>
      <c r="H157" s="360" t="str">
        <f>IF(D134&lt;&gt;"","                                            20t Faculty CV", "")</f>
        <v/>
      </c>
      <c r="I157" s="360"/>
      <c r="J157" s="360"/>
      <c r="K157" s="360"/>
      <c r="L157" s="360"/>
      <c r="M157" s="360"/>
      <c r="N157" s="360"/>
      <c r="S157" s="63"/>
    </row>
    <row r="158" spans="3:19" s="41" customFormat="1" ht="27.75" customHeight="1" x14ac:dyDescent="0.2">
      <c r="C158" s="88"/>
      <c r="H158" s="361" t="str">
        <f>IF(OR(D115="n/a",D115="na", D115=""),"","                   Type of File(s):    Adobe Portable Document (.pdf)")</f>
        <v/>
      </c>
      <c r="I158" s="361"/>
      <c r="J158" s="361"/>
      <c r="K158" s="361"/>
      <c r="L158" s="361"/>
      <c r="M158" s="361"/>
      <c r="N158" s="361"/>
      <c r="S158" s="63"/>
    </row>
    <row r="159" spans="3:19" s="41" customFormat="1" ht="14.25" x14ac:dyDescent="0.2"/>
    <row r="160" spans="3:19" s="41" customFormat="1" ht="14.25" x14ac:dyDescent="0.2"/>
    <row r="161" spans="3:16" s="41" customFormat="1" ht="14.25" x14ac:dyDescent="0.2"/>
    <row r="162" spans="3:16" s="41" customFormat="1" ht="14.25" x14ac:dyDescent="0.2"/>
    <row r="163" spans="3:16" s="41" customFormat="1" ht="52.5" customHeight="1" x14ac:dyDescent="0.2">
      <c r="D163" s="492" t="s">
        <v>542</v>
      </c>
      <c r="E163" s="493"/>
      <c r="F163" s="493"/>
      <c r="G163" s="493"/>
      <c r="H163" s="493"/>
      <c r="I163" s="493"/>
      <c r="J163" s="493"/>
      <c r="K163" s="493"/>
      <c r="L163" s="493"/>
      <c r="M163" s="494"/>
      <c r="O163" s="186">
        <f>COUNTA(D166:E185)</f>
        <v>0</v>
      </c>
      <c r="P163" s="87"/>
    </row>
    <row r="164" spans="3:16" s="41" customFormat="1" ht="15" customHeight="1" x14ac:dyDescent="0.2">
      <c r="D164" s="516" t="str">
        <f>"Name of " &amp;'Program Info'!B3&amp;" Part-Time  
Faculty Member"</f>
        <v>Name of  Part-Time  
Faculty Member</v>
      </c>
      <c r="E164" s="517"/>
      <c r="F164" s="187" t="s">
        <v>176</v>
      </c>
      <c r="G164" s="188" t="s">
        <v>60</v>
      </c>
      <c r="H164" s="188" t="s">
        <v>175</v>
      </c>
      <c r="I164" s="188" t="s">
        <v>65</v>
      </c>
      <c r="J164" s="188" t="s">
        <v>63</v>
      </c>
      <c r="K164" s="189" t="s">
        <v>63</v>
      </c>
      <c r="L164" s="189" t="s">
        <v>63</v>
      </c>
      <c r="M164" s="189" t="s">
        <v>63</v>
      </c>
    </row>
    <row r="165" spans="3:16" s="41" customFormat="1" ht="24" customHeight="1" x14ac:dyDescent="0.2">
      <c r="D165" s="518"/>
      <c r="E165" s="519"/>
      <c r="F165" s="190" t="s">
        <v>177</v>
      </c>
      <c r="G165" s="191" t="s">
        <v>61</v>
      </c>
      <c r="H165" s="191" t="s">
        <v>59</v>
      </c>
      <c r="I165" s="191" t="s">
        <v>62</v>
      </c>
      <c r="J165" s="191" t="s">
        <v>60</v>
      </c>
      <c r="K165" s="191" t="s">
        <v>64</v>
      </c>
      <c r="L165" s="191" t="s">
        <v>73</v>
      </c>
      <c r="M165" s="191" t="s">
        <v>74</v>
      </c>
    </row>
    <row r="166" spans="3:16" s="41" customFormat="1" ht="14.25" x14ac:dyDescent="0.2">
      <c r="C166" s="73" t="s">
        <v>178</v>
      </c>
      <c r="D166" s="513"/>
      <c r="E166" s="490"/>
      <c r="F166" s="192"/>
      <c r="G166" s="78"/>
      <c r="H166" s="78"/>
      <c r="I166" s="78"/>
      <c r="J166" s="78"/>
      <c r="K166" s="78"/>
      <c r="L166" s="78"/>
      <c r="M166" s="78"/>
    </row>
    <row r="167" spans="3:16" s="41" customFormat="1" ht="14.25" x14ac:dyDescent="0.2">
      <c r="C167" s="73" t="s">
        <v>179</v>
      </c>
      <c r="D167" s="489"/>
      <c r="E167" s="490"/>
      <c r="F167" s="192"/>
      <c r="G167" s="78"/>
      <c r="H167" s="78"/>
      <c r="I167" s="78"/>
      <c r="J167" s="78"/>
      <c r="K167" s="78"/>
      <c r="L167" s="78"/>
      <c r="M167" s="78"/>
    </row>
    <row r="168" spans="3:16" s="41" customFormat="1" ht="14.25" x14ac:dyDescent="0.2">
      <c r="C168" s="73" t="s">
        <v>180</v>
      </c>
      <c r="D168" s="489"/>
      <c r="E168" s="490"/>
      <c r="F168" s="192"/>
      <c r="G168" s="78"/>
      <c r="H168" s="78"/>
      <c r="I168" s="78"/>
      <c r="J168" s="78"/>
      <c r="K168" s="78"/>
      <c r="L168" s="78"/>
      <c r="M168" s="78"/>
    </row>
    <row r="169" spans="3:16" s="41" customFormat="1" ht="14.25" x14ac:dyDescent="0.2">
      <c r="C169" s="73" t="s">
        <v>181</v>
      </c>
      <c r="D169" s="489"/>
      <c r="E169" s="490"/>
      <c r="F169" s="192"/>
      <c r="G169" s="78"/>
      <c r="H169" s="78"/>
      <c r="I169" s="78"/>
      <c r="J169" s="78"/>
      <c r="K169" s="78"/>
      <c r="L169" s="78"/>
      <c r="M169" s="78"/>
    </row>
    <row r="170" spans="3:16" s="41" customFormat="1" ht="14.25" x14ac:dyDescent="0.2">
      <c r="C170" s="73" t="s">
        <v>182</v>
      </c>
      <c r="D170" s="489"/>
      <c r="E170" s="490"/>
      <c r="F170" s="192"/>
      <c r="G170" s="78"/>
      <c r="H170" s="78"/>
      <c r="I170" s="78"/>
      <c r="J170" s="78"/>
      <c r="K170" s="78"/>
      <c r="L170" s="78"/>
      <c r="M170" s="78"/>
    </row>
    <row r="171" spans="3:16" s="41" customFormat="1" ht="14.25" x14ac:dyDescent="0.2">
      <c r="C171" s="73" t="s">
        <v>183</v>
      </c>
      <c r="D171" s="489"/>
      <c r="E171" s="490"/>
      <c r="F171" s="192"/>
      <c r="G171" s="78"/>
      <c r="H171" s="78"/>
      <c r="I171" s="78"/>
      <c r="J171" s="78"/>
      <c r="K171" s="78"/>
      <c r="L171" s="78"/>
      <c r="M171" s="78"/>
    </row>
    <row r="172" spans="3:16" s="41" customFormat="1" ht="14.25" x14ac:dyDescent="0.2">
      <c r="C172" s="73" t="s">
        <v>184</v>
      </c>
      <c r="D172" s="489"/>
      <c r="E172" s="490"/>
      <c r="F172" s="192"/>
      <c r="G172" s="78"/>
      <c r="H172" s="78"/>
      <c r="I172" s="78"/>
      <c r="J172" s="78"/>
      <c r="K172" s="78"/>
      <c r="L172" s="78"/>
      <c r="M172" s="78"/>
    </row>
    <row r="173" spans="3:16" s="41" customFormat="1" ht="14.25" x14ac:dyDescent="0.2">
      <c r="C173" s="73" t="s">
        <v>185</v>
      </c>
      <c r="D173" s="489"/>
      <c r="E173" s="490"/>
      <c r="F173" s="192"/>
      <c r="G173" s="78"/>
      <c r="H173" s="78"/>
      <c r="I173" s="78"/>
      <c r="J173" s="78"/>
      <c r="K173" s="78"/>
      <c r="L173" s="78"/>
      <c r="M173" s="78"/>
    </row>
    <row r="174" spans="3:16" s="41" customFormat="1" ht="14.25" x14ac:dyDescent="0.2">
      <c r="C174" s="73" t="s">
        <v>186</v>
      </c>
      <c r="D174" s="489"/>
      <c r="E174" s="490"/>
      <c r="F174" s="192"/>
      <c r="G174" s="78"/>
      <c r="H174" s="78"/>
      <c r="I174" s="78"/>
      <c r="J174" s="78"/>
      <c r="K174" s="78"/>
      <c r="L174" s="78"/>
      <c r="M174" s="78"/>
    </row>
    <row r="175" spans="3:16" s="41" customFormat="1" ht="14.25" x14ac:dyDescent="0.2">
      <c r="C175" s="73" t="s">
        <v>187</v>
      </c>
      <c r="D175" s="489"/>
      <c r="E175" s="490"/>
      <c r="F175" s="192"/>
      <c r="G175" s="78"/>
      <c r="H175" s="78"/>
      <c r="I175" s="78"/>
      <c r="J175" s="78"/>
      <c r="K175" s="78"/>
      <c r="L175" s="78"/>
      <c r="M175" s="78"/>
    </row>
    <row r="176" spans="3:16" s="41" customFormat="1" ht="14.25" x14ac:dyDescent="0.2">
      <c r="C176" s="73" t="s">
        <v>188</v>
      </c>
      <c r="D176" s="489"/>
      <c r="E176" s="490"/>
      <c r="F176" s="192"/>
      <c r="G176" s="78"/>
      <c r="H176" s="78"/>
      <c r="I176" s="78"/>
      <c r="J176" s="78"/>
      <c r="K176" s="78"/>
      <c r="L176" s="78"/>
      <c r="M176" s="78"/>
    </row>
    <row r="177" spans="3:13" s="41" customFormat="1" ht="14.25" x14ac:dyDescent="0.2">
      <c r="C177" s="73" t="s">
        <v>189</v>
      </c>
      <c r="D177" s="489"/>
      <c r="E177" s="490"/>
      <c r="F177" s="192"/>
      <c r="G177" s="78"/>
      <c r="H177" s="78"/>
      <c r="I177" s="78"/>
      <c r="J177" s="78"/>
      <c r="K177" s="78"/>
      <c r="L177" s="78"/>
      <c r="M177" s="78"/>
    </row>
    <row r="178" spans="3:13" s="41" customFormat="1" ht="14.25" x14ac:dyDescent="0.2">
      <c r="C178" s="73" t="s">
        <v>190</v>
      </c>
      <c r="D178" s="489"/>
      <c r="E178" s="490"/>
      <c r="F178" s="192"/>
      <c r="G178" s="78"/>
      <c r="H178" s="78"/>
      <c r="I178" s="78"/>
      <c r="J178" s="78"/>
      <c r="K178" s="78"/>
      <c r="L178" s="78"/>
      <c r="M178" s="78"/>
    </row>
    <row r="179" spans="3:13" s="41" customFormat="1" ht="14.25" x14ac:dyDescent="0.2">
      <c r="C179" s="73" t="s">
        <v>191</v>
      </c>
      <c r="D179" s="489"/>
      <c r="E179" s="490"/>
      <c r="F179" s="192"/>
      <c r="G179" s="78"/>
      <c r="H179" s="78"/>
      <c r="I179" s="78"/>
      <c r="J179" s="78"/>
      <c r="K179" s="78"/>
      <c r="L179" s="78"/>
      <c r="M179" s="78"/>
    </row>
    <row r="180" spans="3:13" s="41" customFormat="1" ht="14.25" x14ac:dyDescent="0.2">
      <c r="C180" s="73" t="s">
        <v>192</v>
      </c>
      <c r="D180" s="489"/>
      <c r="E180" s="490"/>
      <c r="F180" s="192"/>
      <c r="G180" s="78"/>
      <c r="H180" s="78"/>
      <c r="I180" s="78"/>
      <c r="J180" s="78"/>
      <c r="K180" s="78"/>
      <c r="L180" s="78"/>
      <c r="M180" s="78"/>
    </row>
    <row r="181" spans="3:13" s="41" customFormat="1" ht="14.25" x14ac:dyDescent="0.2">
      <c r="C181" s="73" t="s">
        <v>193</v>
      </c>
      <c r="D181" s="489"/>
      <c r="E181" s="490"/>
      <c r="F181" s="192"/>
      <c r="G181" s="78"/>
      <c r="H181" s="78"/>
      <c r="I181" s="78"/>
      <c r="J181" s="78"/>
      <c r="K181" s="78"/>
      <c r="L181" s="78"/>
      <c r="M181" s="78"/>
    </row>
    <row r="182" spans="3:13" s="41" customFormat="1" ht="14.25" x14ac:dyDescent="0.2">
      <c r="C182" s="73" t="s">
        <v>194</v>
      </c>
      <c r="D182" s="489"/>
      <c r="E182" s="490"/>
      <c r="F182" s="192"/>
      <c r="G182" s="78"/>
      <c r="H182" s="78"/>
      <c r="I182" s="78"/>
      <c r="J182" s="78"/>
      <c r="K182" s="78"/>
      <c r="L182" s="78"/>
      <c r="M182" s="78"/>
    </row>
    <row r="183" spans="3:13" s="41" customFormat="1" ht="14.25" x14ac:dyDescent="0.2">
      <c r="C183" s="73" t="s">
        <v>195</v>
      </c>
      <c r="D183" s="489"/>
      <c r="E183" s="490"/>
      <c r="F183" s="192"/>
      <c r="G183" s="78"/>
      <c r="H183" s="78"/>
      <c r="I183" s="78"/>
      <c r="J183" s="78"/>
      <c r="K183" s="78"/>
      <c r="L183" s="78"/>
      <c r="M183" s="78"/>
    </row>
    <row r="184" spans="3:13" s="41" customFormat="1" ht="14.25" x14ac:dyDescent="0.2">
      <c r="C184" s="73" t="s">
        <v>196</v>
      </c>
      <c r="D184" s="489"/>
      <c r="E184" s="490"/>
      <c r="F184" s="192"/>
      <c r="G184" s="78"/>
      <c r="H184" s="78"/>
      <c r="I184" s="78"/>
      <c r="J184" s="78"/>
      <c r="K184" s="78"/>
      <c r="L184" s="78"/>
      <c r="M184" s="78"/>
    </row>
    <row r="185" spans="3:13" s="41" customFormat="1" ht="14.25" x14ac:dyDescent="0.2">
      <c r="C185" s="73" t="s">
        <v>197</v>
      </c>
      <c r="D185" s="489"/>
      <c r="E185" s="490"/>
      <c r="F185" s="192"/>
      <c r="G185" s="78"/>
      <c r="H185" s="78"/>
      <c r="I185" s="78"/>
      <c r="J185" s="78"/>
      <c r="K185" s="78"/>
      <c r="L185" s="78"/>
      <c r="M185" s="78"/>
    </row>
    <row r="186" spans="3:13" s="41" customFormat="1" ht="14.25" x14ac:dyDescent="0.2">
      <c r="C186" s="73" t="s">
        <v>334</v>
      </c>
      <c r="D186" s="489"/>
      <c r="E186" s="490"/>
      <c r="F186" s="192"/>
      <c r="G186" s="78"/>
      <c r="H186" s="78"/>
      <c r="I186" s="78"/>
      <c r="J186" s="78"/>
      <c r="K186" s="78"/>
      <c r="L186" s="78"/>
      <c r="M186" s="78"/>
    </row>
    <row r="187" spans="3:13" s="41" customFormat="1" ht="14.25" x14ac:dyDescent="0.2">
      <c r="C187" s="73" t="s">
        <v>335</v>
      </c>
      <c r="D187" s="489"/>
      <c r="E187" s="490"/>
      <c r="F187" s="192"/>
      <c r="G187" s="78"/>
      <c r="H187" s="78"/>
      <c r="I187" s="78"/>
      <c r="J187" s="78"/>
      <c r="K187" s="78"/>
      <c r="L187" s="78"/>
      <c r="M187" s="78"/>
    </row>
    <row r="188" spans="3:13" s="41" customFormat="1" ht="14.25" x14ac:dyDescent="0.2">
      <c r="C188" s="73" t="s">
        <v>336</v>
      </c>
      <c r="D188" s="489"/>
      <c r="E188" s="490"/>
      <c r="F188" s="192"/>
      <c r="G188" s="78"/>
      <c r="H188" s="78"/>
      <c r="I188" s="78"/>
      <c r="J188" s="78"/>
      <c r="K188" s="78"/>
      <c r="L188" s="78"/>
      <c r="M188" s="78"/>
    </row>
    <row r="189" spans="3:13" s="41" customFormat="1" ht="14.25" x14ac:dyDescent="0.2">
      <c r="C189" s="73" t="s">
        <v>337</v>
      </c>
      <c r="D189" s="489"/>
      <c r="E189" s="490"/>
      <c r="F189" s="192"/>
      <c r="G189" s="78"/>
      <c r="H189" s="78"/>
      <c r="I189" s="78"/>
      <c r="J189" s="78"/>
      <c r="K189" s="78"/>
      <c r="L189" s="78"/>
      <c r="M189" s="78"/>
    </row>
    <row r="190" spans="3:13" s="41" customFormat="1" ht="14.25" x14ac:dyDescent="0.2">
      <c r="C190" s="73" t="s">
        <v>338</v>
      </c>
      <c r="D190" s="489"/>
      <c r="E190" s="490"/>
      <c r="F190" s="192"/>
      <c r="G190" s="78"/>
      <c r="H190" s="78"/>
      <c r="I190" s="78"/>
      <c r="J190" s="78"/>
      <c r="K190" s="78"/>
      <c r="L190" s="78"/>
      <c r="M190" s="78"/>
    </row>
    <row r="191" spans="3:13" s="41" customFormat="1" ht="14.25" x14ac:dyDescent="0.2">
      <c r="C191" s="73" t="s">
        <v>339</v>
      </c>
      <c r="D191" s="489"/>
      <c r="E191" s="490"/>
      <c r="F191" s="192"/>
      <c r="G191" s="78"/>
      <c r="H191" s="78"/>
      <c r="I191" s="78"/>
      <c r="J191" s="78"/>
      <c r="K191" s="78"/>
      <c r="L191" s="78"/>
      <c r="M191" s="78"/>
    </row>
    <row r="192" spans="3:13" s="41" customFormat="1" ht="14.25" x14ac:dyDescent="0.2">
      <c r="L192" s="61"/>
    </row>
    <row r="193" spans="2:15" s="41" customFormat="1" ht="15" customHeight="1" x14ac:dyDescent="0.2">
      <c r="D193" s="481" t="str">
        <f>"No curriculum vitaes (CVs) are required for " &amp;'Program Info'!B3&amp;" part-time faculty members."</f>
        <v>No curriculum vitaes (CVs) are required for  part-time faculty members.</v>
      </c>
      <c r="E193" s="481"/>
      <c r="F193" s="481"/>
      <c r="G193" s="481"/>
      <c r="H193" s="481"/>
      <c r="I193" s="481"/>
      <c r="J193" s="481"/>
      <c r="K193" s="481"/>
      <c r="L193" s="481"/>
      <c r="M193" s="481"/>
    </row>
    <row r="194" spans="2:15" s="41" customFormat="1" ht="14.25" x14ac:dyDescent="0.2">
      <c r="D194" s="481"/>
      <c r="E194" s="481"/>
      <c r="F194" s="481"/>
      <c r="G194" s="481"/>
      <c r="H194" s="481"/>
      <c r="I194" s="481"/>
      <c r="J194" s="481"/>
      <c r="K194" s="481"/>
      <c r="L194" s="481"/>
      <c r="M194" s="481"/>
    </row>
    <row r="195" spans="2:15" s="41" customFormat="1" ht="14.25" x14ac:dyDescent="0.2"/>
    <row r="196" spans="2:15" s="41" customFormat="1" ht="14.25" x14ac:dyDescent="0.2"/>
    <row r="197" spans="2:15" s="41" customFormat="1" ht="14.25" x14ac:dyDescent="0.2"/>
    <row r="198" spans="2:15" s="41" customFormat="1" ht="14.25" x14ac:dyDescent="0.2"/>
    <row r="199" spans="2:15" s="41" customFormat="1" ht="14.25" x14ac:dyDescent="0.2"/>
    <row r="200" spans="2:15" s="41" customFormat="1" ht="14.25" x14ac:dyDescent="0.2"/>
    <row r="201" spans="2:15" s="41" customFormat="1" ht="14.25" x14ac:dyDescent="0.2"/>
    <row r="202" spans="2:15" s="41" customFormat="1" ht="14.25" x14ac:dyDescent="0.2"/>
    <row r="203" spans="2:15" s="41" customFormat="1" ht="24" customHeight="1" x14ac:dyDescent="0.25">
      <c r="B203" s="378" t="s">
        <v>210</v>
      </c>
      <c r="C203" s="378"/>
      <c r="D203" s="378"/>
      <c r="E203" s="378"/>
      <c r="F203" s="378"/>
      <c r="G203" s="378"/>
      <c r="K203" s="64"/>
    </row>
    <row r="206" spans="2:15" ht="27" customHeight="1" x14ac:dyDescent="0.25">
      <c r="B206" s="310" t="str">
        <f>IF('Title Page'!D3&lt;&gt;"Please Select",'Title Page'!D3,"")</f>
        <v/>
      </c>
      <c r="C206" s="310"/>
      <c r="D206" s="310"/>
      <c r="E206" s="310"/>
      <c r="F206" s="310"/>
      <c r="G206" s="310"/>
      <c r="H206" s="310"/>
      <c r="I206" s="310"/>
      <c r="J206" s="310"/>
      <c r="K206" s="310"/>
      <c r="L206" s="310"/>
      <c r="M206" s="310"/>
      <c r="N206" s="310"/>
      <c r="O206" s="310"/>
    </row>
  </sheetData>
  <sheetProtection algorithmName="SHA-512" hashValue="118omEu53Zdl84ze1EaQpnajThc4tKZQoI4P6O7b56rQairpubnP48Fc4uglFj+lYjyJHL/WhF3+0EtaXne41w==" saltValue="tEBKjMQ9VyoZbCoTr3DJcw==" spinCount="100000" sheet="1" selectLockedCells="1"/>
  <mergeCells count="150">
    <mergeCell ref="D186:E186"/>
    <mergeCell ref="D187:E187"/>
    <mergeCell ref="D188:E188"/>
    <mergeCell ref="D189:E189"/>
    <mergeCell ref="D190:E190"/>
    <mergeCell ref="D191:E191"/>
    <mergeCell ref="B203:G203"/>
    <mergeCell ref="R5:V5"/>
    <mergeCell ref="D179:E179"/>
    <mergeCell ref="D180:E180"/>
    <mergeCell ref="D181:E181"/>
    <mergeCell ref="D182:E182"/>
    <mergeCell ref="D183:E183"/>
    <mergeCell ref="D174:E174"/>
    <mergeCell ref="D175:E175"/>
    <mergeCell ref="D176:E176"/>
    <mergeCell ref="D177:E177"/>
    <mergeCell ref="D178:E178"/>
    <mergeCell ref="D169:E169"/>
    <mergeCell ref="D170:E170"/>
    <mergeCell ref="D171:E171"/>
    <mergeCell ref="D172:E172"/>
    <mergeCell ref="D173:E173"/>
    <mergeCell ref="D164:E165"/>
    <mergeCell ref="D166:E166"/>
    <mergeCell ref="D167:E167"/>
    <mergeCell ref="D168:E168"/>
    <mergeCell ref="H149:N149"/>
    <mergeCell ref="D184:E184"/>
    <mergeCell ref="O5:Q5"/>
    <mergeCell ref="D127:E127"/>
    <mergeCell ref="D128:E128"/>
    <mergeCell ref="D129:E129"/>
    <mergeCell ref="D130:E130"/>
    <mergeCell ref="D131:E131"/>
    <mergeCell ref="D122:E122"/>
    <mergeCell ref="D123:E123"/>
    <mergeCell ref="D124:E124"/>
    <mergeCell ref="D125:E125"/>
    <mergeCell ref="D126:E126"/>
    <mergeCell ref="D118:E118"/>
    <mergeCell ref="D119:E119"/>
    <mergeCell ref="D120:E120"/>
    <mergeCell ref="D121:E121"/>
    <mergeCell ref="H147:N147"/>
    <mergeCell ref="H138:N138"/>
    <mergeCell ref="E139:G139"/>
    <mergeCell ref="H146:N146"/>
    <mergeCell ref="H142:N142"/>
    <mergeCell ref="H143:N143"/>
    <mergeCell ref="H144:N144"/>
    <mergeCell ref="H145:N145"/>
    <mergeCell ref="E29:I29"/>
    <mergeCell ref="D32:O32"/>
    <mergeCell ref="H33:N33"/>
    <mergeCell ref="C16:C17"/>
    <mergeCell ref="H37:N37"/>
    <mergeCell ref="H38:N38"/>
    <mergeCell ref="H39:N39"/>
    <mergeCell ref="D21:I21"/>
    <mergeCell ref="D19:I19"/>
    <mergeCell ref="D23:I23"/>
    <mergeCell ref="H36:N36"/>
    <mergeCell ref="C45:E45"/>
    <mergeCell ref="D25:I25"/>
    <mergeCell ref="D27:I27"/>
    <mergeCell ref="D68:F68"/>
    <mergeCell ref="H34:N34"/>
    <mergeCell ref="H35:N35"/>
    <mergeCell ref="H141:N141"/>
    <mergeCell ref="B109:B111"/>
    <mergeCell ref="H139:N139"/>
    <mergeCell ref="D132:E132"/>
    <mergeCell ref="D133:E133"/>
    <mergeCell ref="H140:N140"/>
    <mergeCell ref="B24:B27"/>
    <mergeCell ref="O47:Q47"/>
    <mergeCell ref="O45:Q45"/>
    <mergeCell ref="O85:Q85"/>
    <mergeCell ref="D85:L85"/>
    <mergeCell ref="D88:O88"/>
    <mergeCell ref="D112:N112"/>
    <mergeCell ref="D86:J86"/>
    <mergeCell ref="B85:B87"/>
    <mergeCell ref="B2:J2"/>
    <mergeCell ref="D6:O6"/>
    <mergeCell ref="D9:O9"/>
    <mergeCell ref="H61:N61"/>
    <mergeCell ref="H58:N58"/>
    <mergeCell ref="E59:G59"/>
    <mergeCell ref="H59:N59"/>
    <mergeCell ref="D50:O50"/>
    <mergeCell ref="D57:O57"/>
    <mergeCell ref="D48:J48"/>
    <mergeCell ref="H12:N12"/>
    <mergeCell ref="D7:O7"/>
    <mergeCell ref="H10:N10"/>
    <mergeCell ref="E11:G11"/>
    <mergeCell ref="H11:N11"/>
    <mergeCell ref="B7:B8"/>
    <mergeCell ref="B47:B48"/>
    <mergeCell ref="B17:B19"/>
    <mergeCell ref="B21:B22"/>
    <mergeCell ref="D8:L8"/>
    <mergeCell ref="D16:M17"/>
    <mergeCell ref="B3:O3"/>
    <mergeCell ref="R83:V83"/>
    <mergeCell ref="H40:N40"/>
    <mergeCell ref="H41:N41"/>
    <mergeCell ref="D110:L110"/>
    <mergeCell ref="H102:N102"/>
    <mergeCell ref="O107:Q107"/>
    <mergeCell ref="M107:N107"/>
    <mergeCell ref="D98:O98"/>
    <mergeCell ref="R45:V45"/>
    <mergeCell ref="C83:E83"/>
    <mergeCell ref="O83:Q83"/>
    <mergeCell ref="H99:N99"/>
    <mergeCell ref="H100:N100"/>
    <mergeCell ref="R107:V107"/>
    <mergeCell ref="E92:O92"/>
    <mergeCell ref="D47:L47"/>
    <mergeCell ref="H60:N60"/>
    <mergeCell ref="E101:G101"/>
    <mergeCell ref="H101:N101"/>
    <mergeCell ref="E91:O91"/>
    <mergeCell ref="B206:O206"/>
    <mergeCell ref="D193:M194"/>
    <mergeCell ref="E89:O89"/>
    <mergeCell ref="E95:O95"/>
    <mergeCell ref="D136:O136"/>
    <mergeCell ref="H137:N137"/>
    <mergeCell ref="D113:E114"/>
    <mergeCell ref="D115:E115"/>
    <mergeCell ref="D116:E116"/>
    <mergeCell ref="D117:E117"/>
    <mergeCell ref="D134:E134"/>
    <mergeCell ref="H154:N154"/>
    <mergeCell ref="H155:N155"/>
    <mergeCell ref="H156:N156"/>
    <mergeCell ref="H148:N148"/>
    <mergeCell ref="H152:N152"/>
    <mergeCell ref="H153:N153"/>
    <mergeCell ref="H150:N150"/>
    <mergeCell ref="H151:N151"/>
    <mergeCell ref="D185:E185"/>
    <mergeCell ref="H157:N157"/>
    <mergeCell ref="E150:G150"/>
    <mergeCell ref="H158:N158"/>
    <mergeCell ref="D163:M163"/>
  </mergeCells>
  <conditionalFormatting sqref="B3:O3">
    <cfRule type="expression" dxfId="3063" priority="2">
      <formula>$B$3="Paramedic"</formula>
    </cfRule>
    <cfRule type="expression" dxfId="3062" priority="4">
      <formula>$B$3="AEMT"</formula>
    </cfRule>
  </conditionalFormatting>
  <conditionalFormatting sqref="B206:O206">
    <cfRule type="expression" dxfId="3061" priority="1">
      <formula>$B$206="Paramedic"</formula>
    </cfRule>
    <cfRule type="expression" dxfId="3060" priority="3">
      <formula>$B$206="AEMT"</formula>
    </cfRule>
  </conditionalFormatting>
  <conditionalFormatting sqref="H33:N33 H34:H37 H38:N41">
    <cfRule type="expression" dxfId="3059" priority="5">
      <formula>$D$32&lt;&gt;""</formula>
    </cfRule>
  </conditionalFormatting>
  <conditionalFormatting sqref="J21">
    <cfRule type="expression" dxfId="3058" priority="9">
      <formula>$D$21&lt;&gt;""</formula>
    </cfRule>
  </conditionalFormatting>
  <conditionalFormatting sqref="J23">
    <cfRule type="expression" dxfId="3057" priority="8">
      <formula>$D$23&lt;&gt;""</formula>
    </cfRule>
  </conditionalFormatting>
  <conditionalFormatting sqref="K19">
    <cfRule type="expression" dxfId="3056" priority="13">
      <formula>K19=" authorization is required"</formula>
    </cfRule>
  </conditionalFormatting>
  <conditionalFormatting sqref="K21">
    <cfRule type="expression" dxfId="3055" priority="10">
      <formula>K21=" authorization is required"</formula>
    </cfRule>
  </conditionalFormatting>
  <conditionalFormatting sqref="K23">
    <cfRule type="expression" dxfId="3054" priority="12">
      <formula>K23=" authorization is required"</formula>
    </cfRule>
  </conditionalFormatting>
  <conditionalFormatting sqref="K25">
    <cfRule type="expression" dxfId="3053" priority="16">
      <formula>K25=" authorization is required"</formula>
    </cfRule>
  </conditionalFormatting>
  <conditionalFormatting sqref="K27">
    <cfRule type="expression" dxfId="3052" priority="17">
      <formula>K27=" authorization is required"</formula>
    </cfRule>
  </conditionalFormatting>
  <conditionalFormatting sqref="K29">
    <cfRule type="expression" dxfId="3051" priority="18">
      <formula>K29=" authorization is required"</formula>
    </cfRule>
  </conditionalFormatting>
  <dataValidations count="6">
    <dataValidation type="list" allowBlank="1" showInputMessage="1" showErrorMessage="1" sqref="J23 J25 J27 J29 J21" xr:uid="{00000000-0002-0000-0600-000000000000}">
      <formula1>"Yes, No"</formula1>
    </dataValidation>
    <dataValidation type="list" allowBlank="1" showInputMessage="1" showErrorMessage="1" sqref="I115:I134 G166:G191" xr:uid="{00000000-0002-0000-0600-000001000000}">
      <formula1>"Didactic, Lab, Both"</formula1>
    </dataValidation>
    <dataValidation type="whole" allowBlank="1" showInputMessage="1" showErrorMessage="1" error="Must be within the last 12 months." sqref="D64:D66 D74:D79" xr:uid="{00000000-0002-0000-0600-000002000000}">
      <formula1>2013</formula1>
      <formula2>2099</formula2>
    </dataValidation>
    <dataValidation type="list" allowBlank="1" showInputMessage="1" showErrorMessage="1" sqref="E74" xr:uid="{00000000-0002-0000-0600-000003000000}">
      <formula1>"Full, Part"</formula1>
    </dataValidation>
    <dataValidation type="list" allowBlank="1" showInputMessage="1" showErrorMessage="1" sqref="J19" xr:uid="{00000000-0002-0000-0600-000004000000}">
      <formula1>"Clinical Coordinator, Lead Instructor, Both, None"</formula1>
    </dataValidation>
    <dataValidation type="list" allowBlank="1" showInputMessage="1" showErrorMessage="1" sqref="G115:G134" xr:uid="{00000000-0002-0000-0600-000005000000}">
      <formula1>"Assistant Medical Director, Associate Medical Director, Clinical Coordinator, FT Faculty, Instructor/Adjunct, Lead Instructor"</formula1>
    </dataValidation>
  </dataValidations>
  <hyperlinks>
    <hyperlink ref="R45:V45" r:id="rId1" display="CoAEMSP Program Director Responsibilities " xr:uid="{00000000-0004-0000-0600-000000000000}"/>
    <hyperlink ref="R83:V83" r:id="rId2" display="CoAEMSP Medical Director Responsibilities " xr:uid="{00000000-0004-0000-0600-000001000000}"/>
    <hyperlink ref="R5:V5" r:id="rId3" display="CoAEMSP Personnel Forms " xr:uid="{00000000-0004-0000-0600-000002000000}"/>
  </hyperlinks>
  <printOptions horizontalCentered="1" verticalCentered="1"/>
  <pageMargins left="0.25" right="0.25" top="0.25" bottom="0.25" header="0.3" footer="0.3"/>
  <pageSetup scale="79" fitToHeight="0" orientation="landscape" horizontalDpi="300" verticalDpi="300" r:id="rId4"/>
  <rowBreaks count="5" manualBreakCount="5">
    <brk id="32" max="14" man="1"/>
    <brk id="57" max="14" man="1"/>
    <brk id="102" max="14" man="1"/>
    <brk id="136" max="14" man="1"/>
    <brk id="162" max="14" man="1"/>
  </rowBreaks>
  <colBreaks count="1" manualBreakCount="1">
    <brk id="15" max="1048575" man="1"/>
  </colBreaks>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5B8EA"/>
  </sheetPr>
  <dimension ref="A2:OJ170"/>
  <sheetViews>
    <sheetView showGridLines="0" zoomScaleNormal="100" workbookViewId="0">
      <selection activeCell="H140" sqref="H140"/>
    </sheetView>
  </sheetViews>
  <sheetFormatPr defaultColWidth="9.140625" defaultRowHeight="15" x14ac:dyDescent="0.25"/>
  <cols>
    <col min="1" max="1" width="4.7109375" customWidth="1"/>
    <col min="2" max="2" width="16.42578125" customWidth="1"/>
    <col min="3" max="3" width="19.140625" customWidth="1"/>
    <col min="4" max="4" width="7.140625" customWidth="1"/>
    <col min="5" max="5" width="7.42578125" customWidth="1"/>
    <col min="6" max="6" width="17" customWidth="1"/>
    <col min="7" max="7" width="10.85546875" customWidth="1"/>
    <col min="8" max="8" width="10.42578125" customWidth="1"/>
    <col min="14" max="14" width="4.7109375" customWidth="1"/>
    <col min="15" max="15" width="16.42578125" customWidth="1"/>
    <col min="16" max="16" width="19.140625" customWidth="1"/>
    <col min="17" max="17" width="7.140625" customWidth="1"/>
    <col min="18" max="18" width="7.42578125" customWidth="1"/>
    <col min="19" max="19" width="17" customWidth="1"/>
    <col min="20" max="20" width="10.85546875" customWidth="1"/>
    <col min="21" max="21" width="10.42578125" customWidth="1"/>
    <col min="27" max="27" width="4.7109375" customWidth="1"/>
    <col min="28" max="28" width="16.42578125" customWidth="1"/>
    <col min="29" max="29" width="19.140625" customWidth="1"/>
    <col min="30" max="30" width="7.140625" customWidth="1"/>
    <col min="31" max="31" width="7.42578125" customWidth="1"/>
    <col min="32" max="32" width="17" customWidth="1"/>
    <col min="33" max="33" width="10.85546875" customWidth="1"/>
    <col min="34" max="34" width="10.42578125" customWidth="1"/>
    <col min="40" max="40" width="4.7109375" customWidth="1"/>
    <col min="41" max="41" width="16.42578125" customWidth="1"/>
    <col min="42" max="42" width="19.140625" customWidth="1"/>
    <col min="43" max="43" width="7.140625" customWidth="1"/>
    <col min="44" max="44" width="7.42578125" customWidth="1"/>
    <col min="45" max="45" width="17" customWidth="1"/>
    <col min="46" max="46" width="10.85546875" customWidth="1"/>
    <col min="47" max="47" width="10.42578125" customWidth="1"/>
    <col min="53" max="53" width="4.7109375" customWidth="1"/>
    <col min="54" max="54" width="16.42578125" customWidth="1"/>
    <col min="55" max="55" width="19.140625" customWidth="1"/>
    <col min="56" max="56" width="7.140625" customWidth="1"/>
    <col min="57" max="57" width="7.42578125" customWidth="1"/>
    <col min="58" max="58" width="17" customWidth="1"/>
    <col min="59" max="59" width="10.85546875" customWidth="1"/>
    <col min="60" max="60" width="10.42578125" customWidth="1"/>
    <col min="66" max="66" width="4.7109375" customWidth="1"/>
    <col min="67" max="67" width="16.42578125" customWidth="1"/>
    <col min="68" max="68" width="19.140625" customWidth="1"/>
    <col min="69" max="69" width="7.140625" customWidth="1"/>
    <col min="70" max="70" width="7.42578125" customWidth="1"/>
    <col min="71" max="71" width="17" customWidth="1"/>
    <col min="72" max="72" width="10.85546875" customWidth="1"/>
    <col min="73" max="73" width="10.42578125" customWidth="1"/>
    <col min="79" max="79" width="4.7109375" customWidth="1"/>
    <col min="80" max="80" width="16.42578125" customWidth="1"/>
    <col min="81" max="81" width="19.140625" customWidth="1"/>
    <col min="82" max="82" width="7.140625" customWidth="1"/>
    <col min="83" max="83" width="7.42578125" customWidth="1"/>
    <col min="84" max="84" width="17" customWidth="1"/>
    <col min="85" max="85" width="10.85546875" customWidth="1"/>
    <col min="86" max="86" width="10.42578125" customWidth="1"/>
    <col min="92" max="92" width="4.7109375" customWidth="1"/>
    <col min="93" max="93" width="16.42578125" customWidth="1"/>
    <col min="94" max="94" width="19.140625" customWidth="1"/>
    <col min="95" max="95" width="7.140625" customWidth="1"/>
    <col min="96" max="96" width="7.42578125" customWidth="1"/>
    <col min="97" max="97" width="17" customWidth="1"/>
    <col min="98" max="98" width="10.85546875" customWidth="1"/>
    <col min="99" max="99" width="10.42578125" customWidth="1"/>
    <col min="105" max="105" width="4.7109375" customWidth="1"/>
    <col min="106" max="106" width="16.42578125" customWidth="1"/>
    <col min="107" max="107" width="19.140625" customWidth="1"/>
    <col min="108" max="108" width="7.140625" customWidth="1"/>
    <col min="109" max="109" width="7.42578125" customWidth="1"/>
    <col min="110" max="110" width="17" customWidth="1"/>
    <col min="111" max="111" width="10.85546875" customWidth="1"/>
    <col min="112" max="112" width="10.42578125" customWidth="1"/>
    <col min="118" max="118" width="4.7109375" customWidth="1"/>
    <col min="119" max="119" width="16.42578125" customWidth="1"/>
    <col min="120" max="120" width="19.140625" customWidth="1"/>
    <col min="121" max="121" width="7.140625" customWidth="1"/>
    <col min="122" max="122" width="7.42578125" customWidth="1"/>
    <col min="123" max="123" width="17" customWidth="1"/>
    <col min="124" max="124" width="10.85546875" customWidth="1"/>
    <col min="125" max="125" width="10.42578125" customWidth="1"/>
    <col min="131" max="131" width="4.7109375" customWidth="1"/>
    <col min="132" max="132" width="16.42578125" customWidth="1"/>
    <col min="133" max="133" width="19.140625" customWidth="1"/>
    <col min="134" max="134" width="7.140625" customWidth="1"/>
    <col min="135" max="135" width="7.42578125" customWidth="1"/>
    <col min="136" max="136" width="17" customWidth="1"/>
    <col min="137" max="137" width="10.85546875" customWidth="1"/>
    <col min="138" max="138" width="10.42578125" customWidth="1"/>
    <col min="144" max="144" width="4.7109375" customWidth="1"/>
    <col min="145" max="145" width="16.42578125" customWidth="1"/>
    <col min="146" max="146" width="19.140625" customWidth="1"/>
    <col min="147" max="147" width="7.140625" customWidth="1"/>
    <col min="148" max="148" width="7.42578125" customWidth="1"/>
    <col min="149" max="149" width="17" customWidth="1"/>
    <col min="150" max="150" width="10.85546875" customWidth="1"/>
    <col min="151" max="151" width="10.42578125" customWidth="1"/>
    <col min="157" max="157" width="4.7109375" customWidth="1"/>
    <col min="158" max="158" width="16.42578125" customWidth="1"/>
    <col min="159" max="159" width="19.140625" customWidth="1"/>
    <col min="160" max="160" width="7.140625" customWidth="1"/>
    <col min="161" max="161" width="7.42578125" customWidth="1"/>
    <col min="162" max="162" width="17" customWidth="1"/>
    <col min="163" max="163" width="10.85546875" customWidth="1"/>
    <col min="164" max="164" width="10.42578125" customWidth="1"/>
    <col min="170" max="170" width="4.7109375" customWidth="1"/>
    <col min="171" max="171" width="16.42578125" customWidth="1"/>
    <col min="172" max="172" width="19.140625" customWidth="1"/>
    <col min="173" max="173" width="7.140625" customWidth="1"/>
    <col min="174" max="174" width="7.42578125" customWidth="1"/>
    <col min="175" max="175" width="17" customWidth="1"/>
    <col min="176" max="176" width="10.85546875" customWidth="1"/>
    <col min="177" max="177" width="10.42578125" customWidth="1"/>
    <col min="183" max="183" width="4.7109375" customWidth="1"/>
    <col min="184" max="184" width="16.42578125" customWidth="1"/>
    <col min="185" max="185" width="19.140625" customWidth="1"/>
    <col min="186" max="186" width="7.140625" customWidth="1"/>
    <col min="187" max="187" width="7.42578125" customWidth="1"/>
    <col min="188" max="188" width="17" customWidth="1"/>
    <col min="189" max="189" width="10.85546875" customWidth="1"/>
    <col min="190" max="190" width="10.42578125" customWidth="1"/>
    <col min="196" max="196" width="4.7109375" customWidth="1"/>
    <col min="197" max="197" width="16.42578125" customWidth="1"/>
    <col min="198" max="198" width="19.140625" customWidth="1"/>
    <col min="199" max="199" width="7.140625" customWidth="1"/>
    <col min="200" max="200" width="7.42578125" customWidth="1"/>
    <col min="201" max="201" width="17" customWidth="1"/>
    <col min="202" max="202" width="10.85546875" customWidth="1"/>
    <col min="203" max="203" width="10.42578125" customWidth="1"/>
    <col min="209" max="209" width="4.7109375" customWidth="1"/>
    <col min="210" max="210" width="16.42578125" customWidth="1"/>
    <col min="211" max="211" width="19.140625" customWidth="1"/>
    <col min="212" max="212" width="7.140625" customWidth="1"/>
    <col min="213" max="213" width="7.42578125" customWidth="1"/>
    <col min="214" max="214" width="17" customWidth="1"/>
    <col min="215" max="215" width="10.85546875" customWidth="1"/>
    <col min="216" max="216" width="10.42578125" customWidth="1"/>
    <col min="222" max="222" width="4.7109375" customWidth="1"/>
    <col min="223" max="223" width="16.42578125" customWidth="1"/>
    <col min="224" max="224" width="19.140625" customWidth="1"/>
    <col min="225" max="225" width="7.140625" customWidth="1"/>
    <col min="226" max="226" width="7.42578125" customWidth="1"/>
    <col min="227" max="227" width="17" customWidth="1"/>
    <col min="228" max="228" width="10.85546875" customWidth="1"/>
    <col min="229" max="229" width="10.42578125" customWidth="1"/>
    <col min="235" max="235" width="4.7109375" customWidth="1"/>
    <col min="236" max="236" width="16.42578125" customWidth="1"/>
    <col min="237" max="237" width="19.140625" customWidth="1"/>
    <col min="238" max="238" width="7.140625" customWidth="1"/>
    <col min="239" max="239" width="7.42578125" customWidth="1"/>
    <col min="240" max="240" width="17" customWidth="1"/>
    <col min="241" max="241" width="10.85546875" customWidth="1"/>
    <col min="242" max="242" width="10.42578125" customWidth="1"/>
    <col min="248" max="248" width="4.7109375" customWidth="1"/>
    <col min="249" max="249" width="16.42578125" customWidth="1"/>
    <col min="250" max="250" width="19.140625" customWidth="1"/>
    <col min="251" max="251" width="7.140625" customWidth="1"/>
    <col min="252" max="252" width="7.42578125" customWidth="1"/>
    <col min="253" max="253" width="17" customWidth="1"/>
    <col min="254" max="254" width="10.85546875" customWidth="1"/>
    <col min="255" max="255" width="10.42578125" customWidth="1"/>
    <col min="261" max="261" width="4.7109375" customWidth="1"/>
    <col min="262" max="262" width="16.42578125" customWidth="1"/>
    <col min="263" max="263" width="19.140625" customWidth="1"/>
    <col min="264" max="264" width="7.140625" customWidth="1"/>
    <col min="265" max="265" width="7.42578125" customWidth="1"/>
    <col min="266" max="266" width="17" customWidth="1"/>
    <col min="267" max="267" width="10.85546875" customWidth="1"/>
    <col min="268" max="268" width="10.42578125" customWidth="1"/>
    <col min="274" max="274" width="4.7109375" customWidth="1"/>
    <col min="275" max="275" width="16.42578125" customWidth="1"/>
    <col min="276" max="276" width="19.140625" customWidth="1"/>
    <col min="277" max="277" width="7.140625" customWidth="1"/>
    <col min="278" max="278" width="7.42578125" customWidth="1"/>
    <col min="279" max="279" width="17" customWidth="1"/>
    <col min="280" max="280" width="10.85546875" customWidth="1"/>
    <col min="281" max="281" width="10.42578125" customWidth="1"/>
    <col min="287" max="287" width="4.7109375" customWidth="1"/>
    <col min="288" max="288" width="16.42578125" customWidth="1"/>
    <col min="289" max="289" width="19.140625" customWidth="1"/>
    <col min="290" max="290" width="7.140625" customWidth="1"/>
    <col min="291" max="291" width="7.42578125" customWidth="1"/>
    <col min="292" max="292" width="17" customWidth="1"/>
    <col min="293" max="293" width="10.85546875" customWidth="1"/>
    <col min="294" max="294" width="10.42578125" customWidth="1"/>
    <col min="300" max="300" width="4.7109375" customWidth="1"/>
    <col min="301" max="301" width="16.42578125" customWidth="1"/>
    <col min="302" max="302" width="19.140625" customWidth="1"/>
    <col min="303" max="303" width="7.140625" customWidth="1"/>
    <col min="304" max="304" width="7.42578125" customWidth="1"/>
    <col min="305" max="305" width="17" customWidth="1"/>
    <col min="306" max="306" width="10.85546875" customWidth="1"/>
    <col min="307" max="307" width="10.42578125" customWidth="1"/>
    <col min="313" max="313" width="4.7109375" customWidth="1"/>
    <col min="314" max="314" width="16.42578125" customWidth="1"/>
    <col min="315" max="315" width="19.140625" customWidth="1"/>
    <col min="316" max="316" width="7.140625" customWidth="1"/>
    <col min="317" max="317" width="7.42578125" customWidth="1"/>
    <col min="318" max="318" width="17" customWidth="1"/>
    <col min="319" max="319" width="10.85546875" customWidth="1"/>
    <col min="320" max="320" width="10.42578125" customWidth="1"/>
    <col min="326" max="326" width="4.7109375" customWidth="1"/>
    <col min="327" max="327" width="16.42578125" customWidth="1"/>
    <col min="328" max="328" width="19.140625" customWidth="1"/>
    <col min="329" max="329" width="7.140625" customWidth="1"/>
    <col min="330" max="330" width="7.42578125" customWidth="1"/>
    <col min="331" max="331" width="17" customWidth="1"/>
    <col min="332" max="332" width="10.85546875" customWidth="1"/>
    <col min="333" max="333" width="10.42578125" customWidth="1"/>
    <col min="339" max="339" width="4.7109375" customWidth="1"/>
    <col min="340" max="340" width="16.42578125" customWidth="1"/>
    <col min="341" max="341" width="19.140625" customWidth="1"/>
    <col min="342" max="342" width="7.140625" customWidth="1"/>
    <col min="343" max="343" width="7.42578125" customWidth="1"/>
    <col min="344" max="344" width="17" customWidth="1"/>
    <col min="345" max="345" width="10.85546875" customWidth="1"/>
    <col min="346" max="346" width="10.42578125" customWidth="1"/>
    <col min="352" max="352" width="4.7109375" customWidth="1"/>
    <col min="353" max="353" width="16.42578125" customWidth="1"/>
    <col min="354" max="354" width="19.140625" customWidth="1"/>
    <col min="355" max="355" width="7.140625" customWidth="1"/>
    <col min="356" max="356" width="7.42578125" customWidth="1"/>
    <col min="357" max="357" width="17" customWidth="1"/>
    <col min="358" max="358" width="10.85546875" customWidth="1"/>
    <col min="359" max="359" width="10.42578125" customWidth="1"/>
    <col min="365" max="365" width="4.7109375" customWidth="1"/>
    <col min="366" max="366" width="16.42578125" customWidth="1"/>
    <col min="367" max="367" width="19.140625" customWidth="1"/>
    <col min="368" max="368" width="7.140625" customWidth="1"/>
    <col min="369" max="369" width="7.42578125" customWidth="1"/>
    <col min="370" max="370" width="17" customWidth="1"/>
    <col min="371" max="371" width="10.85546875" customWidth="1"/>
    <col min="372" max="372" width="10.42578125" customWidth="1"/>
    <col min="378" max="378" width="4.7109375" customWidth="1"/>
    <col min="379" max="379" width="16.42578125" customWidth="1"/>
    <col min="380" max="380" width="19.140625" customWidth="1"/>
    <col min="381" max="381" width="7.140625" customWidth="1"/>
    <col min="382" max="382" width="7.42578125" customWidth="1"/>
    <col min="383" max="383" width="17" customWidth="1"/>
    <col min="384" max="384" width="10.85546875" customWidth="1"/>
    <col min="385" max="385" width="10.42578125" customWidth="1"/>
  </cols>
  <sheetData>
    <row r="2" spans="2:388" s="193" customFormat="1" ht="45.95" customHeight="1" x14ac:dyDescent="0.25">
      <c r="B2" s="34" t="s">
        <v>276</v>
      </c>
      <c r="K2" s="194" t="str">
        <f>Instructions!C19</f>
        <v>SSR Revised 2025.02</v>
      </c>
      <c r="O2" s="34"/>
      <c r="X2" s="194"/>
      <c r="AB2" s="34"/>
      <c r="AK2" s="194"/>
      <c r="AO2" s="34"/>
      <c r="AX2" s="194"/>
      <c r="BB2" s="34"/>
      <c r="BK2" s="194"/>
      <c r="BO2" s="34"/>
      <c r="BX2" s="194"/>
      <c r="CB2" s="34"/>
      <c r="CK2" s="194"/>
      <c r="CO2" s="34"/>
      <c r="CX2" s="194"/>
      <c r="DB2" s="34"/>
      <c r="DK2" s="194"/>
      <c r="DO2" s="34"/>
      <c r="DX2" s="194"/>
      <c r="EB2" s="34"/>
      <c r="EK2" s="194"/>
      <c r="EO2" s="34"/>
      <c r="EX2" s="194"/>
      <c r="FB2" s="34"/>
      <c r="FK2" s="194"/>
      <c r="FO2" s="34"/>
      <c r="FX2" s="194"/>
      <c r="GB2" s="34"/>
      <c r="GK2" s="194"/>
      <c r="GO2" s="34"/>
      <c r="GX2" s="194"/>
      <c r="HB2" s="34"/>
      <c r="HK2" s="194"/>
      <c r="HO2" s="34"/>
      <c r="HX2" s="194"/>
      <c r="IB2" s="34"/>
      <c r="IK2" s="194"/>
      <c r="IO2" s="34"/>
      <c r="IX2" s="194"/>
      <c r="JB2" s="34"/>
      <c r="JK2" s="194"/>
      <c r="JO2" s="34"/>
      <c r="JX2" s="194"/>
      <c r="KB2" s="34"/>
      <c r="KK2" s="194"/>
      <c r="KO2" s="34"/>
      <c r="KX2" s="194"/>
      <c r="LB2" s="34"/>
      <c r="LK2" s="194"/>
      <c r="LO2" s="34"/>
      <c r="LX2" s="194"/>
      <c r="MB2" s="34"/>
      <c r="MK2" s="194"/>
      <c r="MO2" s="34"/>
      <c r="MX2" s="194"/>
      <c r="NB2" s="34"/>
      <c r="NK2" s="194"/>
      <c r="NO2" s="34"/>
      <c r="NX2" s="194"/>
    </row>
    <row r="3" spans="2:388" s="41" customFormat="1" ht="28.5" customHeight="1" x14ac:dyDescent="0.2">
      <c r="B3" s="463">
        <f>'[11]Title Page'!$D$9</f>
        <v>0</v>
      </c>
      <c r="C3" s="463"/>
      <c r="D3" s="463"/>
      <c r="E3" s="463"/>
      <c r="F3" s="463"/>
      <c r="O3" s="460"/>
      <c r="P3" s="460"/>
      <c r="Q3" s="460"/>
      <c r="R3" s="460"/>
      <c r="S3" s="460"/>
      <c r="AB3" s="460"/>
      <c r="AC3" s="460"/>
      <c r="AD3" s="460"/>
      <c r="AE3" s="460"/>
      <c r="AF3" s="460"/>
      <c r="AO3" s="460"/>
      <c r="AP3" s="460"/>
      <c r="AQ3" s="460"/>
      <c r="AR3" s="460"/>
      <c r="AS3" s="460"/>
      <c r="BB3" s="460"/>
      <c r="BC3" s="460"/>
      <c r="BD3" s="460"/>
      <c r="BE3" s="460"/>
      <c r="BF3" s="460"/>
      <c r="BO3" s="460"/>
      <c r="BP3" s="460"/>
      <c r="BQ3" s="460"/>
      <c r="BR3" s="460"/>
      <c r="BS3" s="460"/>
      <c r="CB3" s="460"/>
      <c r="CC3" s="460"/>
      <c r="CD3" s="460"/>
      <c r="CE3" s="460"/>
      <c r="CF3" s="460"/>
      <c r="CO3" s="460"/>
      <c r="CP3" s="460"/>
      <c r="CQ3" s="460"/>
      <c r="CR3" s="460"/>
      <c r="CS3" s="460"/>
      <c r="DB3" s="460"/>
      <c r="DC3" s="460"/>
      <c r="DD3" s="460"/>
      <c r="DE3" s="460"/>
      <c r="DF3" s="460"/>
      <c r="DO3" s="460"/>
      <c r="DP3" s="460"/>
      <c r="DQ3" s="460"/>
      <c r="DR3" s="460"/>
      <c r="DS3" s="460"/>
      <c r="EB3" s="460"/>
      <c r="EC3" s="460"/>
      <c r="ED3" s="460"/>
      <c r="EE3" s="460"/>
      <c r="EF3" s="460"/>
      <c r="EO3" s="460"/>
      <c r="EP3" s="460"/>
      <c r="EQ3" s="460"/>
      <c r="ER3" s="460"/>
      <c r="ES3" s="460"/>
      <c r="FB3" s="460"/>
      <c r="FC3" s="460"/>
      <c r="FD3" s="460"/>
      <c r="FE3" s="460"/>
      <c r="FF3" s="460"/>
      <c r="FO3" s="460"/>
      <c r="FP3" s="460"/>
      <c r="FQ3" s="460"/>
      <c r="FR3" s="460"/>
      <c r="FS3" s="460"/>
      <c r="GB3" s="460"/>
      <c r="GC3" s="460"/>
      <c r="GD3" s="460"/>
      <c r="GE3" s="460"/>
      <c r="GF3" s="460"/>
      <c r="GO3" s="460"/>
      <c r="GP3" s="460"/>
      <c r="GQ3" s="460"/>
      <c r="GR3" s="460"/>
      <c r="GS3" s="460"/>
      <c r="HB3" s="460"/>
      <c r="HC3" s="460"/>
      <c r="HD3" s="460"/>
      <c r="HE3" s="460"/>
      <c r="HF3" s="460"/>
      <c r="HO3" s="460"/>
      <c r="HP3" s="460"/>
      <c r="HQ3" s="460"/>
      <c r="HR3" s="460"/>
      <c r="HS3" s="460"/>
      <c r="IB3" s="460"/>
      <c r="IC3" s="460"/>
      <c r="ID3" s="460"/>
      <c r="IE3" s="460"/>
      <c r="IF3" s="460"/>
      <c r="IO3" s="460"/>
      <c r="IP3" s="460"/>
      <c r="IQ3" s="460"/>
      <c r="IR3" s="460"/>
      <c r="IS3" s="460"/>
      <c r="JB3" s="460"/>
      <c r="JC3" s="460"/>
      <c r="JD3" s="460"/>
      <c r="JE3" s="460"/>
      <c r="JF3" s="460"/>
      <c r="JO3" s="460"/>
      <c r="JP3" s="460"/>
      <c r="JQ3" s="460"/>
      <c r="JR3" s="460"/>
      <c r="JS3" s="460"/>
      <c r="KB3" s="460"/>
      <c r="KC3" s="460"/>
      <c r="KD3" s="460"/>
      <c r="KE3" s="460"/>
      <c r="KF3" s="460"/>
      <c r="KO3" s="460"/>
      <c r="KP3" s="460"/>
      <c r="KQ3" s="460"/>
      <c r="KR3" s="460"/>
      <c r="KS3" s="460"/>
      <c r="LB3" s="460"/>
      <c r="LC3" s="460"/>
      <c r="LD3" s="460"/>
      <c r="LE3" s="460"/>
      <c r="LF3" s="460"/>
      <c r="LO3" s="460"/>
      <c r="LP3" s="460"/>
      <c r="LQ3" s="460"/>
      <c r="LR3" s="460"/>
      <c r="LS3" s="460"/>
      <c r="MB3" s="460"/>
      <c r="MC3" s="460"/>
      <c r="MD3" s="460"/>
      <c r="ME3" s="460"/>
      <c r="MF3" s="460"/>
      <c r="MO3" s="460"/>
      <c r="MP3" s="460"/>
      <c r="MQ3" s="460"/>
      <c r="MR3" s="460"/>
      <c r="MS3" s="460"/>
      <c r="NB3" s="460"/>
      <c r="NC3" s="460"/>
      <c r="ND3" s="460"/>
      <c r="NE3" s="460"/>
      <c r="NF3" s="460"/>
      <c r="NO3" s="460"/>
      <c r="NP3" s="460"/>
      <c r="NQ3" s="460"/>
      <c r="NR3" s="460"/>
      <c r="NS3" s="460"/>
    </row>
    <row r="4" spans="2:388" s="41" customFormat="1" ht="27" customHeight="1" x14ac:dyDescent="0.2">
      <c r="B4" s="335" t="str">
        <f>IF('Title Page'!D3&lt;&gt;"Please Select",'Title Page'!D3,"")</f>
        <v/>
      </c>
      <c r="C4" s="335"/>
      <c r="D4" s="335"/>
      <c r="E4" s="335"/>
      <c r="F4" s="335"/>
      <c r="G4" s="335"/>
      <c r="H4" s="335"/>
      <c r="I4" s="335"/>
      <c r="J4" s="335"/>
      <c r="K4" s="335"/>
      <c r="L4" s="335"/>
      <c r="M4" s="335"/>
      <c r="N4" s="335"/>
      <c r="O4" s="335"/>
      <c r="P4" s="255"/>
      <c r="Q4" s="255"/>
      <c r="R4" s="255"/>
      <c r="S4" s="255"/>
      <c r="AB4" s="255"/>
      <c r="AC4" s="255"/>
      <c r="AD4" s="255"/>
      <c r="AE4" s="255"/>
      <c r="AF4" s="255"/>
      <c r="AO4" s="255"/>
      <c r="AP4" s="255"/>
      <c r="AQ4" s="255"/>
      <c r="AR4" s="255"/>
      <c r="AS4" s="255"/>
      <c r="BB4" s="255"/>
      <c r="BC4" s="255"/>
      <c r="BD4" s="255"/>
      <c r="BE4" s="255"/>
      <c r="BF4" s="255"/>
      <c r="BO4" s="255"/>
      <c r="BP4" s="255"/>
      <c r="BQ4" s="255"/>
      <c r="BR4" s="255"/>
      <c r="BS4" s="255"/>
      <c r="CB4" s="255"/>
      <c r="CC4" s="255"/>
      <c r="CD4" s="255"/>
      <c r="CE4" s="255"/>
      <c r="CF4" s="255"/>
      <c r="CO4" s="255"/>
      <c r="CP4" s="255"/>
      <c r="CQ4" s="255"/>
      <c r="CR4" s="255"/>
      <c r="CS4" s="255"/>
      <c r="DB4" s="255"/>
      <c r="DC4" s="255"/>
      <c r="DD4" s="255"/>
      <c r="DE4" s="255"/>
      <c r="DF4" s="255"/>
      <c r="DO4" s="255"/>
      <c r="DP4" s="255"/>
      <c r="DQ4" s="255"/>
      <c r="DR4" s="255"/>
      <c r="DS4" s="255"/>
      <c r="EB4" s="255"/>
      <c r="EC4" s="255"/>
      <c r="ED4" s="255"/>
      <c r="EE4" s="255"/>
      <c r="EF4" s="255"/>
      <c r="EO4" s="255"/>
      <c r="EP4" s="255"/>
      <c r="EQ4" s="255"/>
      <c r="ER4" s="255"/>
      <c r="ES4" s="255"/>
      <c r="FB4" s="255"/>
      <c r="FC4" s="255"/>
      <c r="FD4" s="255"/>
      <c r="FE4" s="255"/>
      <c r="FF4" s="255"/>
      <c r="FO4" s="255"/>
      <c r="FP4" s="255"/>
      <c r="FQ4" s="255"/>
      <c r="FR4" s="255"/>
      <c r="FS4" s="255"/>
      <c r="GB4" s="255"/>
      <c r="GC4" s="255"/>
      <c r="GD4" s="255"/>
      <c r="GE4" s="255"/>
      <c r="GF4" s="255"/>
      <c r="GO4" s="255"/>
      <c r="GP4" s="255"/>
      <c r="GQ4" s="255"/>
      <c r="GR4" s="255"/>
      <c r="GS4" s="255"/>
      <c r="HB4" s="255"/>
      <c r="HC4" s="255"/>
      <c r="HD4" s="255"/>
      <c r="HE4" s="255"/>
      <c r="HF4" s="255"/>
      <c r="HO4" s="255"/>
      <c r="HP4" s="255"/>
      <c r="HQ4" s="255"/>
      <c r="HR4" s="255"/>
      <c r="HS4" s="255"/>
      <c r="IB4" s="255"/>
      <c r="IC4" s="255"/>
      <c r="ID4" s="255"/>
      <c r="IE4" s="255"/>
      <c r="IF4" s="255"/>
      <c r="IO4" s="255"/>
      <c r="IP4" s="255"/>
      <c r="IQ4" s="255"/>
      <c r="IR4" s="255"/>
      <c r="IS4" s="255"/>
      <c r="JB4" s="255"/>
      <c r="JC4" s="255"/>
      <c r="JD4" s="255"/>
      <c r="JE4" s="255"/>
      <c r="JF4" s="255"/>
      <c r="JO4" s="255"/>
      <c r="JP4" s="255"/>
      <c r="JQ4" s="255"/>
      <c r="JR4" s="255"/>
      <c r="JS4" s="255"/>
      <c r="KB4" s="255"/>
      <c r="KC4" s="255"/>
      <c r="KD4" s="255"/>
      <c r="KE4" s="255"/>
      <c r="KF4" s="255"/>
      <c r="KO4" s="255"/>
      <c r="KP4" s="255"/>
      <c r="KQ4" s="255"/>
      <c r="KR4" s="255"/>
      <c r="KS4" s="255"/>
      <c r="LB4" s="255"/>
      <c r="LC4" s="255"/>
      <c r="LD4" s="255"/>
      <c r="LE4" s="255"/>
      <c r="LF4" s="255"/>
      <c r="LO4" s="255"/>
      <c r="LP4" s="255"/>
      <c r="LQ4" s="255"/>
      <c r="LR4" s="255"/>
      <c r="LS4" s="255"/>
      <c r="MB4" s="255"/>
      <c r="MC4" s="255"/>
      <c r="MD4" s="255"/>
      <c r="ME4" s="255"/>
      <c r="MF4" s="255"/>
      <c r="MO4" s="255"/>
      <c r="MP4" s="255"/>
      <c r="MQ4" s="255"/>
      <c r="MR4" s="255"/>
      <c r="MS4" s="255"/>
      <c r="NB4" s="255"/>
      <c r="NC4" s="255"/>
      <c r="ND4" s="255"/>
      <c r="NE4" s="255"/>
      <c r="NF4" s="255"/>
      <c r="NO4" s="255"/>
      <c r="NP4" s="255"/>
      <c r="NQ4" s="255"/>
      <c r="NR4" s="255"/>
      <c r="NS4" s="255"/>
    </row>
    <row r="5" spans="2:388" s="41" customFormat="1" ht="14.25" x14ac:dyDescent="0.2"/>
    <row r="6" spans="2:388" s="41" customFormat="1" ht="55.5" customHeight="1" x14ac:dyDescent="0.2">
      <c r="B6" s="94" t="s">
        <v>402</v>
      </c>
      <c r="C6" s="97"/>
      <c r="D6" s="104"/>
      <c r="E6" s="104"/>
      <c r="F6" s="104"/>
      <c r="G6" s="104"/>
      <c r="H6" s="104"/>
      <c r="I6" s="104"/>
      <c r="J6" s="104"/>
      <c r="K6" s="104"/>
      <c r="L6" s="104"/>
      <c r="M6" s="8"/>
      <c r="N6" s="8"/>
      <c r="O6" s="458" t="s">
        <v>82</v>
      </c>
      <c r="P6" s="458"/>
      <c r="Q6" s="458"/>
      <c r="R6" s="8"/>
    </row>
    <row r="7" spans="2:388" s="41" customFormat="1" ht="14.25" x14ac:dyDescent="0.2"/>
    <row r="8" spans="2:388" s="41" customFormat="1" ht="57.75" customHeight="1" x14ac:dyDescent="0.2">
      <c r="B8" s="94" t="s">
        <v>132</v>
      </c>
    </row>
    <row r="9" spans="2:388" s="193" customFormat="1" ht="75.75" customHeight="1" x14ac:dyDescent="0.2">
      <c r="B9" s="550" t="str">
        <f>"As " &amp;'Program Info'!B3&amp;" Program Director, by selecting 'Yes' in the box to the right, I verify that an appropriate, authorized clinical affiliate individual has provided and attested to the information presented in the corresponding table below."</f>
        <v>As  Program Director, by selecting 'Yes' in the box to the right, I verify that an appropriate, authorized clinical affiliate individual has provided and attested to the information presented in the corresponding table below.</v>
      </c>
      <c r="C9" s="550"/>
      <c r="D9" s="550"/>
      <c r="E9" s="550"/>
      <c r="F9" s="550"/>
      <c r="G9" s="550"/>
      <c r="H9" s="550"/>
      <c r="I9" s="551" t="s">
        <v>95</v>
      </c>
      <c r="J9" s="551"/>
      <c r="O9" s="549"/>
      <c r="P9" s="549"/>
      <c r="Q9" s="549"/>
      <c r="R9" s="549"/>
      <c r="S9" s="549"/>
      <c r="T9" s="549"/>
      <c r="U9" s="549"/>
      <c r="AB9" s="549"/>
      <c r="AC9" s="549"/>
      <c r="AD9" s="549"/>
      <c r="AE9" s="549"/>
      <c r="AF9" s="549"/>
      <c r="AG9" s="549"/>
      <c r="AH9" s="549"/>
      <c r="AO9" s="549"/>
      <c r="AP9" s="549"/>
      <c r="AQ9" s="549"/>
      <c r="AR9" s="549"/>
      <c r="AS9" s="549"/>
      <c r="AT9" s="549"/>
      <c r="AU9" s="549"/>
      <c r="BB9" s="549"/>
      <c r="BC9" s="549"/>
      <c r="BD9" s="549"/>
      <c r="BE9" s="549"/>
      <c r="BF9" s="549"/>
      <c r="BG9" s="549"/>
      <c r="BH9" s="549"/>
      <c r="BO9" s="549"/>
      <c r="BP9" s="549"/>
      <c r="BQ9" s="549"/>
      <c r="BR9" s="549"/>
      <c r="BS9" s="549"/>
      <c r="BT9" s="549"/>
      <c r="BU9" s="549"/>
      <c r="CB9" s="549"/>
      <c r="CC9" s="549"/>
      <c r="CD9" s="549"/>
      <c r="CE9" s="549"/>
      <c r="CF9" s="549"/>
      <c r="CG9" s="549"/>
      <c r="CH9" s="549"/>
      <c r="CO9" s="549"/>
      <c r="CP9" s="549"/>
      <c r="CQ9" s="549"/>
      <c r="CR9" s="549"/>
      <c r="CS9" s="549"/>
      <c r="CT9" s="549"/>
      <c r="CU9" s="549"/>
      <c r="DB9" s="549"/>
      <c r="DC9" s="549"/>
      <c r="DD9" s="549"/>
      <c r="DE9" s="549"/>
      <c r="DF9" s="549"/>
      <c r="DG9" s="549"/>
      <c r="DH9" s="549"/>
      <c r="DO9" s="549"/>
      <c r="DP9" s="549"/>
      <c r="DQ9" s="549"/>
      <c r="DR9" s="549"/>
      <c r="DS9" s="549"/>
      <c r="DT9" s="549"/>
      <c r="DU9" s="549"/>
      <c r="EB9" s="549"/>
      <c r="EC9" s="549"/>
      <c r="ED9" s="549"/>
      <c r="EE9" s="549"/>
      <c r="EF9" s="549"/>
      <c r="EG9" s="549"/>
      <c r="EH9" s="549"/>
      <c r="EO9" s="549"/>
      <c r="EP9" s="549"/>
      <c r="EQ9" s="549"/>
      <c r="ER9" s="549"/>
      <c r="ES9" s="549"/>
      <c r="ET9" s="549"/>
      <c r="EU9" s="549"/>
      <c r="FB9" s="549"/>
      <c r="FC9" s="549"/>
      <c r="FD9" s="549"/>
      <c r="FE9" s="549"/>
      <c r="FF9" s="549"/>
      <c r="FG9" s="549"/>
      <c r="FH9" s="549"/>
      <c r="FO9" s="549"/>
      <c r="FP9" s="549"/>
      <c r="FQ9" s="549"/>
      <c r="FR9" s="549"/>
      <c r="FS9" s="549"/>
      <c r="FT9" s="549"/>
      <c r="FU9" s="549"/>
      <c r="GB9" s="549"/>
      <c r="GC9" s="549"/>
      <c r="GD9" s="549"/>
      <c r="GE9" s="549"/>
      <c r="GF9" s="549"/>
      <c r="GG9" s="549"/>
      <c r="GH9" s="549"/>
      <c r="GO9" s="549"/>
      <c r="GP9" s="549"/>
      <c r="GQ9" s="549"/>
      <c r="GR9" s="549"/>
      <c r="GS9" s="549"/>
      <c r="GT9" s="549"/>
      <c r="GU9" s="549"/>
      <c r="HB9" s="549"/>
      <c r="HC9" s="549"/>
      <c r="HD9" s="549"/>
      <c r="HE9" s="549"/>
      <c r="HF9" s="549"/>
      <c r="HG9" s="549"/>
      <c r="HH9" s="549"/>
      <c r="HO9" s="549"/>
      <c r="HP9" s="549"/>
      <c r="HQ9" s="549"/>
      <c r="HR9" s="549"/>
      <c r="HS9" s="549"/>
      <c r="HT9" s="549"/>
      <c r="HU9" s="549"/>
      <c r="IB9" s="549"/>
      <c r="IC9" s="549"/>
      <c r="ID9" s="549"/>
      <c r="IE9" s="549"/>
      <c r="IF9" s="549"/>
      <c r="IG9" s="549"/>
      <c r="IH9" s="549"/>
      <c r="IO9" s="549"/>
      <c r="IP9" s="549"/>
      <c r="IQ9" s="549"/>
      <c r="IR9" s="549"/>
      <c r="IS9" s="549"/>
      <c r="IT9" s="549"/>
      <c r="IU9" s="549"/>
      <c r="JB9" s="549"/>
      <c r="JC9" s="549"/>
      <c r="JD9" s="549"/>
      <c r="JE9" s="549"/>
      <c r="JF9" s="549"/>
      <c r="JG9" s="549"/>
      <c r="JH9" s="549"/>
      <c r="JO9" s="549"/>
      <c r="JP9" s="549"/>
      <c r="JQ9" s="549"/>
      <c r="JR9" s="549"/>
      <c r="JS9" s="549"/>
      <c r="JT9" s="549"/>
      <c r="JU9" s="549"/>
      <c r="KB9" s="549"/>
      <c r="KC9" s="549"/>
      <c r="KD9" s="549"/>
      <c r="KE9" s="549"/>
      <c r="KF9" s="549"/>
      <c r="KG9" s="549"/>
      <c r="KH9" s="549"/>
      <c r="KO9" s="549"/>
      <c r="KP9" s="549"/>
      <c r="KQ9" s="549"/>
      <c r="KR9" s="549"/>
      <c r="KS9" s="549"/>
      <c r="KT9" s="549"/>
      <c r="KU9" s="549"/>
      <c r="LB9" s="549"/>
      <c r="LC9" s="549"/>
      <c r="LD9" s="549"/>
      <c r="LE9" s="549"/>
      <c r="LF9" s="549"/>
      <c r="LG9" s="549"/>
      <c r="LH9" s="549"/>
      <c r="LO9" s="549"/>
      <c r="LP9" s="549"/>
      <c r="LQ9" s="549"/>
      <c r="LR9" s="549"/>
      <c r="LS9" s="549"/>
      <c r="LT9" s="549"/>
      <c r="LU9" s="549"/>
      <c r="MB9" s="549"/>
      <c r="MC9" s="549"/>
      <c r="MD9" s="549"/>
      <c r="ME9" s="549"/>
      <c r="MF9" s="549"/>
      <c r="MG9" s="549"/>
      <c r="MH9" s="549"/>
      <c r="MO9" s="549"/>
      <c r="MP9" s="549"/>
      <c r="MQ9" s="549"/>
      <c r="MR9" s="549"/>
      <c r="MS9" s="549"/>
      <c r="MT9" s="549"/>
      <c r="MU9" s="549"/>
      <c r="NB9" s="549"/>
      <c r="NC9" s="549"/>
      <c r="ND9" s="549"/>
      <c r="NE9" s="549"/>
      <c r="NF9" s="549"/>
      <c r="NG9" s="549"/>
      <c r="NH9" s="549"/>
      <c r="NO9" s="549"/>
      <c r="NP9" s="549"/>
      <c r="NQ9" s="549"/>
      <c r="NR9" s="549"/>
      <c r="NS9" s="549"/>
      <c r="NT9" s="549"/>
      <c r="NU9" s="549"/>
    </row>
    <row r="10" spans="2:388" s="41" customFormat="1" ht="14.25" x14ac:dyDescent="0.2"/>
    <row r="11" spans="2:388" s="41" customFormat="1" ht="14.25" x14ac:dyDescent="0.2"/>
    <row r="12" spans="2:388" s="41" customFormat="1" ht="48.75" customHeight="1" x14ac:dyDescent="0.2">
      <c r="B12" s="522" t="s">
        <v>292</v>
      </c>
      <c r="C12" s="522"/>
      <c r="D12" s="522"/>
      <c r="E12" s="522"/>
      <c r="F12" s="522"/>
      <c r="H12" s="184" t="s">
        <v>95</v>
      </c>
      <c r="O12" s="526"/>
      <c r="P12" s="526"/>
      <c r="Q12" s="526"/>
      <c r="R12" s="526"/>
      <c r="S12" s="526"/>
      <c r="AB12" s="526"/>
      <c r="AC12" s="526"/>
      <c r="AD12" s="526"/>
      <c r="AE12" s="526"/>
      <c r="AF12" s="526"/>
      <c r="AO12" s="526"/>
      <c r="AP12" s="526"/>
      <c r="AQ12" s="526"/>
      <c r="AR12" s="526"/>
      <c r="AS12" s="526"/>
      <c r="BB12" s="526"/>
      <c r="BC12" s="526"/>
      <c r="BD12" s="526"/>
      <c r="BE12" s="526"/>
      <c r="BF12" s="526"/>
      <c r="BO12" s="526"/>
      <c r="BP12" s="526"/>
      <c r="BQ12" s="526"/>
      <c r="BR12" s="526"/>
      <c r="BS12" s="526"/>
      <c r="CB12" s="526"/>
      <c r="CC12" s="526"/>
      <c r="CD12" s="526"/>
      <c r="CE12" s="526"/>
      <c r="CF12" s="526"/>
      <c r="CO12" s="526"/>
      <c r="CP12" s="526"/>
      <c r="CQ12" s="526"/>
      <c r="CR12" s="526"/>
      <c r="CS12" s="526"/>
      <c r="DB12" s="526"/>
      <c r="DC12" s="526"/>
      <c r="DD12" s="526"/>
      <c r="DE12" s="526"/>
      <c r="DF12" s="526"/>
      <c r="DO12" s="526"/>
      <c r="DP12" s="526"/>
      <c r="DQ12" s="526"/>
      <c r="DR12" s="526"/>
      <c r="DS12" s="526"/>
      <c r="EB12" s="526"/>
      <c r="EC12" s="526"/>
      <c r="ED12" s="526"/>
      <c r="EE12" s="526"/>
      <c r="EF12" s="526"/>
      <c r="EO12" s="526"/>
      <c r="EP12" s="526"/>
      <c r="EQ12" s="526"/>
      <c r="ER12" s="526"/>
      <c r="ES12" s="526"/>
      <c r="FB12" s="526"/>
      <c r="FC12" s="526"/>
      <c r="FD12" s="526"/>
      <c r="FE12" s="526"/>
      <c r="FF12" s="526"/>
      <c r="FO12" s="526"/>
      <c r="FP12" s="526"/>
      <c r="FQ12" s="526"/>
      <c r="FR12" s="526"/>
      <c r="FS12" s="526"/>
      <c r="GB12" s="526"/>
      <c r="GC12" s="526"/>
      <c r="GD12" s="526"/>
      <c r="GE12" s="526"/>
      <c r="GF12" s="526"/>
      <c r="GO12" s="526"/>
      <c r="GP12" s="526"/>
      <c r="GQ12" s="526"/>
      <c r="GR12" s="526"/>
      <c r="GS12" s="526"/>
      <c r="HB12" s="526"/>
      <c r="HC12" s="526"/>
      <c r="HD12" s="526"/>
      <c r="HE12" s="526"/>
      <c r="HF12" s="526"/>
      <c r="HO12" s="526"/>
      <c r="HP12" s="526"/>
      <c r="HQ12" s="526"/>
      <c r="HR12" s="526"/>
      <c r="HS12" s="526"/>
      <c r="IB12" s="526"/>
      <c r="IC12" s="526"/>
      <c r="ID12" s="526"/>
      <c r="IE12" s="526"/>
      <c r="IF12" s="526"/>
      <c r="IO12" s="526"/>
      <c r="IP12" s="526"/>
      <c r="IQ12" s="526"/>
      <c r="IR12" s="526"/>
      <c r="IS12" s="526"/>
      <c r="JB12" s="526"/>
      <c r="JC12" s="526"/>
      <c r="JD12" s="526"/>
      <c r="JE12" s="526"/>
      <c r="JF12" s="526"/>
      <c r="JO12" s="526"/>
      <c r="JP12" s="526"/>
      <c r="JQ12" s="526"/>
      <c r="JR12" s="526"/>
      <c r="JS12" s="526"/>
      <c r="KB12" s="526"/>
      <c r="KC12" s="526"/>
      <c r="KD12" s="526"/>
      <c r="KE12" s="526"/>
      <c r="KF12" s="526"/>
      <c r="KO12" s="526"/>
      <c r="KP12" s="526"/>
      <c r="KQ12" s="526"/>
      <c r="KR12" s="526"/>
      <c r="KS12" s="526"/>
      <c r="LB12" s="526"/>
      <c r="LC12" s="526"/>
      <c r="LD12" s="526"/>
      <c r="LE12" s="526"/>
      <c r="LF12" s="526"/>
      <c r="LO12" s="526"/>
      <c r="LP12" s="526"/>
      <c r="LQ12" s="526"/>
      <c r="LR12" s="526"/>
      <c r="LS12" s="526"/>
      <c r="MB12" s="526"/>
      <c r="MC12" s="526"/>
      <c r="MD12" s="526"/>
      <c r="ME12" s="526"/>
      <c r="MF12" s="526"/>
      <c r="MO12" s="526"/>
      <c r="MP12" s="526"/>
      <c r="MQ12" s="526"/>
      <c r="MR12" s="526"/>
      <c r="MS12" s="526"/>
      <c r="NB12" s="526"/>
      <c r="NC12" s="526"/>
      <c r="ND12" s="526"/>
      <c r="NE12" s="526"/>
      <c r="NF12" s="526"/>
      <c r="NO12" s="526"/>
      <c r="NP12" s="526"/>
      <c r="NQ12" s="526"/>
      <c r="NR12" s="526"/>
      <c r="NS12" s="526"/>
    </row>
    <row r="13" spans="2:388" s="41" customFormat="1" ht="14.25" x14ac:dyDescent="0.2"/>
    <row r="14" spans="2:388" s="41" customFormat="1" ht="19.5" customHeight="1" x14ac:dyDescent="0.2">
      <c r="B14" s="506" t="s">
        <v>205</v>
      </c>
      <c r="C14" s="506"/>
      <c r="D14" s="506"/>
      <c r="E14" s="506"/>
      <c r="F14" s="506"/>
      <c r="G14" s="73"/>
      <c r="H14" s="197">
        <f>'Title Page'!F14</f>
        <v>0</v>
      </c>
      <c r="I14" s="88"/>
      <c r="O14" s="43"/>
      <c r="P14" s="43"/>
      <c r="Q14" s="43"/>
      <c r="R14" s="43"/>
      <c r="S14" s="43"/>
      <c r="T14" s="73"/>
      <c r="U14" s="73"/>
      <c r="AB14" s="527"/>
      <c r="AC14" s="527"/>
      <c r="AD14" s="527"/>
      <c r="AE14" s="527"/>
      <c r="AF14" s="527"/>
      <c r="AG14" s="73"/>
      <c r="AH14" s="73"/>
      <c r="AO14" s="527"/>
      <c r="AP14" s="527"/>
      <c r="AQ14" s="527"/>
      <c r="AR14" s="527"/>
      <c r="AS14" s="527"/>
      <c r="AT14" s="73"/>
      <c r="AU14" s="73"/>
      <c r="BB14" s="527"/>
      <c r="BC14" s="527"/>
      <c r="BD14" s="527"/>
      <c r="BE14" s="527"/>
      <c r="BF14" s="527"/>
      <c r="BG14" s="73"/>
      <c r="BH14" s="73"/>
      <c r="BO14" s="527"/>
      <c r="BP14" s="527"/>
      <c r="BQ14" s="527"/>
      <c r="BR14" s="527"/>
      <c r="BS14" s="527"/>
      <c r="BT14" s="73"/>
      <c r="BU14" s="73"/>
      <c r="CB14" s="527"/>
      <c r="CC14" s="527"/>
      <c r="CD14" s="527"/>
      <c r="CE14" s="527"/>
      <c r="CF14" s="527"/>
      <c r="CG14" s="73"/>
      <c r="CH14" s="73"/>
      <c r="CO14" s="527"/>
      <c r="CP14" s="527"/>
      <c r="CQ14" s="527"/>
      <c r="CR14" s="527"/>
      <c r="CS14" s="527"/>
      <c r="CT14" s="73"/>
      <c r="CU14" s="73"/>
      <c r="DB14" s="527"/>
      <c r="DC14" s="527"/>
      <c r="DD14" s="527"/>
      <c r="DE14" s="527"/>
      <c r="DF14" s="527"/>
      <c r="DG14" s="73"/>
      <c r="DH14" s="73"/>
      <c r="DO14" s="527"/>
      <c r="DP14" s="527"/>
      <c r="DQ14" s="527"/>
      <c r="DR14" s="527"/>
      <c r="DS14" s="527"/>
      <c r="DT14" s="73"/>
      <c r="DU14" s="73"/>
      <c r="EB14" s="527"/>
      <c r="EC14" s="527"/>
      <c r="ED14" s="527"/>
      <c r="EE14" s="527"/>
      <c r="EF14" s="527"/>
      <c r="EG14" s="73"/>
      <c r="EH14" s="73"/>
      <c r="EO14" s="527"/>
      <c r="EP14" s="527"/>
      <c r="EQ14" s="527"/>
      <c r="ER14" s="527"/>
      <c r="ES14" s="527"/>
      <c r="ET14" s="73"/>
      <c r="EU14" s="73"/>
      <c r="FB14" s="527"/>
      <c r="FC14" s="527"/>
      <c r="FD14" s="527"/>
      <c r="FE14" s="527"/>
      <c r="FF14" s="527"/>
      <c r="FG14" s="73"/>
      <c r="FH14" s="73"/>
      <c r="FO14" s="527"/>
      <c r="FP14" s="527"/>
      <c r="FQ14" s="527"/>
      <c r="FR14" s="527"/>
      <c r="FS14" s="527"/>
      <c r="FT14" s="73"/>
      <c r="FU14" s="73"/>
      <c r="GB14" s="527"/>
      <c r="GC14" s="527"/>
      <c r="GD14" s="527"/>
      <c r="GE14" s="527"/>
      <c r="GF14" s="527"/>
      <c r="GG14" s="73"/>
      <c r="GH14" s="73"/>
      <c r="GO14" s="527"/>
      <c r="GP14" s="527"/>
      <c r="GQ14" s="527"/>
      <c r="GR14" s="527"/>
      <c r="GS14" s="527"/>
      <c r="GT14" s="73"/>
      <c r="GU14" s="73"/>
      <c r="HB14" s="527"/>
      <c r="HC14" s="527"/>
      <c r="HD14" s="527"/>
      <c r="HE14" s="527"/>
      <c r="HF14" s="527"/>
      <c r="HG14" s="73"/>
      <c r="HH14" s="73"/>
      <c r="HO14" s="527"/>
      <c r="HP14" s="527"/>
      <c r="HQ14" s="527"/>
      <c r="HR14" s="527"/>
      <c r="HS14" s="527"/>
      <c r="HT14" s="73"/>
      <c r="HU14" s="73"/>
      <c r="IB14" s="527"/>
      <c r="IC14" s="527"/>
      <c r="ID14" s="527"/>
      <c r="IE14" s="527"/>
      <c r="IF14" s="527"/>
      <c r="IG14" s="73"/>
      <c r="IH14" s="73"/>
      <c r="IO14" s="527"/>
      <c r="IP14" s="527"/>
      <c r="IQ14" s="527"/>
      <c r="IR14" s="527"/>
      <c r="IS14" s="527"/>
      <c r="IT14" s="73"/>
      <c r="IU14" s="73"/>
      <c r="JB14" s="527"/>
      <c r="JC14" s="527"/>
      <c r="JD14" s="527"/>
      <c r="JE14" s="527"/>
      <c r="JF14" s="527"/>
      <c r="JG14" s="73"/>
      <c r="JH14" s="73"/>
      <c r="JO14" s="527"/>
      <c r="JP14" s="527"/>
      <c r="JQ14" s="527"/>
      <c r="JR14" s="527"/>
      <c r="JS14" s="527"/>
      <c r="JT14" s="73"/>
      <c r="JU14" s="73"/>
      <c r="KB14" s="527"/>
      <c r="KC14" s="527"/>
      <c r="KD14" s="527"/>
      <c r="KE14" s="527"/>
      <c r="KF14" s="527"/>
      <c r="KG14" s="73"/>
      <c r="KH14" s="73"/>
      <c r="KO14" s="527"/>
      <c r="KP14" s="527"/>
      <c r="KQ14" s="527"/>
      <c r="KR14" s="527"/>
      <c r="KS14" s="527"/>
      <c r="KT14" s="73"/>
      <c r="KU14" s="73"/>
      <c r="LB14" s="527"/>
      <c r="LC14" s="527"/>
      <c r="LD14" s="527"/>
      <c r="LE14" s="527"/>
      <c r="LF14" s="527"/>
      <c r="LG14" s="73"/>
      <c r="LH14" s="73"/>
      <c r="LO14" s="527"/>
      <c r="LP14" s="527"/>
      <c r="LQ14" s="527"/>
      <c r="LR14" s="527"/>
      <c r="LS14" s="527"/>
      <c r="LT14" s="73"/>
      <c r="LU14" s="73"/>
      <c r="MB14" s="527"/>
      <c r="MC14" s="527"/>
      <c r="MD14" s="527"/>
      <c r="ME14" s="527"/>
      <c r="MF14" s="527"/>
      <c r="MG14" s="73"/>
      <c r="MH14" s="73"/>
      <c r="MO14" s="527"/>
      <c r="MP14" s="527"/>
      <c r="MQ14" s="527"/>
      <c r="MR14" s="527"/>
      <c r="MS14" s="527"/>
      <c r="MT14" s="73"/>
      <c r="MU14" s="73"/>
      <c r="NB14" s="527"/>
      <c r="NC14" s="527"/>
      <c r="ND14" s="527"/>
      <c r="NE14" s="527"/>
      <c r="NF14" s="527"/>
      <c r="NG14" s="73"/>
      <c r="NH14" s="73"/>
      <c r="NO14" s="527"/>
      <c r="NP14" s="527"/>
      <c r="NQ14" s="527"/>
      <c r="NR14" s="527"/>
      <c r="NS14" s="527"/>
      <c r="NT14" s="73"/>
      <c r="NU14" s="73"/>
    </row>
    <row r="15" spans="2:388" s="41" customFormat="1" ht="14.25" x14ac:dyDescent="0.2">
      <c r="K15" s="87"/>
    </row>
    <row r="16" spans="2:388" s="41" customFormat="1" ht="43.5" customHeight="1" x14ac:dyDescent="0.2">
      <c r="B16" s="522" t="s">
        <v>293</v>
      </c>
      <c r="C16" s="506"/>
      <c r="D16" s="506"/>
      <c r="E16" s="506"/>
      <c r="F16" s="506"/>
      <c r="H16" s="198">
        <f>COUNTIF(I27:NV27,"Out*")</f>
        <v>0</v>
      </c>
      <c r="I16" s="199"/>
      <c r="J16" s="525" t="str">
        <f>IF(H16&lt;&gt;0, "States Identified:", "")</f>
        <v/>
      </c>
      <c r="K16" s="525"/>
      <c r="L16" s="200" t="str">
        <f>IF(OR(AND(I27&lt;&gt;"",V27&lt;&gt;"",AI27&lt;&gt;"",AV27&lt;&gt;"",BI27&lt;&gt;"",BV27&lt;&gt;"",CI27&lt;&gt;"",CV27&lt;&gt;"",DI27&lt;&gt;"",DV27&lt;&gt;"",EI27&lt;&gt;"",EV27&lt;&gt;"", FI27&lt;&gt;"",FV27&lt;&gt;"")), F30 &amp; ", " &amp; S30 &amp; ", " &amp; AF30 &amp; ", " &amp; AS30 &amp; ", " &amp; BF30 &amp; ", " &amp; BS30 &amp; ", " &amp; CF30 &amp; ", " &amp; CS30 &amp; ", " &amp; DF30 &amp; ", " &amp; DS30 &amp; ", " &amp; EF30 &amp; ", " &amp; ES30 &amp; ", " &amp; FF30 &amp; ", " &amp; FS30,IF(AND(I27&lt;&gt;"",V27="",AI27=""), F30,IF(AND(I27&lt;&gt;"",V27&lt;&gt;"",AI27=""), F30 &amp; ", " &amp; S30, "")))</f>
        <v/>
      </c>
      <c r="O16" s="44"/>
      <c r="P16" s="43"/>
      <c r="Q16" s="43"/>
      <c r="R16" s="43"/>
      <c r="S16" s="43"/>
      <c r="W16" s="43"/>
      <c r="AB16" s="523"/>
      <c r="AC16" s="524"/>
      <c r="AD16" s="524"/>
      <c r="AE16" s="524"/>
      <c r="AF16" s="524"/>
      <c r="AJ16" s="43"/>
      <c r="AO16" s="523"/>
      <c r="AP16" s="524"/>
      <c r="AQ16" s="524"/>
      <c r="AR16" s="524"/>
      <c r="AS16" s="524"/>
      <c r="AW16" s="43"/>
      <c r="BB16" s="523"/>
      <c r="BC16" s="524"/>
      <c r="BD16" s="524"/>
      <c r="BE16" s="524"/>
      <c r="BF16" s="524"/>
      <c r="BJ16" s="43"/>
      <c r="BO16" s="523"/>
      <c r="BP16" s="524"/>
      <c r="BQ16" s="524"/>
      <c r="BR16" s="524"/>
      <c r="BS16" s="524"/>
      <c r="BW16" s="43"/>
      <c r="CB16" s="523"/>
      <c r="CC16" s="524"/>
      <c r="CD16" s="524"/>
      <c r="CE16" s="524"/>
      <c r="CF16" s="524"/>
      <c r="CJ16" s="43"/>
      <c r="CO16" s="523"/>
      <c r="CP16" s="524"/>
      <c r="CQ16" s="524"/>
      <c r="CR16" s="524"/>
      <c r="CS16" s="524"/>
      <c r="CW16" s="43"/>
      <c r="DB16" s="523"/>
      <c r="DC16" s="524"/>
      <c r="DD16" s="524"/>
      <c r="DE16" s="524"/>
      <c r="DF16" s="524"/>
      <c r="DJ16" s="43"/>
      <c r="DO16" s="523"/>
      <c r="DP16" s="524"/>
      <c r="DQ16" s="524"/>
      <c r="DR16" s="524"/>
      <c r="DS16" s="524"/>
      <c r="DW16" s="43"/>
      <c r="EB16" s="523"/>
      <c r="EC16" s="524"/>
      <c r="ED16" s="524"/>
      <c r="EE16" s="524"/>
      <c r="EF16" s="524"/>
      <c r="EJ16" s="43"/>
      <c r="EO16" s="523"/>
      <c r="EP16" s="524"/>
      <c r="EQ16" s="524"/>
      <c r="ER16" s="524"/>
      <c r="ES16" s="524"/>
      <c r="EW16" s="43"/>
      <c r="FB16" s="523"/>
      <c r="FC16" s="524"/>
      <c r="FD16" s="524"/>
      <c r="FE16" s="524"/>
      <c r="FF16" s="524"/>
      <c r="FJ16" s="43"/>
      <c r="FO16" s="523"/>
      <c r="FP16" s="524"/>
      <c r="FQ16" s="524"/>
      <c r="FR16" s="524"/>
      <c r="FS16" s="524"/>
      <c r="FW16" s="43"/>
      <c r="GB16" s="523"/>
      <c r="GC16" s="524"/>
      <c r="GD16" s="524"/>
      <c r="GE16" s="524"/>
      <c r="GF16" s="524"/>
      <c r="GJ16" s="43"/>
      <c r="GO16" s="523"/>
      <c r="GP16" s="524"/>
      <c r="GQ16" s="524"/>
      <c r="GR16" s="524"/>
      <c r="GS16" s="524"/>
      <c r="GW16" s="43"/>
      <c r="HB16" s="523"/>
      <c r="HC16" s="524"/>
      <c r="HD16" s="524"/>
      <c r="HE16" s="524"/>
      <c r="HF16" s="524"/>
      <c r="HJ16" s="43"/>
      <c r="HO16" s="523"/>
      <c r="HP16" s="524"/>
      <c r="HQ16" s="524"/>
      <c r="HR16" s="524"/>
      <c r="HS16" s="524"/>
      <c r="HW16" s="43"/>
      <c r="IB16" s="523"/>
      <c r="IC16" s="524"/>
      <c r="ID16" s="524"/>
      <c r="IE16" s="524"/>
      <c r="IF16" s="524"/>
      <c r="IJ16" s="43"/>
      <c r="IO16" s="523"/>
      <c r="IP16" s="524"/>
      <c r="IQ16" s="524"/>
      <c r="IR16" s="524"/>
      <c r="IS16" s="524"/>
      <c r="IW16" s="43"/>
      <c r="JB16" s="523"/>
      <c r="JC16" s="524"/>
      <c r="JD16" s="524"/>
      <c r="JE16" s="524"/>
      <c r="JF16" s="524"/>
      <c r="JJ16" s="43"/>
      <c r="JO16" s="523"/>
      <c r="JP16" s="524"/>
      <c r="JQ16" s="524"/>
      <c r="JR16" s="524"/>
      <c r="JS16" s="524"/>
      <c r="JW16" s="43"/>
      <c r="KB16" s="523"/>
      <c r="KC16" s="524"/>
      <c r="KD16" s="524"/>
      <c r="KE16" s="524"/>
      <c r="KF16" s="524"/>
      <c r="KJ16" s="43"/>
      <c r="KO16" s="523"/>
      <c r="KP16" s="524"/>
      <c r="KQ16" s="524"/>
      <c r="KR16" s="524"/>
      <c r="KS16" s="524"/>
      <c r="KW16" s="43"/>
      <c r="LB16" s="523"/>
      <c r="LC16" s="524"/>
      <c r="LD16" s="524"/>
      <c r="LE16" s="524"/>
      <c r="LF16" s="524"/>
      <c r="LJ16" s="43"/>
      <c r="LO16" s="523"/>
      <c r="LP16" s="524"/>
      <c r="LQ16" s="524"/>
      <c r="LR16" s="524"/>
      <c r="LS16" s="524"/>
      <c r="LW16" s="43"/>
      <c r="MB16" s="523"/>
      <c r="MC16" s="524"/>
      <c r="MD16" s="524"/>
      <c r="ME16" s="524"/>
      <c r="MF16" s="524"/>
      <c r="MJ16" s="43"/>
      <c r="MO16" s="523"/>
      <c r="MP16" s="524"/>
      <c r="MQ16" s="524"/>
      <c r="MR16" s="524"/>
      <c r="MS16" s="524"/>
      <c r="MW16" s="43"/>
      <c r="NB16" s="523"/>
      <c r="NC16" s="524"/>
      <c r="ND16" s="524"/>
      <c r="NE16" s="524"/>
      <c r="NF16" s="524"/>
      <c r="NJ16" s="43"/>
      <c r="NO16" s="523"/>
      <c r="NP16" s="524"/>
      <c r="NQ16" s="524"/>
      <c r="NR16" s="524"/>
      <c r="NS16" s="524"/>
      <c r="NW16" s="43"/>
    </row>
    <row r="17" spans="2:400" s="41" customFormat="1" ht="14.25" x14ac:dyDescent="0.2"/>
    <row r="18" spans="2:400" s="41" customFormat="1" ht="14.25" x14ac:dyDescent="0.2">
      <c r="K18" s="87"/>
    </row>
    <row r="19" spans="2:400" s="41" customFormat="1" ht="43.5" customHeight="1" x14ac:dyDescent="0.2">
      <c r="B19" s="522" t="s">
        <v>371</v>
      </c>
      <c r="C19" s="506"/>
      <c r="D19" s="506"/>
      <c r="E19" s="506"/>
      <c r="F19" s="506"/>
      <c r="H19" s="198">
        <f>COUNTIF(F34:NS34,"Pend*")</f>
        <v>0</v>
      </c>
      <c r="I19" s="199"/>
      <c r="J19" s="525" t="str">
        <f>IF(H19&lt;&gt;0, "States Identified:", "")</f>
        <v/>
      </c>
      <c r="K19" s="525"/>
      <c r="L19" s="200" t="str">
        <f>IF(OR(AND(I30&lt;&gt;"",V30&lt;&gt;"",AI30&lt;&gt;"",AV30&lt;&gt;"",BI30&lt;&gt;"",BV30&lt;&gt;"",CI30&lt;&gt;"",CV30&lt;&gt;"",DI30&lt;&gt;"",DV30&lt;&gt;"",EI30&lt;&gt;"",EV30&lt;&gt;"", FI30&lt;&gt;"",FV30&lt;&gt;"")), F33 &amp; ", " &amp; S33 &amp; ", " &amp; AF33 &amp; ", " &amp; AS33 &amp; ", " &amp; BF33 &amp; ", " &amp; BS33 &amp; ", " &amp; CF33 &amp; ", " &amp; CS33 &amp; ", " &amp; DF33 &amp; ", " &amp; DS33 &amp; ", " &amp; EF33 &amp; ", " &amp; ES33 &amp; ", " &amp; FF33 &amp; ", " &amp; FS33,IF(AND(I30&lt;&gt;"",V30="",AI30=""), F33,IF(AND(I30&lt;&gt;"",V30&lt;&gt;"",AI30=""), F33 &amp; ", " &amp; S33, "")))</f>
        <v/>
      </c>
      <c r="O19" s="44"/>
      <c r="P19" s="43"/>
      <c r="Q19" s="43"/>
      <c r="R19" s="43"/>
      <c r="S19" s="43"/>
      <c r="W19" s="43"/>
      <c r="AB19" s="523"/>
      <c r="AC19" s="524"/>
      <c r="AD19" s="524"/>
      <c r="AE19" s="524"/>
      <c r="AF19" s="524"/>
      <c r="AJ19" s="43"/>
      <c r="AO19" s="523"/>
      <c r="AP19" s="524"/>
      <c r="AQ19" s="524"/>
      <c r="AR19" s="524"/>
      <c r="AS19" s="524"/>
      <c r="AW19" s="43"/>
      <c r="BB19" s="523"/>
      <c r="BC19" s="524"/>
      <c r="BD19" s="524"/>
      <c r="BE19" s="524"/>
      <c r="BF19" s="524"/>
      <c r="BJ19" s="43"/>
      <c r="BO19" s="523"/>
      <c r="BP19" s="524"/>
      <c r="BQ19" s="524"/>
      <c r="BR19" s="524"/>
      <c r="BS19" s="524"/>
      <c r="BW19" s="43"/>
      <c r="CB19" s="523"/>
      <c r="CC19" s="524"/>
      <c r="CD19" s="524"/>
      <c r="CE19" s="524"/>
      <c r="CF19" s="524"/>
      <c r="CJ19" s="43"/>
      <c r="CO19" s="523"/>
      <c r="CP19" s="524"/>
      <c r="CQ19" s="524"/>
      <c r="CR19" s="524"/>
      <c r="CS19" s="524"/>
      <c r="CW19" s="43"/>
      <c r="DB19" s="523"/>
      <c r="DC19" s="524"/>
      <c r="DD19" s="524"/>
      <c r="DE19" s="524"/>
      <c r="DF19" s="524"/>
      <c r="DJ19" s="43"/>
      <c r="DO19" s="523"/>
      <c r="DP19" s="524"/>
      <c r="DQ19" s="524"/>
      <c r="DR19" s="524"/>
      <c r="DS19" s="524"/>
      <c r="DW19" s="43"/>
      <c r="EB19" s="523"/>
      <c r="EC19" s="524"/>
      <c r="ED19" s="524"/>
      <c r="EE19" s="524"/>
      <c r="EF19" s="524"/>
      <c r="EJ19" s="43"/>
      <c r="EO19" s="523"/>
      <c r="EP19" s="524"/>
      <c r="EQ19" s="524"/>
      <c r="ER19" s="524"/>
      <c r="ES19" s="524"/>
      <c r="EW19" s="43"/>
      <c r="FB19" s="523"/>
      <c r="FC19" s="524"/>
      <c r="FD19" s="524"/>
      <c r="FE19" s="524"/>
      <c r="FF19" s="524"/>
      <c r="FJ19" s="43"/>
      <c r="FO19" s="523"/>
      <c r="FP19" s="524"/>
      <c r="FQ19" s="524"/>
      <c r="FR19" s="524"/>
      <c r="FS19" s="524"/>
      <c r="FW19" s="43"/>
      <c r="GB19" s="523"/>
      <c r="GC19" s="524"/>
      <c r="GD19" s="524"/>
      <c r="GE19" s="524"/>
      <c r="GF19" s="524"/>
      <c r="GJ19" s="43"/>
      <c r="GO19" s="523"/>
      <c r="GP19" s="524"/>
      <c r="GQ19" s="524"/>
      <c r="GR19" s="524"/>
      <c r="GS19" s="524"/>
      <c r="GW19" s="43"/>
      <c r="HB19" s="523"/>
      <c r="HC19" s="524"/>
      <c r="HD19" s="524"/>
      <c r="HE19" s="524"/>
      <c r="HF19" s="524"/>
      <c r="HJ19" s="43"/>
      <c r="HO19" s="523"/>
      <c r="HP19" s="524"/>
      <c r="HQ19" s="524"/>
      <c r="HR19" s="524"/>
      <c r="HS19" s="524"/>
      <c r="HW19" s="43"/>
      <c r="IB19" s="523"/>
      <c r="IC19" s="524"/>
      <c r="ID19" s="524"/>
      <c r="IE19" s="524"/>
      <c r="IF19" s="524"/>
      <c r="IJ19" s="43"/>
      <c r="IO19" s="523"/>
      <c r="IP19" s="524"/>
      <c r="IQ19" s="524"/>
      <c r="IR19" s="524"/>
      <c r="IS19" s="524"/>
      <c r="IW19" s="43"/>
      <c r="JB19" s="523"/>
      <c r="JC19" s="524"/>
      <c r="JD19" s="524"/>
      <c r="JE19" s="524"/>
      <c r="JF19" s="524"/>
      <c r="JJ19" s="43"/>
      <c r="JO19" s="523"/>
      <c r="JP19" s="524"/>
      <c r="JQ19" s="524"/>
      <c r="JR19" s="524"/>
      <c r="JS19" s="524"/>
      <c r="JW19" s="43"/>
      <c r="KB19" s="523"/>
      <c r="KC19" s="524"/>
      <c r="KD19" s="524"/>
      <c r="KE19" s="524"/>
      <c r="KF19" s="524"/>
      <c r="KJ19" s="43"/>
      <c r="KO19" s="523"/>
      <c r="KP19" s="524"/>
      <c r="KQ19" s="524"/>
      <c r="KR19" s="524"/>
      <c r="KS19" s="524"/>
      <c r="KW19" s="43"/>
      <c r="LB19" s="523"/>
      <c r="LC19" s="524"/>
      <c r="LD19" s="524"/>
      <c r="LE19" s="524"/>
      <c r="LF19" s="524"/>
      <c r="LJ19" s="43"/>
      <c r="LO19" s="523"/>
      <c r="LP19" s="524"/>
      <c r="LQ19" s="524"/>
      <c r="LR19" s="524"/>
      <c r="LS19" s="524"/>
      <c r="LW19" s="43"/>
      <c r="MB19" s="523"/>
      <c r="MC19" s="524"/>
      <c r="MD19" s="524"/>
      <c r="ME19" s="524"/>
      <c r="MF19" s="524"/>
      <c r="MJ19" s="43"/>
      <c r="MO19" s="523"/>
      <c r="MP19" s="524"/>
      <c r="MQ19" s="524"/>
      <c r="MR19" s="524"/>
      <c r="MS19" s="524"/>
      <c r="MW19" s="43"/>
      <c r="NB19" s="523"/>
      <c r="NC19" s="524"/>
      <c r="ND19" s="524"/>
      <c r="NE19" s="524"/>
      <c r="NF19" s="524"/>
      <c r="NJ19" s="43"/>
      <c r="NO19" s="523"/>
      <c r="NP19" s="524"/>
      <c r="NQ19" s="524"/>
      <c r="NR19" s="524"/>
      <c r="NS19" s="524"/>
      <c r="NW19" s="43"/>
    </row>
    <row r="20" spans="2:400" s="41" customFormat="1" ht="14.25" x14ac:dyDescent="0.2"/>
    <row r="21" spans="2:400" s="41" customFormat="1" ht="57.75" customHeight="1" x14ac:dyDescent="0.2">
      <c r="B21" s="547" t="s">
        <v>413</v>
      </c>
      <c r="C21" s="547"/>
      <c r="D21" s="547"/>
      <c r="E21" s="547"/>
      <c r="F21" s="547"/>
      <c r="G21" s="547"/>
      <c r="H21" s="547"/>
      <c r="I21" s="547"/>
    </row>
    <row r="22" spans="2:400" s="41" customFormat="1" ht="14.25" x14ac:dyDescent="0.2"/>
    <row r="23" spans="2:400" s="41" customFormat="1" ht="60" customHeight="1" x14ac:dyDescent="0.2">
      <c r="B23" s="548" t="s">
        <v>412</v>
      </c>
      <c r="C23" s="548"/>
      <c r="D23" s="548"/>
      <c r="E23" s="548"/>
      <c r="F23" s="548"/>
      <c r="G23" s="548"/>
      <c r="H23" s="548"/>
      <c r="I23" s="548"/>
      <c r="O23" s="546"/>
      <c r="P23" s="546"/>
      <c r="Q23" s="546"/>
      <c r="R23" s="546"/>
      <c r="S23" s="546"/>
      <c r="T23" s="546"/>
      <c r="U23" s="546"/>
      <c r="AB23" s="546"/>
      <c r="AC23" s="546"/>
      <c r="AD23" s="546"/>
      <c r="AE23" s="546"/>
      <c r="AF23" s="546"/>
      <c r="AG23" s="546"/>
      <c r="AH23" s="546"/>
      <c r="AO23" s="546"/>
      <c r="AP23" s="546"/>
      <c r="AQ23" s="546"/>
      <c r="AR23" s="546"/>
      <c r="AS23" s="546"/>
      <c r="AT23" s="546"/>
      <c r="AU23" s="546"/>
      <c r="BB23" s="546"/>
      <c r="BC23" s="546"/>
      <c r="BD23" s="546"/>
      <c r="BE23" s="546"/>
      <c r="BF23" s="546"/>
      <c r="BG23" s="546"/>
      <c r="BH23" s="546"/>
      <c r="BO23" s="546"/>
      <c r="BP23" s="546"/>
      <c r="BQ23" s="546"/>
      <c r="BR23" s="546"/>
      <c r="BS23" s="546"/>
      <c r="BT23" s="546"/>
      <c r="BU23" s="546"/>
      <c r="CB23" s="546"/>
      <c r="CC23" s="546"/>
      <c r="CD23" s="546"/>
      <c r="CE23" s="546"/>
      <c r="CF23" s="546"/>
      <c r="CG23" s="546"/>
      <c r="CH23" s="546"/>
      <c r="CO23" s="546"/>
      <c r="CP23" s="546"/>
      <c r="CQ23" s="546"/>
      <c r="CR23" s="546"/>
      <c r="CS23" s="546"/>
      <c r="CT23" s="546"/>
      <c r="CU23" s="546"/>
      <c r="CV23" s="201"/>
      <c r="CW23" s="201"/>
      <c r="CX23" s="201"/>
      <c r="CY23" s="201"/>
      <c r="DB23" s="546"/>
      <c r="DC23" s="546"/>
      <c r="DD23" s="546"/>
      <c r="DE23" s="546"/>
      <c r="DF23" s="546"/>
      <c r="DG23" s="546"/>
      <c r="DH23" s="546"/>
      <c r="DI23" s="201"/>
      <c r="DJ23" s="201"/>
      <c r="DK23" s="201"/>
      <c r="DL23" s="201"/>
      <c r="DO23" s="546"/>
      <c r="DP23" s="546"/>
      <c r="DQ23" s="546"/>
      <c r="DR23" s="546"/>
      <c r="DS23" s="546"/>
      <c r="DT23" s="546"/>
      <c r="DU23" s="546"/>
      <c r="DV23" s="201"/>
      <c r="DW23" s="201"/>
      <c r="DX23" s="201"/>
      <c r="DY23" s="201"/>
      <c r="EB23" s="546"/>
      <c r="EC23" s="546"/>
      <c r="ED23" s="546"/>
      <c r="EE23" s="546"/>
      <c r="EF23" s="546"/>
      <c r="EG23" s="546"/>
      <c r="EH23" s="546"/>
      <c r="EI23" s="201"/>
      <c r="EJ23" s="201"/>
      <c r="EK23" s="201"/>
      <c r="EL23" s="201"/>
      <c r="EO23" s="546"/>
      <c r="EP23" s="546"/>
      <c r="EQ23" s="546"/>
      <c r="ER23" s="546"/>
      <c r="ES23" s="546"/>
      <c r="ET23" s="546"/>
      <c r="EU23" s="546"/>
      <c r="EV23" s="201"/>
      <c r="EW23" s="201"/>
      <c r="EX23" s="201"/>
      <c r="EY23" s="201"/>
      <c r="FB23" s="546"/>
      <c r="FC23" s="546"/>
      <c r="FD23" s="546"/>
      <c r="FE23" s="546"/>
      <c r="FF23" s="546"/>
      <c r="FG23" s="546"/>
      <c r="FH23" s="546"/>
      <c r="FI23" s="201"/>
      <c r="FJ23" s="201"/>
      <c r="FK23" s="201"/>
      <c r="FL23" s="201"/>
      <c r="FO23" s="546"/>
      <c r="FP23" s="546"/>
      <c r="FQ23" s="546"/>
      <c r="FR23" s="546"/>
      <c r="FS23" s="546"/>
      <c r="FT23" s="546"/>
      <c r="FU23" s="546"/>
      <c r="FV23" s="201"/>
      <c r="FW23" s="201"/>
      <c r="FX23" s="201"/>
      <c r="FY23" s="201"/>
      <c r="GB23" s="546"/>
      <c r="GC23" s="546"/>
      <c r="GD23" s="546"/>
      <c r="GE23" s="546"/>
      <c r="GF23" s="546"/>
      <c r="GG23" s="546"/>
      <c r="GH23" s="546"/>
      <c r="GI23" s="201"/>
      <c r="GJ23" s="201"/>
      <c r="GK23" s="201"/>
      <c r="GL23" s="201"/>
      <c r="GO23" s="546"/>
      <c r="GP23" s="546"/>
      <c r="GQ23" s="546"/>
      <c r="GR23" s="546"/>
      <c r="GS23" s="546"/>
      <c r="GT23" s="546"/>
      <c r="GU23" s="546"/>
      <c r="GV23" s="201"/>
      <c r="GW23" s="201"/>
      <c r="GX23" s="201"/>
      <c r="GY23" s="201"/>
      <c r="HB23" s="546"/>
      <c r="HC23" s="546"/>
      <c r="HD23" s="546"/>
      <c r="HE23" s="546"/>
      <c r="HF23" s="546"/>
      <c r="HG23" s="546"/>
      <c r="HH23" s="546"/>
      <c r="HI23" s="201"/>
      <c r="HJ23" s="201"/>
      <c r="HK23" s="201"/>
      <c r="HL23" s="201"/>
      <c r="HO23" s="546"/>
      <c r="HP23" s="546"/>
      <c r="HQ23" s="546"/>
      <c r="HR23" s="546"/>
      <c r="HS23" s="546"/>
      <c r="HT23" s="546"/>
      <c r="HU23" s="546"/>
      <c r="HV23" s="201"/>
      <c r="HW23" s="201"/>
      <c r="HX23" s="201"/>
      <c r="HY23" s="201"/>
      <c r="IB23" s="546"/>
      <c r="IC23" s="546"/>
      <c r="ID23" s="546"/>
      <c r="IE23" s="546"/>
      <c r="IF23" s="546"/>
      <c r="IG23" s="546"/>
      <c r="IH23" s="546"/>
      <c r="II23" s="201"/>
      <c r="IJ23" s="201"/>
      <c r="IK23" s="201"/>
      <c r="IL23" s="201"/>
      <c r="IO23" s="546"/>
      <c r="IP23" s="546"/>
      <c r="IQ23" s="546"/>
      <c r="IR23" s="546"/>
      <c r="IS23" s="546"/>
      <c r="IT23" s="546"/>
      <c r="IU23" s="546"/>
      <c r="IV23" s="201"/>
      <c r="IW23" s="201"/>
      <c r="IX23" s="201"/>
      <c r="IY23" s="201"/>
      <c r="JB23" s="546"/>
      <c r="JC23" s="546"/>
      <c r="JD23" s="546"/>
      <c r="JE23" s="546"/>
      <c r="JF23" s="546"/>
      <c r="JG23" s="546"/>
      <c r="JH23" s="546"/>
      <c r="JI23" s="201"/>
      <c r="JJ23" s="201"/>
      <c r="JK23" s="201"/>
      <c r="JL23" s="201"/>
      <c r="JO23" s="546"/>
      <c r="JP23" s="546"/>
      <c r="JQ23" s="546"/>
      <c r="JR23" s="546"/>
      <c r="JS23" s="546"/>
      <c r="JT23" s="546"/>
      <c r="JU23" s="546"/>
      <c r="JV23" s="201"/>
      <c r="JW23" s="201"/>
      <c r="JX23" s="201"/>
      <c r="JY23" s="201"/>
      <c r="KB23" s="546"/>
      <c r="KC23" s="546"/>
      <c r="KD23" s="546"/>
      <c r="KE23" s="546"/>
      <c r="KF23" s="546"/>
      <c r="KG23" s="546"/>
      <c r="KH23" s="546"/>
      <c r="KI23" s="201"/>
      <c r="KJ23" s="201"/>
      <c r="KK23" s="201"/>
      <c r="KL23" s="201"/>
      <c r="KO23" s="546"/>
      <c r="KP23" s="546"/>
      <c r="KQ23" s="546"/>
      <c r="KR23" s="546"/>
      <c r="KS23" s="546"/>
      <c r="KT23" s="546"/>
      <c r="KU23" s="546"/>
      <c r="KV23" s="201"/>
      <c r="KW23" s="201"/>
      <c r="KX23" s="201"/>
      <c r="KY23" s="201"/>
      <c r="LB23" s="546"/>
      <c r="LC23" s="546"/>
      <c r="LD23" s="546"/>
      <c r="LE23" s="546"/>
      <c r="LF23" s="546"/>
      <c r="LG23" s="546"/>
      <c r="LH23" s="546"/>
      <c r="LI23" s="201"/>
      <c r="LJ23" s="201"/>
      <c r="LK23" s="201"/>
      <c r="LL23" s="201"/>
      <c r="LO23" s="546"/>
      <c r="LP23" s="546"/>
      <c r="LQ23" s="546"/>
      <c r="LR23" s="546"/>
      <c r="LS23" s="546"/>
      <c r="LT23" s="546"/>
      <c r="LU23" s="546"/>
      <c r="LV23" s="201"/>
      <c r="LW23" s="201"/>
      <c r="LX23" s="201"/>
      <c r="LY23" s="201"/>
      <c r="MB23" s="546"/>
      <c r="MC23" s="546"/>
      <c r="MD23" s="546"/>
      <c r="ME23" s="546"/>
      <c r="MF23" s="546"/>
      <c r="MG23" s="546"/>
      <c r="MH23" s="546"/>
      <c r="MI23" s="201"/>
      <c r="MJ23" s="201"/>
      <c r="MK23" s="201"/>
      <c r="ML23" s="201"/>
      <c r="MO23" s="546"/>
      <c r="MP23" s="546"/>
      <c r="MQ23" s="546"/>
      <c r="MR23" s="546"/>
      <c r="MS23" s="546"/>
      <c r="MT23" s="546"/>
      <c r="MU23" s="546"/>
      <c r="NB23" s="546"/>
      <c r="NC23" s="546"/>
      <c r="ND23" s="546"/>
      <c r="NE23" s="546"/>
      <c r="NF23" s="546"/>
      <c r="NG23" s="546"/>
      <c r="NH23" s="546"/>
      <c r="NO23" s="546"/>
      <c r="NP23" s="546"/>
      <c r="NQ23" s="546"/>
      <c r="NR23" s="546"/>
      <c r="NS23" s="546"/>
      <c r="NT23" s="546"/>
      <c r="NU23" s="546"/>
      <c r="OA23" s="63" t="s">
        <v>213</v>
      </c>
      <c r="OB23" s="115" t="str">
        <f>IF(ISNUMBER(MATCH(1,G30:NT30,0)), "Yes", "")</f>
        <v/>
      </c>
      <c r="OC23" s="63" t="s">
        <v>223</v>
      </c>
      <c r="OD23" s="115" t="str">
        <f>IF(ISNUMBER(MATCH(13,G30:NT30,0)), "Yes", "")</f>
        <v/>
      </c>
      <c r="OE23" s="63" t="s">
        <v>235</v>
      </c>
      <c r="OF23" s="115" t="str">
        <f>IF(ISNUMBER(MATCH(25,G30:NT30,0)), "Yes", "")</f>
        <v/>
      </c>
      <c r="OG23" s="63" t="s">
        <v>247</v>
      </c>
      <c r="OH23" s="115" t="str">
        <f>IF(ISNUMBER(MATCH(37,G30:NT30,0)), "Yes", "")</f>
        <v/>
      </c>
      <c r="OI23" s="63" t="s">
        <v>259</v>
      </c>
      <c r="OJ23" s="115" t="str">
        <f>IF(ISNUMBER(MATCH(48,G30:NT30,0)), "Yes", "")</f>
        <v/>
      </c>
    </row>
    <row r="24" spans="2:400" s="41" customFormat="1" ht="14.25" x14ac:dyDescent="0.2">
      <c r="OA24" s="63" t="s">
        <v>212</v>
      </c>
      <c r="OB24" s="115" t="str">
        <f>IF(ISNUMBER(MATCH(2,G30:NT30,0)), "Yes", "")</f>
        <v/>
      </c>
      <c r="OC24" s="63" t="s">
        <v>224</v>
      </c>
      <c r="OD24" s="115" t="str">
        <f>IF(ISNUMBER(MATCH(14,G30:NT30,0)), "Yes", "")</f>
        <v/>
      </c>
      <c r="OE24" s="63" t="s">
        <v>236</v>
      </c>
      <c r="OF24" s="115" t="str">
        <f>IF(ISNUMBER(MATCH(26,G30:NT30,0)), "Yes", "")</f>
        <v/>
      </c>
      <c r="OG24" s="63" t="s">
        <v>248</v>
      </c>
      <c r="OH24" s="115" t="str">
        <f>IF(ISNUMBER(MATCH(38,G30:NT30,0)), "Yes", "")</f>
        <v/>
      </c>
      <c r="OI24" s="63" t="s">
        <v>260</v>
      </c>
      <c r="OJ24" s="115" t="str">
        <f>IF(ISNUMBER(MATCH(49,G30:NT30,0)), "Yes", "")</f>
        <v/>
      </c>
    </row>
    <row r="25" spans="2:400" s="41" customFormat="1" ht="18" x14ac:dyDescent="0.2">
      <c r="B25" s="532" t="str">
        <f>IF(AND($H$12&gt;=1, $H$12&lt;&gt;"Please Select"),"Active Clinical Data Form Number C1","")</f>
        <v/>
      </c>
      <c r="C25" s="532"/>
      <c r="D25" s="532"/>
      <c r="E25" s="532"/>
      <c r="F25" s="532"/>
      <c r="G25" s="532"/>
      <c r="H25" s="532"/>
      <c r="O25" s="532" t="str">
        <f>IF(AND($H$12&gt;=2, $H$12&lt;&gt;"Please Select"),"Active Clinical Data Form Number C2","")</f>
        <v/>
      </c>
      <c r="P25" s="532"/>
      <c r="Q25" s="532"/>
      <c r="R25" s="532"/>
      <c r="S25" s="532"/>
      <c r="T25" s="532"/>
      <c r="U25" s="532"/>
      <c r="AB25" s="532" t="str">
        <f>IF(AND($H$12&gt;=3, $H$12&lt;&gt;"Please Select"),"Active Clinical Data Form Number C3","")</f>
        <v/>
      </c>
      <c r="AC25" s="532"/>
      <c r="AD25" s="532"/>
      <c r="AE25" s="532"/>
      <c r="AF25" s="532"/>
      <c r="AG25" s="532"/>
      <c r="AH25" s="532"/>
      <c r="AO25" s="532" t="str">
        <f>IF(AND($H$12&gt;=4, $H$12&lt;&gt;"Please Select"),"Active Clinical Data Form Number C4","")</f>
        <v/>
      </c>
      <c r="AP25" s="532"/>
      <c r="AQ25" s="532"/>
      <c r="AR25" s="532"/>
      <c r="AS25" s="532"/>
      <c r="AT25" s="532"/>
      <c r="AU25" s="532"/>
      <c r="BB25" s="532" t="str">
        <f>IF(AND($H$12&gt;=5, $H$12&lt;&gt;"Please Select"),"Active Clinical Data Form Number C5","")</f>
        <v/>
      </c>
      <c r="BC25" s="532"/>
      <c r="BD25" s="532"/>
      <c r="BE25" s="532"/>
      <c r="BF25" s="532"/>
      <c r="BG25" s="532"/>
      <c r="BH25" s="532"/>
      <c r="BO25" s="532" t="str">
        <f>IF(AND($H$12&gt;=6, $H$12&lt;&gt;"Please Select"),"Active Clinical Data Form Number C6","")</f>
        <v/>
      </c>
      <c r="BP25" s="532"/>
      <c r="BQ25" s="532"/>
      <c r="BR25" s="532"/>
      <c r="BS25" s="532"/>
      <c r="BT25" s="532"/>
      <c r="BU25" s="532"/>
      <c r="CB25" s="532" t="str">
        <f>IF(AND($H$12&gt;=7, $H$12&lt;&gt;"Please Select"),"Active Clinical Data Form Number C7","")</f>
        <v/>
      </c>
      <c r="CC25" s="532"/>
      <c r="CD25" s="532"/>
      <c r="CE25" s="532"/>
      <c r="CF25" s="532"/>
      <c r="CG25" s="532"/>
      <c r="CH25" s="532"/>
      <c r="CO25" s="532" t="str">
        <f>IF(AND($H$12&gt;=8, $H$12&lt;&gt;"Please Select"),"Active Clinical Data Form Number C8","")</f>
        <v/>
      </c>
      <c r="CP25" s="532"/>
      <c r="CQ25" s="532"/>
      <c r="CR25" s="532"/>
      <c r="CS25" s="532"/>
      <c r="CT25" s="532"/>
      <c r="CU25" s="532"/>
      <c r="DB25" s="532" t="str">
        <f>IF(AND($H$12&gt;=9, $H$12&lt;&gt;"Please Select"),"Active Clinical Data Form Number C9","")</f>
        <v/>
      </c>
      <c r="DC25" s="532"/>
      <c r="DD25" s="532"/>
      <c r="DE25" s="532"/>
      <c r="DF25" s="532"/>
      <c r="DG25" s="532"/>
      <c r="DH25" s="532"/>
      <c r="DO25" s="532" t="str">
        <f>IF(AND($H$12&gt;=10, $H$12&lt;&gt;"Please Select"),"Active Clinical Data Form Number C10","")</f>
        <v/>
      </c>
      <c r="DP25" s="532"/>
      <c r="DQ25" s="532"/>
      <c r="DR25" s="532"/>
      <c r="DS25" s="532"/>
      <c r="DT25" s="532"/>
      <c r="DU25" s="532"/>
      <c r="EB25" s="532" t="str">
        <f>IF(AND($H$12&gt;=11, $H$12&lt;&gt;"Please Select"),"Active Clinical Data Form Number C11","")</f>
        <v/>
      </c>
      <c r="EC25" s="532"/>
      <c r="ED25" s="532"/>
      <c r="EE25" s="532"/>
      <c r="EF25" s="532"/>
      <c r="EG25" s="532"/>
      <c r="EH25" s="532"/>
      <c r="EO25" s="532" t="str">
        <f>IF(AND($H$12&gt;=12, $H$12&lt;&gt;"Please Select"),"Active Clinical Data Form Number C12","")</f>
        <v/>
      </c>
      <c r="EP25" s="532"/>
      <c r="EQ25" s="532"/>
      <c r="ER25" s="532"/>
      <c r="ES25" s="532"/>
      <c r="ET25" s="532"/>
      <c r="EU25" s="532"/>
      <c r="FB25" s="532" t="str">
        <f>IF(AND($H$12&gt;=13, $H$12&lt;&gt;"Please Select"),"Active Clinical Data Form Number C13","")</f>
        <v/>
      </c>
      <c r="FC25" s="532"/>
      <c r="FD25" s="532"/>
      <c r="FE25" s="532"/>
      <c r="FF25" s="532"/>
      <c r="FG25" s="532"/>
      <c r="FH25" s="532"/>
      <c r="FO25" s="532" t="str">
        <f>IF(AND($H$12&gt;=14, $H$12&lt;&gt;"Please Select"),"Active Clinical Data Form Number C14","")</f>
        <v/>
      </c>
      <c r="FP25" s="532"/>
      <c r="FQ25" s="532"/>
      <c r="FR25" s="532"/>
      <c r="FS25" s="532"/>
      <c r="FT25" s="532"/>
      <c r="FU25" s="532"/>
      <c r="GB25" s="532" t="str">
        <f>IF(AND($H$12&gt;=15, $H$12&lt;&gt;"Please Select"),"Active Clinical Data Form Number C15","")</f>
        <v/>
      </c>
      <c r="GC25" s="532"/>
      <c r="GD25" s="532"/>
      <c r="GE25" s="532"/>
      <c r="GF25" s="532"/>
      <c r="GG25" s="532"/>
      <c r="GH25" s="532"/>
      <c r="GO25" s="532" t="str">
        <f>IF(AND($H$12&gt;=16, $H$12&lt;&gt;"Please Select"),"Active Clinical Data Form Number C16","")</f>
        <v/>
      </c>
      <c r="GP25" s="532"/>
      <c r="GQ25" s="532"/>
      <c r="GR25" s="532"/>
      <c r="GS25" s="532"/>
      <c r="GT25" s="532"/>
      <c r="GU25" s="532"/>
      <c r="HB25" s="532" t="str">
        <f>IF(AND($H$12&gt;=17, $H$12&lt;&gt;"Please Select"),"Active Clinical Data Form Number C17","")</f>
        <v/>
      </c>
      <c r="HC25" s="532"/>
      <c r="HD25" s="532"/>
      <c r="HE25" s="532"/>
      <c r="HF25" s="532"/>
      <c r="HG25" s="532"/>
      <c r="HH25" s="532"/>
      <c r="HO25" s="532" t="str">
        <f>IF(AND($H$12&gt;=18, $H$12&lt;&gt;"Please Select"),"Active Clinical Data Form Number C18","")</f>
        <v/>
      </c>
      <c r="HP25" s="532"/>
      <c r="HQ25" s="532"/>
      <c r="HR25" s="532"/>
      <c r="HS25" s="532"/>
      <c r="HT25" s="532"/>
      <c r="HU25" s="532"/>
      <c r="IB25" s="532" t="str">
        <f>IF(AND($H$12&gt;=19, $H$12&lt;&gt;"Please Select"),"Active Clinical Data Form Number C19","")</f>
        <v/>
      </c>
      <c r="IC25" s="532"/>
      <c r="ID25" s="532"/>
      <c r="IE25" s="532"/>
      <c r="IF25" s="532"/>
      <c r="IG25" s="532"/>
      <c r="IH25" s="532"/>
      <c r="IO25" s="532" t="str">
        <f>IF(AND($H$12&gt;=20, $H$12&lt;&gt;"Please Select"),"Active Clinical Data Form Number C20","")</f>
        <v/>
      </c>
      <c r="IP25" s="532"/>
      <c r="IQ25" s="532"/>
      <c r="IR25" s="532"/>
      <c r="IS25" s="532"/>
      <c r="IT25" s="532"/>
      <c r="IU25" s="532"/>
      <c r="JB25" s="532" t="str">
        <f>IF(AND($H$12&gt;=21, $H$12&lt;&gt;"Please Select"),"Active Clinical Data Form Number C21","")</f>
        <v/>
      </c>
      <c r="JC25" s="532"/>
      <c r="JD25" s="532"/>
      <c r="JE25" s="532"/>
      <c r="JF25" s="532"/>
      <c r="JG25" s="532"/>
      <c r="JH25" s="532"/>
      <c r="JO25" s="532" t="str">
        <f>IF(AND($H$12&gt;=22, $H$12&lt;&gt;"Please Select"),"Active Clinical Data Form Number C22","")</f>
        <v/>
      </c>
      <c r="JP25" s="532"/>
      <c r="JQ25" s="532"/>
      <c r="JR25" s="532"/>
      <c r="JS25" s="532"/>
      <c r="JT25" s="532"/>
      <c r="JU25" s="532"/>
      <c r="KB25" s="532" t="str">
        <f>IF(AND($H$12&gt;=23, $H$12&lt;&gt;"Please Select"),"Active Clinical Data Form Number C23","")</f>
        <v/>
      </c>
      <c r="KC25" s="532"/>
      <c r="KD25" s="532"/>
      <c r="KE25" s="532"/>
      <c r="KF25" s="532"/>
      <c r="KG25" s="532"/>
      <c r="KH25" s="532"/>
      <c r="KO25" s="532" t="str">
        <f>IF(AND($H$12&gt;=24, $H$12&lt;&gt;"Please Select"),"Active Clinical Data Form Number C24","")</f>
        <v/>
      </c>
      <c r="KP25" s="532"/>
      <c r="KQ25" s="532"/>
      <c r="KR25" s="532"/>
      <c r="KS25" s="532"/>
      <c r="KT25" s="532"/>
      <c r="KU25" s="532"/>
      <c r="LB25" s="532" t="str">
        <f>IF(AND($H$12&gt;=25, $H$12&lt;&gt;"Please Select"),"Active Clinical Data Form Number C25","")</f>
        <v/>
      </c>
      <c r="LC25" s="532"/>
      <c r="LD25" s="532"/>
      <c r="LE25" s="532"/>
      <c r="LF25" s="532"/>
      <c r="LG25" s="532"/>
      <c r="LH25" s="532"/>
      <c r="LO25" s="532" t="str">
        <f>IF(AND($H$12&gt;=26, $H$12&lt;&gt;"Please Select"),"Active Clinical Data Form Number C26","")</f>
        <v/>
      </c>
      <c r="LP25" s="532"/>
      <c r="LQ25" s="532"/>
      <c r="LR25" s="532"/>
      <c r="LS25" s="532"/>
      <c r="LT25" s="532"/>
      <c r="LU25" s="532"/>
      <c r="MB25" s="532" t="str">
        <f>IF(AND($H$12&gt;=27, $H$12&lt;&gt;"Please Select"),"Active Clinical Data Form Number C27","")</f>
        <v/>
      </c>
      <c r="MC25" s="532"/>
      <c r="MD25" s="532"/>
      <c r="ME25" s="532"/>
      <c r="MF25" s="532"/>
      <c r="MG25" s="532"/>
      <c r="MH25" s="532"/>
      <c r="MO25" s="532" t="str">
        <f>IF(AND($H$12&gt;=28, $H$12&lt;&gt;"Please Select"),"Active Clinical Data Form Number C28","")</f>
        <v/>
      </c>
      <c r="MP25" s="532"/>
      <c r="MQ25" s="532"/>
      <c r="MR25" s="532"/>
      <c r="MS25" s="532"/>
      <c r="MT25" s="532"/>
      <c r="MU25" s="532"/>
      <c r="NB25" s="532" t="str">
        <f>IF(AND($H$12&gt;=29, $H$12&lt;&gt;"Please Select"),"Active Clinical Data Form Number C29","")</f>
        <v/>
      </c>
      <c r="NC25" s="532"/>
      <c r="ND25" s="532"/>
      <c r="NE25" s="532"/>
      <c r="NF25" s="532"/>
      <c r="NG25" s="532"/>
      <c r="NH25" s="532"/>
      <c r="NO25" s="532" t="str">
        <f>IF(AND($H$12&gt;=30, $H$12&lt;&gt;"Please Select"),"Active Clinical Data Form Number C30","")</f>
        <v/>
      </c>
      <c r="NP25" s="532"/>
      <c r="NQ25" s="532"/>
      <c r="NR25" s="532"/>
      <c r="NS25" s="532"/>
      <c r="NT25" s="532"/>
      <c r="NU25" s="532"/>
      <c r="OA25" s="63" t="s">
        <v>211</v>
      </c>
      <c r="OB25" s="115" t="str">
        <f>IF(ISNUMBER(MATCH(3,G30:NT30,0)), "Yes", "")</f>
        <v/>
      </c>
      <c r="OC25" s="63" t="s">
        <v>225</v>
      </c>
      <c r="OD25" s="115" t="str">
        <f>IF(ISNUMBER(MATCH(15,G30:NT30,0)), "Yes", "")</f>
        <v/>
      </c>
      <c r="OE25" s="63" t="s">
        <v>237</v>
      </c>
      <c r="OF25" s="115" t="str">
        <f>IF(ISNUMBER(MATCH(27,G30:NT30,0)), "Yes", "")</f>
        <v/>
      </c>
      <c r="OG25" s="63" t="s">
        <v>249</v>
      </c>
      <c r="OH25" s="115" t="str">
        <f>IF(ISNUMBER(MATCH(39,G30:NT30,0)), "Yes", "")</f>
        <v/>
      </c>
      <c r="OI25" s="63" t="s">
        <v>261</v>
      </c>
      <c r="OJ25" s="115" t="str">
        <f>IF(ISNUMBER(MATCH(50,G30:NT30,0)), "Yes", "")</f>
        <v/>
      </c>
    </row>
    <row r="26" spans="2:400" s="41" customFormat="1" ht="14.25" x14ac:dyDescent="0.2">
      <c r="OA26" s="202" t="s">
        <v>214</v>
      </c>
      <c r="OB26" s="115" t="str">
        <f>IF(ISNUMBER(MATCH(4,G30:NT30,0)), "Yes", "")</f>
        <v/>
      </c>
      <c r="OC26" s="63" t="s">
        <v>226</v>
      </c>
      <c r="OD26" s="115" t="str">
        <f>IF(ISNUMBER(MATCH(16,G30:NT30,0)), "Yes", "")</f>
        <v/>
      </c>
      <c r="OE26" s="63" t="s">
        <v>238</v>
      </c>
      <c r="OF26" s="115" t="str">
        <f>IF(ISNUMBER(MATCH(28,G30:NT30,0)), "Yes", "")</f>
        <v/>
      </c>
      <c r="OG26" s="63" t="s">
        <v>250</v>
      </c>
      <c r="OH26" s="115" t="str">
        <f>IF(ISNUMBER(MATCH(40,G30:NT30,0)), "Yes", "")</f>
        <v/>
      </c>
      <c r="OI26" s="63"/>
      <c r="OJ26" s="115" t="str">
        <f>IF(ISNUMBER(MATCH(51,G30:NT30,0)), "Yes", "")</f>
        <v/>
      </c>
    </row>
    <row r="27" spans="2:400" s="41" customFormat="1" ht="15" customHeight="1" x14ac:dyDescent="0.2">
      <c r="B27" s="1" t="str">
        <f>IF(AND($H$12&gt;=1, $H$12&lt;&gt;"Please Select"),"Affiliate Name:","")</f>
        <v/>
      </c>
      <c r="C27" s="336"/>
      <c r="D27" s="336"/>
      <c r="E27" s="336"/>
      <c r="F27" s="336"/>
      <c r="G27" s="73"/>
      <c r="I27" s="531" t="str">
        <f>IF(H14=F30,"",IF(AND(H14&lt;&gt;F30,F30&lt;&gt;""),"Out of State Affiliate",""))</f>
        <v/>
      </c>
      <c r="J27" s="531"/>
      <c r="K27" s="531"/>
      <c r="L27" s="531"/>
      <c r="O27" s="1" t="str">
        <f>IF(AND($H$12&gt;=2, $H$12&lt;&gt;"Please Select"),"Affiliate Name:","")</f>
        <v/>
      </c>
      <c r="P27" s="336"/>
      <c r="Q27" s="336"/>
      <c r="R27" s="336"/>
      <c r="S27" s="336"/>
      <c r="T27" s="73"/>
      <c r="V27" s="531" t="str">
        <f>IF(H14=S30,"",IF(AND(H14&lt;&gt;S30,S30&lt;&gt;""),"Out of State Affiliate",""))</f>
        <v/>
      </c>
      <c r="W27" s="531"/>
      <c r="X27" s="531"/>
      <c r="Y27" s="531"/>
      <c r="AB27" s="1" t="str">
        <f>IF(AND($H$12&gt;=3, $H$12&lt;&gt;"Please Select"),"Affiliate Name:","")</f>
        <v/>
      </c>
      <c r="AC27" s="336"/>
      <c r="AD27" s="336"/>
      <c r="AE27" s="336"/>
      <c r="AF27" s="336"/>
      <c r="AG27" s="73"/>
      <c r="AI27" s="531" t="str">
        <f>IF($H$14=AF30,"",IF(AND($H$14&lt;&gt;AF30,AF30&lt;&gt;""),"Out of State Affiliate",""))</f>
        <v/>
      </c>
      <c r="AJ27" s="531"/>
      <c r="AK27" s="531"/>
      <c r="AL27" s="531"/>
      <c r="AO27" s="1" t="str">
        <f>IF(AND($H$12&gt;=4, $H$12&lt;&gt;"Please Select"),"Affiliate Name:","")</f>
        <v/>
      </c>
      <c r="AP27" s="336"/>
      <c r="AQ27" s="336"/>
      <c r="AR27" s="336"/>
      <c r="AS27" s="336"/>
      <c r="AT27" s="73"/>
      <c r="AV27" s="531" t="str">
        <f>IF($H$14=AS30,"",IF(AND($H$14&lt;&gt;AS30,AS30&lt;&gt;""),"Out of State Affiliate",""))</f>
        <v/>
      </c>
      <c r="AW27" s="531"/>
      <c r="AX27" s="531"/>
      <c r="AY27" s="531"/>
      <c r="BB27" s="1" t="str">
        <f>IF(AND($H$12&gt;=5, $H$12&lt;&gt;"Please Select"),"Affiliate Name:","")</f>
        <v/>
      </c>
      <c r="BC27" s="336"/>
      <c r="BD27" s="336"/>
      <c r="BE27" s="336"/>
      <c r="BF27" s="336"/>
      <c r="BG27" s="73"/>
      <c r="BI27" s="531" t="str">
        <f>IF($H$14=BF30,"",IF(AND($H$14&lt;&gt;BF30,BF30&lt;&gt;""),"Out of State Affiliate",""))</f>
        <v/>
      </c>
      <c r="BJ27" s="531"/>
      <c r="BK27" s="531"/>
      <c r="BL27" s="531"/>
      <c r="BO27" s="1" t="str">
        <f>IF(AND($H$12&gt;=6, $H$12&lt;&gt;"Please Select"),"Affiliate Name:","")</f>
        <v/>
      </c>
      <c r="BP27" s="336"/>
      <c r="BQ27" s="336"/>
      <c r="BR27" s="336"/>
      <c r="BS27" s="336"/>
      <c r="BT27" s="73"/>
      <c r="BV27" s="531" t="str">
        <f>IF($H$14=BS30,"",IF(AND($H$14&lt;&gt;BS30,BS30&lt;&gt;""),"Out of State Affiliate",""))</f>
        <v/>
      </c>
      <c r="BW27" s="531"/>
      <c r="BX27" s="531"/>
      <c r="BY27" s="531"/>
      <c r="CB27" s="1" t="str">
        <f>IF(AND($H$12&gt;=7, $H$12&lt;&gt;"Please Select"),"Affiliate Name:","")</f>
        <v/>
      </c>
      <c r="CC27" s="336"/>
      <c r="CD27" s="336"/>
      <c r="CE27" s="336"/>
      <c r="CF27" s="336"/>
      <c r="CG27" s="73"/>
      <c r="CI27" s="531" t="str">
        <f>IF($H$14=CF30,"",IF(AND($H$14&lt;&gt;CF30,CF30&lt;&gt;""),"Out of State Affiliate",""))</f>
        <v/>
      </c>
      <c r="CJ27" s="531"/>
      <c r="CK27" s="531"/>
      <c r="CL27" s="531"/>
      <c r="CO27" s="1" t="str">
        <f>IF(AND($H$12&gt;=8, $H$12&lt;&gt;"Please Select"),"Affiliate Name:","")</f>
        <v/>
      </c>
      <c r="CP27" s="336"/>
      <c r="CQ27" s="336"/>
      <c r="CR27" s="336"/>
      <c r="CS27" s="336"/>
      <c r="CT27" s="73"/>
      <c r="CV27" s="531" t="str">
        <f>IF($H$14=CS30,"",IF(AND($H$14&lt;&gt;CS30,CS30&lt;&gt;""),"Out of State Affiliate",""))</f>
        <v/>
      </c>
      <c r="CW27" s="531"/>
      <c r="CX27" s="531"/>
      <c r="CY27" s="531"/>
      <c r="DB27" s="1" t="str">
        <f>IF(AND($H$12&gt;=9, $H$12&lt;&gt;"Please Select"),"Affiliate Name:","")</f>
        <v/>
      </c>
      <c r="DC27" s="336"/>
      <c r="DD27" s="336"/>
      <c r="DE27" s="336"/>
      <c r="DF27" s="336"/>
      <c r="DG27" s="73"/>
      <c r="DI27" s="531" t="str">
        <f>IF($H$14=DF30,"",IF(AND($H$14&lt;&gt;DF30,DF30&lt;&gt;""),"Out of State Affiliate",""))</f>
        <v/>
      </c>
      <c r="DJ27" s="531"/>
      <c r="DK27" s="531"/>
      <c r="DL27" s="531"/>
      <c r="DO27" s="1" t="str">
        <f>IF(AND($H$12&gt;=10, $H$12&lt;&gt;"Please Select"),"Affiliate Name:","")</f>
        <v/>
      </c>
      <c r="DP27" s="336"/>
      <c r="DQ27" s="336"/>
      <c r="DR27" s="336"/>
      <c r="DS27" s="336"/>
      <c r="DT27" s="73"/>
      <c r="DV27" s="531" t="str">
        <f>IF($H$14=DS30,"",IF(AND($H$14&lt;&gt;DS30,DS30&lt;&gt;""),"Out of State Affiliate",""))</f>
        <v/>
      </c>
      <c r="DW27" s="531"/>
      <c r="DX27" s="531"/>
      <c r="DY27" s="531"/>
      <c r="EB27" s="1" t="str">
        <f>IF(AND($H$12&gt;=11, $H$12&lt;&gt;"Please Select"),"Affiliate Name:","")</f>
        <v/>
      </c>
      <c r="EC27" s="336"/>
      <c r="ED27" s="336"/>
      <c r="EE27" s="336"/>
      <c r="EF27" s="336"/>
      <c r="EG27" s="73"/>
      <c r="EI27" s="531" t="str">
        <f>IF($H$14=EF30,"",IF(AND($H$14&lt;&gt;EF30,EF30&lt;&gt;""),"Out of State Affiliate",""))</f>
        <v/>
      </c>
      <c r="EJ27" s="531"/>
      <c r="EK27" s="531"/>
      <c r="EL27" s="531"/>
      <c r="EO27" s="1" t="str">
        <f>IF(AND($H$12&gt;=12, $H$12&lt;&gt;"Please Select"),"Affiliate Name:","")</f>
        <v/>
      </c>
      <c r="EP27" s="336"/>
      <c r="EQ27" s="336"/>
      <c r="ER27" s="336"/>
      <c r="ES27" s="336"/>
      <c r="ET27" s="73"/>
      <c r="EV27" s="531" t="str">
        <f>IF($H$14=ES30,"",IF(AND($H$14&lt;&gt;ES30,ES30&lt;&gt;""),"Out of State Affiliate",""))</f>
        <v/>
      </c>
      <c r="EW27" s="531"/>
      <c r="EX27" s="531"/>
      <c r="EY27" s="531"/>
      <c r="FB27" s="1" t="str">
        <f>IF(AND($H$12&gt;=13, $H$12&lt;&gt;"Please Select"),"Affiliate Name:","")</f>
        <v/>
      </c>
      <c r="FC27" s="336"/>
      <c r="FD27" s="336"/>
      <c r="FE27" s="336"/>
      <c r="FF27" s="336"/>
      <c r="FG27" s="73"/>
      <c r="FI27" s="531" t="str">
        <f>IF($H$14=FF30,"",IF(AND($H$14&lt;&gt;FF30,FF30&lt;&gt;""),"Out of State Affiliate",""))</f>
        <v/>
      </c>
      <c r="FJ27" s="531"/>
      <c r="FK27" s="531"/>
      <c r="FL27" s="531"/>
      <c r="FO27" s="1" t="str">
        <f>IF(AND($H$12&gt;=14, $H$12&lt;&gt;"Please Select"),"Affiliate Name:","")</f>
        <v/>
      </c>
      <c r="FP27" s="336"/>
      <c r="FQ27" s="336"/>
      <c r="FR27" s="336"/>
      <c r="FS27" s="336"/>
      <c r="FT27" s="73"/>
      <c r="FV27" s="531" t="str">
        <f>IF($H$14=FS30,"",IF(AND($H$14&lt;&gt;FS30,FS30&lt;&gt;""),"Out of State Affiliate",""))</f>
        <v/>
      </c>
      <c r="FW27" s="531"/>
      <c r="FX27" s="531"/>
      <c r="FY27" s="531"/>
      <c r="GB27" s="1" t="str">
        <f>IF(AND($H$12&gt;=15, $H$12&lt;&gt;"Please Select"),"Affiliate Name:","")</f>
        <v/>
      </c>
      <c r="GC27" s="336"/>
      <c r="GD27" s="336"/>
      <c r="GE27" s="336"/>
      <c r="GF27" s="336"/>
      <c r="GG27" s="73"/>
      <c r="GI27" s="531" t="str">
        <f>IF($H$14=GF30,"",IF(AND($H$14&lt;&gt;GF30,GF30&lt;&gt;""),"Out of State Affiliate",""))</f>
        <v/>
      </c>
      <c r="GJ27" s="531"/>
      <c r="GK27" s="531"/>
      <c r="GL27" s="531"/>
      <c r="GO27" s="1" t="str">
        <f>IF(AND($H$12&gt;=16, $H$12&lt;&gt;"Please Select"),"Affiliate Name:","")</f>
        <v/>
      </c>
      <c r="GP27" s="336"/>
      <c r="GQ27" s="336"/>
      <c r="GR27" s="336"/>
      <c r="GS27" s="336"/>
      <c r="GT27" s="73"/>
      <c r="GV27" s="531" t="str">
        <f>IF($H$14=GS30,"",IF(AND($H$14&lt;&gt;GS30,GS30&lt;&gt;""),"Out of State Affiliate",""))</f>
        <v/>
      </c>
      <c r="GW27" s="531"/>
      <c r="GX27" s="531"/>
      <c r="GY27" s="531"/>
      <c r="HB27" s="1" t="str">
        <f>IF(AND($H$12&gt;=17, $H$12&lt;&gt;"Please Select"),"Affiliate Name:","")</f>
        <v/>
      </c>
      <c r="HC27" s="336"/>
      <c r="HD27" s="336"/>
      <c r="HE27" s="336"/>
      <c r="HF27" s="336"/>
      <c r="HG27" s="73"/>
      <c r="HI27" s="531" t="str">
        <f>IF($H$14=HF30,"",IF(AND($H$14&lt;&gt;HF30,HF30&lt;&gt;""),"Out of State Affiliate",""))</f>
        <v/>
      </c>
      <c r="HJ27" s="531"/>
      <c r="HK27" s="531"/>
      <c r="HL27" s="531"/>
      <c r="HO27" s="1" t="str">
        <f>IF(AND($H$12&gt;=18, $H$12&lt;&gt;"Please Select"),"Affiliate Name:","")</f>
        <v/>
      </c>
      <c r="HP27" s="336"/>
      <c r="HQ27" s="336"/>
      <c r="HR27" s="336"/>
      <c r="HS27" s="336"/>
      <c r="HT27" s="73"/>
      <c r="HV27" s="531" t="str">
        <f>IF($H$14=HS30,"",IF(AND($H$14&lt;&gt;HS30,HS30&lt;&gt;""),"Out of State Affiliate",""))</f>
        <v/>
      </c>
      <c r="HW27" s="531"/>
      <c r="HX27" s="531"/>
      <c r="HY27" s="531"/>
      <c r="IB27" s="1" t="str">
        <f>IF(AND($H$12&gt;=19, $H$12&lt;&gt;"Please Select"),"Affiliate Name:","")</f>
        <v/>
      </c>
      <c r="IC27" s="336"/>
      <c r="ID27" s="336"/>
      <c r="IE27" s="336"/>
      <c r="IF27" s="336"/>
      <c r="IG27" s="73"/>
      <c r="II27" s="531" t="str">
        <f>IF($H$14=IF30,"",IF(AND($H$14&lt;&gt;IF30,IF30&lt;&gt;""),"Out of State Affiliate",""))</f>
        <v/>
      </c>
      <c r="IJ27" s="531"/>
      <c r="IK27" s="531"/>
      <c r="IL27" s="531"/>
      <c r="IO27" s="1" t="str">
        <f>IF(AND($H$12&gt;=20, $H$12&lt;&gt;"Please Select"),"Affiliate Name:","")</f>
        <v/>
      </c>
      <c r="IP27" s="336"/>
      <c r="IQ27" s="336"/>
      <c r="IR27" s="336"/>
      <c r="IS27" s="336"/>
      <c r="IT27" s="73"/>
      <c r="IV27" s="531" t="str">
        <f>IF($H$14=IS30,"",IF(AND($H$14&lt;&gt;IS30,IS30&lt;&gt;""),"Out of State Affiliate",""))</f>
        <v/>
      </c>
      <c r="IW27" s="531"/>
      <c r="IX27" s="531"/>
      <c r="IY27" s="531"/>
      <c r="JB27" s="1" t="str">
        <f>IF(AND($H$12&gt;=21, $H$12&lt;&gt;"Please Select"),"Affiliate Name:","")</f>
        <v/>
      </c>
      <c r="JC27" s="336"/>
      <c r="JD27" s="336"/>
      <c r="JE27" s="336"/>
      <c r="JF27" s="336"/>
      <c r="JG27" s="73"/>
      <c r="JI27" s="531" t="str">
        <f>IF($H$14=JF30,"",IF(AND($H$14&lt;&gt;JF30,JF30&lt;&gt;""),"Out of State Affiliate",""))</f>
        <v/>
      </c>
      <c r="JJ27" s="531"/>
      <c r="JK27" s="531"/>
      <c r="JL27" s="531"/>
      <c r="JO27" s="1" t="str">
        <f>IF(AND($H$12&gt;=22, $H$12&lt;&gt;"Please Select"),"Affiliate Name:","")</f>
        <v/>
      </c>
      <c r="JP27" s="336"/>
      <c r="JQ27" s="336"/>
      <c r="JR27" s="336"/>
      <c r="JS27" s="336"/>
      <c r="JT27" s="73"/>
      <c r="JV27" s="531" t="str">
        <f>IF($H$14=JS30,"",IF(AND($H$14&lt;&gt;JS30,JS30&lt;&gt;""),"Out of State Affiliate",""))</f>
        <v/>
      </c>
      <c r="JW27" s="531"/>
      <c r="JX27" s="531"/>
      <c r="JY27" s="531"/>
      <c r="KB27" s="1" t="str">
        <f>IF(AND($H$12&gt;=23, $H$12&lt;&gt;"Please Select"),"Affiliate Name:","")</f>
        <v/>
      </c>
      <c r="KC27" s="336"/>
      <c r="KD27" s="336"/>
      <c r="KE27" s="336"/>
      <c r="KF27" s="336"/>
      <c r="KG27" s="73"/>
      <c r="KI27" s="531" t="str">
        <f>IF($H$14=KF30,"",IF(AND($H$14&lt;&gt;KF30,KF30&lt;&gt;""),"Out of State Affiliate",""))</f>
        <v/>
      </c>
      <c r="KJ27" s="531"/>
      <c r="KK27" s="531"/>
      <c r="KL27" s="531"/>
      <c r="KO27" s="1" t="str">
        <f>IF(AND($H$12&gt;=24, $H$12&lt;&gt;"Please Select"),"Affiliate Name:","")</f>
        <v/>
      </c>
      <c r="KP27" s="336"/>
      <c r="KQ27" s="336"/>
      <c r="KR27" s="336"/>
      <c r="KS27" s="336"/>
      <c r="KT27" s="73"/>
      <c r="KV27" s="531" t="str">
        <f>IF($H$14=KS30,"",IF(AND($H$14&lt;&gt;KS30,KS30&lt;&gt;""),"Out of State Affiliate",""))</f>
        <v/>
      </c>
      <c r="KW27" s="531"/>
      <c r="KX27" s="531"/>
      <c r="KY27" s="531"/>
      <c r="LB27" s="1" t="str">
        <f>IF(AND($H$12&gt;=25, $H$12&lt;&gt;"Please Select"),"Affiliate Name:","")</f>
        <v/>
      </c>
      <c r="LC27" s="336"/>
      <c r="LD27" s="336"/>
      <c r="LE27" s="336"/>
      <c r="LF27" s="336"/>
      <c r="LG27" s="73"/>
      <c r="LI27" s="531" t="str">
        <f>IF($H$14=LF30,"",IF(AND($H$14&lt;&gt;LF30,LF30&lt;&gt;""),"Out of State Affiliate",""))</f>
        <v/>
      </c>
      <c r="LJ27" s="531"/>
      <c r="LK27" s="531"/>
      <c r="LL27" s="531"/>
      <c r="LO27" s="1" t="str">
        <f>IF(AND($H$12&gt;=26, $H$12&lt;&gt;"Please Select"),"Affiliate Name:","")</f>
        <v/>
      </c>
      <c r="LP27" s="336"/>
      <c r="LQ27" s="336"/>
      <c r="LR27" s="336"/>
      <c r="LS27" s="336"/>
      <c r="LT27" s="73"/>
      <c r="LV27" s="531" t="str">
        <f>IF($H$14=LS30,"",IF(AND($H$14&lt;&gt;LS30,LS30&lt;&gt;""),"Out of State Affiliate",""))</f>
        <v/>
      </c>
      <c r="LW27" s="531"/>
      <c r="LX27" s="531"/>
      <c r="LY27" s="531"/>
      <c r="MB27" s="1" t="str">
        <f>IF(AND($H$12&gt;=27, $H$12&lt;&gt;"Please Select"),"Affiliate Name:","")</f>
        <v/>
      </c>
      <c r="MC27" s="336"/>
      <c r="MD27" s="336"/>
      <c r="ME27" s="336"/>
      <c r="MF27" s="336"/>
      <c r="MG27" s="73"/>
      <c r="MI27" s="531" t="str">
        <f>IF($H$14=MF30,"",IF(AND($H$14&lt;&gt;MF30,MF30&lt;&gt;""),"Out of State Affiliate",""))</f>
        <v/>
      </c>
      <c r="MJ27" s="531"/>
      <c r="MK27" s="531"/>
      <c r="ML27" s="531"/>
      <c r="MO27" s="1" t="str">
        <f>IF(AND($H$12&gt;=28, $H$12&lt;&gt;"Please Select"),"Affiliate Name:","")</f>
        <v/>
      </c>
      <c r="MP27" s="336"/>
      <c r="MQ27" s="336"/>
      <c r="MR27" s="336"/>
      <c r="MS27" s="336"/>
      <c r="MT27" s="73"/>
      <c r="MV27" s="531" t="str">
        <f>IF($H$14=MS30,"",IF(AND($H$14&lt;&gt;MS30,MS30&lt;&gt;""),"Out of State Affiliate",""))</f>
        <v/>
      </c>
      <c r="MW27" s="531"/>
      <c r="MX27" s="531"/>
      <c r="MY27" s="531"/>
      <c r="NB27" s="1" t="str">
        <f>IF(AND($H$12&gt;=29, $H$12&lt;&gt;"Please Select"),"Affiliate Name:","")</f>
        <v/>
      </c>
      <c r="NC27" s="336"/>
      <c r="ND27" s="336"/>
      <c r="NE27" s="336"/>
      <c r="NF27" s="336"/>
      <c r="NG27" s="73"/>
      <c r="NI27" s="531" t="str">
        <f>IF($H$14=NF30,"",IF(AND($H$14&lt;&gt;NF30,NF30&lt;&gt;""),"Out of State Affiliate",""))</f>
        <v/>
      </c>
      <c r="NJ27" s="531"/>
      <c r="NK27" s="531"/>
      <c r="NL27" s="531"/>
      <c r="NO27" s="1" t="str">
        <f>IF(AND($H$12&gt;=30, $H$12&lt;&gt;"Please Select"),"Affiliate Name:","")</f>
        <v/>
      </c>
      <c r="NP27" s="336"/>
      <c r="NQ27" s="336"/>
      <c r="NR27" s="336"/>
      <c r="NS27" s="336"/>
      <c r="NT27" s="73"/>
      <c r="NV27" s="531" t="str">
        <f>IF($H$14=NS30,"",IF(AND($H$14&lt;&gt;NS30,NS30&lt;&gt;""),"Out of State Affiliate",""))</f>
        <v/>
      </c>
      <c r="NW27" s="531"/>
      <c r="NX27" s="531"/>
      <c r="NY27" s="531"/>
      <c r="OA27" s="63" t="s">
        <v>215</v>
      </c>
      <c r="OB27" s="115" t="str">
        <f>IF(ISNUMBER(MATCH(5,G30:NT30,0)), "Yes", "")</f>
        <v/>
      </c>
      <c r="OC27" s="63" t="s">
        <v>227</v>
      </c>
      <c r="OD27" s="115" t="str">
        <f>IF(ISNUMBER(MATCH(17,G30:NT30,0)), "Yes", "")</f>
        <v/>
      </c>
      <c r="OE27" s="63" t="s">
        <v>239</v>
      </c>
      <c r="OF27" s="115" t="str">
        <f>IF(ISNUMBER(MATCH(29,G30:NT30,0)), "Yes", "")</f>
        <v/>
      </c>
      <c r="OG27" s="63" t="s">
        <v>251</v>
      </c>
      <c r="OH27" s="115" t="str">
        <f>IF(ISNUMBER(MATCH(41,G30:NT30,0)), "Yes", "")</f>
        <v/>
      </c>
      <c r="OI27" s="63"/>
      <c r="OJ27" s="63"/>
    </row>
    <row r="28" spans="2:400" s="41" customFormat="1" ht="14.25" x14ac:dyDescent="0.2">
      <c r="B28" s="1" t="str">
        <f>IF(AND($H$12&gt;=1, $H$12&lt;&gt;"Please Select"),"Address:","")</f>
        <v/>
      </c>
      <c r="C28" s="336"/>
      <c r="D28" s="336"/>
      <c r="E28" s="336"/>
      <c r="F28" s="336"/>
      <c r="I28" s="531"/>
      <c r="J28" s="531"/>
      <c r="K28" s="531"/>
      <c r="L28" s="531"/>
      <c r="O28" s="1" t="str">
        <f>IF(AND($H$12&gt;=2, $H$12&lt;&gt;"Please Select"),"Address:","")</f>
        <v/>
      </c>
      <c r="P28" s="336"/>
      <c r="Q28" s="336"/>
      <c r="R28" s="336"/>
      <c r="S28" s="336"/>
      <c r="V28" s="531"/>
      <c r="W28" s="531"/>
      <c r="X28" s="531"/>
      <c r="Y28" s="531"/>
      <c r="AB28" s="1" t="str">
        <f>IF(AND($H$12&gt;=3, $H$12&lt;&gt;"Please Select"),"Address:","")</f>
        <v/>
      </c>
      <c r="AC28" s="336"/>
      <c r="AD28" s="336"/>
      <c r="AE28" s="336"/>
      <c r="AF28" s="336"/>
      <c r="AI28" s="531"/>
      <c r="AJ28" s="531"/>
      <c r="AK28" s="531"/>
      <c r="AL28" s="531"/>
      <c r="AO28" s="1" t="str">
        <f>IF(AND($H$12&gt;=4, $H$12&lt;&gt;"Please Select"),"Address:","")</f>
        <v/>
      </c>
      <c r="AP28" s="336"/>
      <c r="AQ28" s="336"/>
      <c r="AR28" s="336"/>
      <c r="AS28" s="336"/>
      <c r="AV28" s="531"/>
      <c r="AW28" s="531"/>
      <c r="AX28" s="531"/>
      <c r="AY28" s="531"/>
      <c r="BB28" s="1" t="str">
        <f>IF(AND($H$12&gt;=5, $H$12&lt;&gt;"Please Select"),"Address:","")</f>
        <v/>
      </c>
      <c r="BC28" s="336"/>
      <c r="BD28" s="336"/>
      <c r="BE28" s="336"/>
      <c r="BF28" s="336"/>
      <c r="BI28" s="531"/>
      <c r="BJ28" s="531"/>
      <c r="BK28" s="531"/>
      <c r="BL28" s="531"/>
      <c r="BO28" s="1" t="str">
        <f>IF(AND($H$12&gt;=6, $H$12&lt;&gt;"Please Select"),"Address:","")</f>
        <v/>
      </c>
      <c r="BP28" s="336"/>
      <c r="BQ28" s="336"/>
      <c r="BR28" s="336"/>
      <c r="BS28" s="336"/>
      <c r="BV28" s="531"/>
      <c r="BW28" s="531"/>
      <c r="BX28" s="531"/>
      <c r="BY28" s="531"/>
      <c r="CB28" s="1" t="str">
        <f>IF(AND($H$12&gt;=7, $H$12&lt;&gt;"Please Select"),"Address:","")</f>
        <v/>
      </c>
      <c r="CC28" s="336"/>
      <c r="CD28" s="336"/>
      <c r="CE28" s="336"/>
      <c r="CF28" s="336"/>
      <c r="CI28" s="531"/>
      <c r="CJ28" s="531"/>
      <c r="CK28" s="531"/>
      <c r="CL28" s="531"/>
      <c r="CO28" s="1" t="str">
        <f>IF(AND($H$12&gt;=8, $H$12&lt;&gt;"Please Select"),"Address:","")</f>
        <v/>
      </c>
      <c r="CP28" s="336"/>
      <c r="CQ28" s="336"/>
      <c r="CR28" s="336"/>
      <c r="CS28" s="336"/>
      <c r="CV28" s="531"/>
      <c r="CW28" s="531"/>
      <c r="CX28" s="531"/>
      <c r="CY28" s="531"/>
      <c r="DB28" s="1" t="str">
        <f>IF(AND($H$12&gt;=9, $H$12&lt;&gt;"Please Select"),"Address:","")</f>
        <v/>
      </c>
      <c r="DC28" s="336"/>
      <c r="DD28" s="336"/>
      <c r="DE28" s="336"/>
      <c r="DF28" s="336"/>
      <c r="DI28" s="531"/>
      <c r="DJ28" s="531"/>
      <c r="DK28" s="531"/>
      <c r="DL28" s="531"/>
      <c r="DO28" s="1" t="str">
        <f>IF(AND($H$12&gt;=10, $H$12&lt;&gt;"Please Select"),"Address:","")</f>
        <v/>
      </c>
      <c r="DP28" s="336"/>
      <c r="DQ28" s="336"/>
      <c r="DR28" s="336"/>
      <c r="DS28" s="336"/>
      <c r="DV28" s="531"/>
      <c r="DW28" s="531"/>
      <c r="DX28" s="531"/>
      <c r="DY28" s="531"/>
      <c r="EB28" s="1" t="str">
        <f>IF(AND($H$12&gt;=11, $H$12&lt;&gt;"Please Select"),"Address:","")</f>
        <v/>
      </c>
      <c r="EC28" s="336"/>
      <c r="ED28" s="336"/>
      <c r="EE28" s="336"/>
      <c r="EF28" s="336"/>
      <c r="EI28" s="531"/>
      <c r="EJ28" s="531"/>
      <c r="EK28" s="531"/>
      <c r="EL28" s="531"/>
      <c r="EO28" s="1" t="str">
        <f>IF(AND($H$12&gt;=12, $H$12&lt;&gt;"Please Select"),"Address:","")</f>
        <v/>
      </c>
      <c r="EP28" s="336"/>
      <c r="EQ28" s="336"/>
      <c r="ER28" s="336"/>
      <c r="ES28" s="336"/>
      <c r="EV28" s="531"/>
      <c r="EW28" s="531"/>
      <c r="EX28" s="531"/>
      <c r="EY28" s="531"/>
      <c r="FB28" s="1" t="str">
        <f>IF(AND($H$12&gt;=13, $H$12&lt;&gt;"Please Select"),"Address:","")</f>
        <v/>
      </c>
      <c r="FC28" s="336"/>
      <c r="FD28" s="336"/>
      <c r="FE28" s="336"/>
      <c r="FF28" s="336"/>
      <c r="FI28" s="531"/>
      <c r="FJ28" s="531"/>
      <c r="FK28" s="531"/>
      <c r="FL28" s="531"/>
      <c r="FO28" s="1" t="str">
        <f>IF(AND($H$12&gt;=14, $H$12&lt;&gt;"Please Select"),"Address:","")</f>
        <v/>
      </c>
      <c r="FP28" s="336"/>
      <c r="FQ28" s="336"/>
      <c r="FR28" s="336"/>
      <c r="FS28" s="336"/>
      <c r="FV28" s="531"/>
      <c r="FW28" s="531"/>
      <c r="FX28" s="531"/>
      <c r="FY28" s="531"/>
      <c r="GB28" s="1" t="str">
        <f>IF(AND($H$12&gt;=15, $H$12&lt;&gt;"Please Select"),"Address:","")</f>
        <v/>
      </c>
      <c r="GC28" s="336"/>
      <c r="GD28" s="336"/>
      <c r="GE28" s="336"/>
      <c r="GF28" s="336"/>
      <c r="GI28" s="531"/>
      <c r="GJ28" s="531"/>
      <c r="GK28" s="531"/>
      <c r="GL28" s="531"/>
      <c r="GO28" s="1" t="str">
        <f>IF(AND($H$12&gt;=16, $H$12&lt;&gt;"Please Select"),"Address:","")</f>
        <v/>
      </c>
      <c r="GP28" s="336"/>
      <c r="GQ28" s="336"/>
      <c r="GR28" s="336"/>
      <c r="GS28" s="336"/>
      <c r="GV28" s="531"/>
      <c r="GW28" s="531"/>
      <c r="GX28" s="531"/>
      <c r="GY28" s="531"/>
      <c r="HB28" s="1" t="str">
        <f>IF(AND($H$12&gt;=17, $H$12&lt;&gt;"Please Select"),"Address:","")</f>
        <v/>
      </c>
      <c r="HC28" s="336"/>
      <c r="HD28" s="336"/>
      <c r="HE28" s="336"/>
      <c r="HF28" s="336"/>
      <c r="HI28" s="531"/>
      <c r="HJ28" s="531"/>
      <c r="HK28" s="531"/>
      <c r="HL28" s="531"/>
      <c r="HO28" s="1" t="str">
        <f>IF(AND($H$12&gt;=18, $H$12&lt;&gt;"Please Select"),"Address:","")</f>
        <v/>
      </c>
      <c r="HP28" s="336"/>
      <c r="HQ28" s="336"/>
      <c r="HR28" s="336"/>
      <c r="HS28" s="336"/>
      <c r="HV28" s="531"/>
      <c r="HW28" s="531"/>
      <c r="HX28" s="531"/>
      <c r="HY28" s="531"/>
      <c r="IB28" s="1" t="str">
        <f>IF(AND($H$12&gt;=19, $H$12&lt;&gt;"Please Select"),"Address:","")</f>
        <v/>
      </c>
      <c r="IC28" s="336"/>
      <c r="ID28" s="336"/>
      <c r="IE28" s="336"/>
      <c r="IF28" s="336"/>
      <c r="II28" s="531"/>
      <c r="IJ28" s="531"/>
      <c r="IK28" s="531"/>
      <c r="IL28" s="531"/>
      <c r="IO28" s="1" t="str">
        <f>IF(AND($H$12&gt;=20, $H$12&lt;&gt;"Please Select"),"Address:","")</f>
        <v/>
      </c>
      <c r="IP28" s="336"/>
      <c r="IQ28" s="336"/>
      <c r="IR28" s="336"/>
      <c r="IS28" s="336"/>
      <c r="IV28" s="531"/>
      <c r="IW28" s="531"/>
      <c r="IX28" s="531"/>
      <c r="IY28" s="531"/>
      <c r="JB28" s="1" t="str">
        <f>IF(AND($H$12&gt;=21, $H$12&lt;&gt;"Please Select"),"Address:","")</f>
        <v/>
      </c>
      <c r="JC28" s="336"/>
      <c r="JD28" s="336"/>
      <c r="JE28" s="336"/>
      <c r="JF28" s="336"/>
      <c r="JI28" s="531"/>
      <c r="JJ28" s="531"/>
      <c r="JK28" s="531"/>
      <c r="JL28" s="531"/>
      <c r="JO28" s="1" t="str">
        <f>IF(AND($H$12&gt;=22, $H$12&lt;&gt;"Please Select"),"Address:","")</f>
        <v/>
      </c>
      <c r="JP28" s="336"/>
      <c r="JQ28" s="336"/>
      <c r="JR28" s="336"/>
      <c r="JS28" s="336"/>
      <c r="JV28" s="531"/>
      <c r="JW28" s="531"/>
      <c r="JX28" s="531"/>
      <c r="JY28" s="531"/>
      <c r="KB28" s="1" t="str">
        <f>IF(AND($H$12&gt;=23, $H$12&lt;&gt;"Please Select"),"Address:","")</f>
        <v/>
      </c>
      <c r="KC28" s="336"/>
      <c r="KD28" s="336"/>
      <c r="KE28" s="336"/>
      <c r="KF28" s="336"/>
      <c r="KI28" s="531"/>
      <c r="KJ28" s="531"/>
      <c r="KK28" s="531"/>
      <c r="KL28" s="531"/>
      <c r="KO28" s="1" t="str">
        <f>IF(AND($H$12&gt;=24, $H$12&lt;&gt;"Please Select"),"Address:","")</f>
        <v/>
      </c>
      <c r="KP28" s="336"/>
      <c r="KQ28" s="336"/>
      <c r="KR28" s="336"/>
      <c r="KS28" s="336"/>
      <c r="KV28" s="531"/>
      <c r="KW28" s="531"/>
      <c r="KX28" s="531"/>
      <c r="KY28" s="531"/>
      <c r="LB28" s="1" t="str">
        <f>IF(AND($H$12&gt;=25, $H$12&lt;&gt;"Please Select"),"Address:","")</f>
        <v/>
      </c>
      <c r="LC28" s="336"/>
      <c r="LD28" s="336"/>
      <c r="LE28" s="336"/>
      <c r="LF28" s="336"/>
      <c r="LI28" s="531"/>
      <c r="LJ28" s="531"/>
      <c r="LK28" s="531"/>
      <c r="LL28" s="531"/>
      <c r="LO28" s="1" t="str">
        <f>IF(AND($H$12&gt;=26, $H$12&lt;&gt;"Please Select"),"Address:","")</f>
        <v/>
      </c>
      <c r="LP28" s="336"/>
      <c r="LQ28" s="336"/>
      <c r="LR28" s="336"/>
      <c r="LS28" s="336"/>
      <c r="LV28" s="531"/>
      <c r="LW28" s="531"/>
      <c r="LX28" s="531"/>
      <c r="LY28" s="531"/>
      <c r="MB28" s="1" t="str">
        <f>IF(AND($H$12&gt;=27, $H$12&lt;&gt;"Please Select"),"Address:","")</f>
        <v/>
      </c>
      <c r="MC28" s="336"/>
      <c r="MD28" s="336"/>
      <c r="ME28" s="336"/>
      <c r="MF28" s="336"/>
      <c r="MI28" s="531"/>
      <c r="MJ28" s="531"/>
      <c r="MK28" s="531"/>
      <c r="ML28" s="531"/>
      <c r="MO28" s="1" t="str">
        <f>IF(AND($H$12&gt;=28, $H$12&lt;&gt;"Please Select"),"Address:","")</f>
        <v/>
      </c>
      <c r="MP28" s="336"/>
      <c r="MQ28" s="336"/>
      <c r="MR28" s="336"/>
      <c r="MS28" s="336"/>
      <c r="MV28" s="531"/>
      <c r="MW28" s="531"/>
      <c r="MX28" s="531"/>
      <c r="MY28" s="531"/>
      <c r="NB28" s="1" t="str">
        <f>IF(AND($H$12&gt;=29, $H$12&lt;&gt;"Please Select"),"Address:","")</f>
        <v/>
      </c>
      <c r="NC28" s="336"/>
      <c r="ND28" s="336"/>
      <c r="NE28" s="336"/>
      <c r="NF28" s="336"/>
      <c r="NI28" s="531"/>
      <c r="NJ28" s="531"/>
      <c r="NK28" s="531"/>
      <c r="NL28" s="531"/>
      <c r="NO28" s="1" t="str">
        <f>IF(AND($H$12&gt;=30, $H$12&lt;&gt;"Please Select"),"Address:","")</f>
        <v/>
      </c>
      <c r="NP28" s="336"/>
      <c r="NQ28" s="336"/>
      <c r="NR28" s="336"/>
      <c r="NS28" s="336"/>
      <c r="NV28" s="531"/>
      <c r="NW28" s="531"/>
      <c r="NX28" s="531"/>
      <c r="NY28" s="531"/>
      <c r="OA28" s="63" t="s">
        <v>216</v>
      </c>
      <c r="OB28" s="115" t="str">
        <f>IF(ISNUMBER(MATCH(6,G30:NT30,0)), "Yes", "")</f>
        <v/>
      </c>
      <c r="OC28" s="63" t="s">
        <v>228</v>
      </c>
      <c r="OD28" s="115" t="str">
        <f>IF(ISNUMBER(MATCH(18,G30:NT30,0)), "Yes", "")</f>
        <v/>
      </c>
      <c r="OE28" s="63" t="s">
        <v>240</v>
      </c>
      <c r="OF28" s="115" t="str">
        <f>IF(ISNUMBER(MATCH(30,G30:NT30,0)), "Yes", "")</f>
        <v/>
      </c>
      <c r="OG28" s="63" t="s">
        <v>252</v>
      </c>
      <c r="OH28" s="115" t="str">
        <f>IF(ISNUMBER(MATCH(42,G30:NT30,0)), "Yes", "")</f>
        <v/>
      </c>
      <c r="OI28" s="63"/>
      <c r="OJ28" s="63"/>
    </row>
    <row r="29" spans="2:400" s="41" customFormat="1" ht="15" customHeight="1" x14ac:dyDescent="0.2">
      <c r="B29" s="1" t="str">
        <f>IF(AND($H$12&gt;=1, $H$12&lt;&gt;"Please Select"),"Address:","")</f>
        <v/>
      </c>
      <c r="C29" s="336"/>
      <c r="D29" s="336"/>
      <c r="E29" s="336"/>
      <c r="F29" s="336"/>
      <c r="I29" s="117"/>
      <c r="J29" s="117"/>
      <c r="K29" s="117"/>
      <c r="L29" s="117"/>
      <c r="O29" s="1" t="str">
        <f>IF(AND($H$12&gt;=2, $H$12&lt;&gt;"Please Select"),"Address:","")</f>
        <v/>
      </c>
      <c r="P29" s="336"/>
      <c r="Q29" s="336"/>
      <c r="R29" s="336"/>
      <c r="S29" s="336"/>
      <c r="V29" s="117"/>
      <c r="W29" s="117"/>
      <c r="X29" s="117"/>
      <c r="Y29" s="117"/>
      <c r="AB29" s="1" t="str">
        <f>IF(AND($H$12&gt;=3, $H$12&lt;&gt;"Please Select"),"Address:","")</f>
        <v/>
      </c>
      <c r="AC29" s="336"/>
      <c r="AD29" s="336"/>
      <c r="AE29" s="336"/>
      <c r="AF29" s="336"/>
      <c r="AI29" s="117"/>
      <c r="AJ29" s="117"/>
      <c r="AK29" s="117"/>
      <c r="AL29" s="117"/>
      <c r="AO29" s="1" t="str">
        <f>IF(AND($H$12&gt;=4, $H$12&lt;&gt;"Please Select"),"Address:","")</f>
        <v/>
      </c>
      <c r="AP29" s="336"/>
      <c r="AQ29" s="336"/>
      <c r="AR29" s="336"/>
      <c r="AS29" s="336"/>
      <c r="AV29" s="117"/>
      <c r="AW29" s="117"/>
      <c r="AX29" s="117"/>
      <c r="AY29" s="117"/>
      <c r="BB29" s="1" t="str">
        <f>IF(AND($H$12&gt;=5, $H$12&lt;&gt;"Please Select"),"Address:","")</f>
        <v/>
      </c>
      <c r="BC29" s="336"/>
      <c r="BD29" s="336"/>
      <c r="BE29" s="336"/>
      <c r="BF29" s="336"/>
      <c r="BI29" s="117"/>
      <c r="BJ29" s="117"/>
      <c r="BK29" s="117"/>
      <c r="BL29" s="117"/>
      <c r="BO29" s="1" t="str">
        <f>IF(AND($H$12&gt;=6, $H$12&lt;&gt;"Please Select"),"Address:","")</f>
        <v/>
      </c>
      <c r="BP29" s="336"/>
      <c r="BQ29" s="336"/>
      <c r="BR29" s="336"/>
      <c r="BS29" s="336"/>
      <c r="BV29" s="117"/>
      <c r="BW29" s="117"/>
      <c r="BX29" s="117"/>
      <c r="BY29" s="117"/>
      <c r="CB29" s="1" t="str">
        <f>IF(AND($H$12&gt;=7, $H$12&lt;&gt;"Please Select"),"Address:","")</f>
        <v/>
      </c>
      <c r="CC29" s="336"/>
      <c r="CD29" s="336"/>
      <c r="CE29" s="336"/>
      <c r="CF29" s="336"/>
      <c r="CI29" s="117"/>
      <c r="CJ29" s="117"/>
      <c r="CK29" s="117"/>
      <c r="CL29" s="117"/>
      <c r="CO29" s="1" t="str">
        <f>IF(AND($H$12&gt;=8, $H$12&lt;&gt;"Please Select"),"Address:","")</f>
        <v/>
      </c>
      <c r="CP29" s="336"/>
      <c r="CQ29" s="336"/>
      <c r="CR29" s="336"/>
      <c r="CS29" s="336"/>
      <c r="CV29" s="117"/>
      <c r="CW29" s="117"/>
      <c r="CX29" s="117"/>
      <c r="CY29" s="117"/>
      <c r="DB29" s="1" t="str">
        <f>IF(AND($H$12&gt;=9, $H$12&lt;&gt;"Please Select"),"Address:","")</f>
        <v/>
      </c>
      <c r="DC29" s="336"/>
      <c r="DD29" s="336"/>
      <c r="DE29" s="336"/>
      <c r="DF29" s="336"/>
      <c r="DI29" s="117"/>
      <c r="DJ29" s="117"/>
      <c r="DK29" s="117"/>
      <c r="DL29" s="117"/>
      <c r="DO29" s="1" t="str">
        <f>IF(AND($H$12&gt;=10, $H$12&lt;&gt;"Please Select"),"Address:","")</f>
        <v/>
      </c>
      <c r="DP29" s="336"/>
      <c r="DQ29" s="336"/>
      <c r="DR29" s="336"/>
      <c r="DS29" s="336"/>
      <c r="DV29" s="117"/>
      <c r="DW29" s="117"/>
      <c r="DX29" s="117"/>
      <c r="DY29" s="117"/>
      <c r="EB29" s="1" t="str">
        <f>IF(AND($H$12&gt;=11, $H$12&lt;&gt;"Please Select"),"Address:","")</f>
        <v/>
      </c>
      <c r="EC29" s="336"/>
      <c r="ED29" s="336"/>
      <c r="EE29" s="336"/>
      <c r="EF29" s="336"/>
      <c r="EI29" s="117"/>
      <c r="EJ29" s="117"/>
      <c r="EK29" s="117"/>
      <c r="EL29" s="117"/>
      <c r="EO29" s="1" t="str">
        <f>IF(AND($H$12&gt;=12, $H$12&lt;&gt;"Please Select"),"Address:","")</f>
        <v/>
      </c>
      <c r="EP29" s="336"/>
      <c r="EQ29" s="336"/>
      <c r="ER29" s="336"/>
      <c r="ES29" s="336"/>
      <c r="EV29" s="117"/>
      <c r="EW29" s="117"/>
      <c r="EX29" s="117"/>
      <c r="EY29" s="117"/>
      <c r="FB29" s="1" t="str">
        <f>IF(AND($H$12&gt;=13, $H$12&lt;&gt;"Please Select"),"Address:","")</f>
        <v/>
      </c>
      <c r="FC29" s="336"/>
      <c r="FD29" s="336"/>
      <c r="FE29" s="336"/>
      <c r="FF29" s="336"/>
      <c r="FI29" s="117"/>
      <c r="FJ29" s="117"/>
      <c r="FK29" s="117"/>
      <c r="FL29" s="117"/>
      <c r="FO29" s="1" t="str">
        <f>IF(AND($H$12&gt;=14, $H$12&lt;&gt;"Please Select"),"Address:","")</f>
        <v/>
      </c>
      <c r="FP29" s="336"/>
      <c r="FQ29" s="336"/>
      <c r="FR29" s="336"/>
      <c r="FS29" s="336"/>
      <c r="FV29" s="117"/>
      <c r="FW29" s="117"/>
      <c r="FX29" s="117"/>
      <c r="FY29" s="117"/>
      <c r="GB29" s="1" t="str">
        <f>IF(AND($H$12&gt;=15, $H$12&lt;&gt;"Please Select"),"Address:","")</f>
        <v/>
      </c>
      <c r="GC29" s="336"/>
      <c r="GD29" s="336"/>
      <c r="GE29" s="336"/>
      <c r="GF29" s="336"/>
      <c r="GI29" s="117"/>
      <c r="GJ29" s="117"/>
      <c r="GK29" s="117"/>
      <c r="GL29" s="117"/>
      <c r="GO29" s="1" t="str">
        <f>IF(AND($H$12&gt;=16, $H$12&lt;&gt;"Please Select"),"Address:","")</f>
        <v/>
      </c>
      <c r="GP29" s="336"/>
      <c r="GQ29" s="336"/>
      <c r="GR29" s="336"/>
      <c r="GS29" s="336"/>
      <c r="GV29" s="117"/>
      <c r="GW29" s="117"/>
      <c r="GX29" s="117"/>
      <c r="GY29" s="117"/>
      <c r="HB29" s="1" t="str">
        <f>IF(AND($H$12&gt;=17, $H$12&lt;&gt;"Please Select"),"Address:","")</f>
        <v/>
      </c>
      <c r="HC29" s="336"/>
      <c r="HD29" s="336"/>
      <c r="HE29" s="336"/>
      <c r="HF29" s="336"/>
      <c r="HI29" s="117"/>
      <c r="HJ29" s="117"/>
      <c r="HK29" s="117"/>
      <c r="HL29" s="117"/>
      <c r="HO29" s="1" t="str">
        <f>IF(AND($H$12&gt;=18, $H$12&lt;&gt;"Please Select"),"Address:","")</f>
        <v/>
      </c>
      <c r="HP29" s="336"/>
      <c r="HQ29" s="336"/>
      <c r="HR29" s="336"/>
      <c r="HS29" s="336"/>
      <c r="HV29" s="117"/>
      <c r="HW29" s="117"/>
      <c r="HX29" s="117"/>
      <c r="HY29" s="117"/>
      <c r="IB29" s="1" t="str">
        <f>IF(AND($H$12&gt;=19, $H$12&lt;&gt;"Please Select"),"Address:","")</f>
        <v/>
      </c>
      <c r="IC29" s="336"/>
      <c r="ID29" s="336"/>
      <c r="IE29" s="336"/>
      <c r="IF29" s="336"/>
      <c r="II29" s="117"/>
      <c r="IJ29" s="117"/>
      <c r="IK29" s="117"/>
      <c r="IL29" s="117"/>
      <c r="IO29" s="1" t="str">
        <f>IF(AND($H$12&gt;=20, $H$12&lt;&gt;"Please Select"),"Address:","")</f>
        <v/>
      </c>
      <c r="IP29" s="336"/>
      <c r="IQ29" s="336"/>
      <c r="IR29" s="336"/>
      <c r="IS29" s="336"/>
      <c r="IV29" s="117"/>
      <c r="IW29" s="117"/>
      <c r="IX29" s="117"/>
      <c r="IY29" s="117"/>
      <c r="JB29" s="1" t="str">
        <f>IF(AND($H$12&gt;=21, $H$12&lt;&gt;"Please Select"),"Address:","")</f>
        <v/>
      </c>
      <c r="JC29" s="336"/>
      <c r="JD29" s="336"/>
      <c r="JE29" s="336"/>
      <c r="JF29" s="336"/>
      <c r="JI29" s="117"/>
      <c r="JJ29" s="117"/>
      <c r="JK29" s="117"/>
      <c r="JL29" s="117"/>
      <c r="JO29" s="1" t="str">
        <f>IF(AND($H$12&gt;=22, $H$12&lt;&gt;"Please Select"),"Address:","")</f>
        <v/>
      </c>
      <c r="JP29" s="336"/>
      <c r="JQ29" s="336"/>
      <c r="JR29" s="336"/>
      <c r="JS29" s="336"/>
      <c r="JV29" s="117"/>
      <c r="JW29" s="117"/>
      <c r="JX29" s="117"/>
      <c r="JY29" s="117"/>
      <c r="KB29" s="1" t="str">
        <f>IF(AND($H$12&gt;=23, $H$12&lt;&gt;"Please Select"),"Address:","")</f>
        <v/>
      </c>
      <c r="KC29" s="336"/>
      <c r="KD29" s="336"/>
      <c r="KE29" s="336"/>
      <c r="KF29" s="336"/>
      <c r="KI29" s="117"/>
      <c r="KJ29" s="117"/>
      <c r="KK29" s="117"/>
      <c r="KL29" s="117"/>
      <c r="KO29" s="1" t="str">
        <f>IF(AND($H$12&gt;=24, $H$12&lt;&gt;"Please Select"),"Address:","")</f>
        <v/>
      </c>
      <c r="KP29" s="336"/>
      <c r="KQ29" s="336"/>
      <c r="KR29" s="336"/>
      <c r="KS29" s="336"/>
      <c r="KV29" s="117"/>
      <c r="KW29" s="117"/>
      <c r="KX29" s="117"/>
      <c r="KY29" s="117"/>
      <c r="LB29" s="1" t="str">
        <f>IF(AND($H$12&gt;=25, $H$12&lt;&gt;"Please Select"),"Address:","")</f>
        <v/>
      </c>
      <c r="LC29" s="336"/>
      <c r="LD29" s="336"/>
      <c r="LE29" s="336"/>
      <c r="LF29" s="336"/>
      <c r="LI29" s="117"/>
      <c r="LJ29" s="117"/>
      <c r="LK29" s="117"/>
      <c r="LL29" s="117"/>
      <c r="LO29" s="1" t="str">
        <f>IF(AND($H$12&gt;=26, $H$12&lt;&gt;"Please Select"),"Address:","")</f>
        <v/>
      </c>
      <c r="LP29" s="336"/>
      <c r="LQ29" s="336"/>
      <c r="LR29" s="336"/>
      <c r="LS29" s="336"/>
      <c r="LV29" s="117"/>
      <c r="LW29" s="117"/>
      <c r="LX29" s="117"/>
      <c r="LY29" s="117"/>
      <c r="MB29" s="1" t="str">
        <f>IF(AND($H$12&gt;=27, $H$12&lt;&gt;"Please Select"),"Address:","")</f>
        <v/>
      </c>
      <c r="MC29" s="336"/>
      <c r="MD29" s="336"/>
      <c r="ME29" s="336"/>
      <c r="MF29" s="336"/>
      <c r="MI29" s="117"/>
      <c r="MJ29" s="117"/>
      <c r="MK29" s="117"/>
      <c r="ML29" s="117"/>
      <c r="MO29" s="1" t="str">
        <f>IF(AND($H$12&gt;=28, $H$12&lt;&gt;"Please Select"),"Address:","")</f>
        <v/>
      </c>
      <c r="MP29" s="336"/>
      <c r="MQ29" s="336"/>
      <c r="MR29" s="336"/>
      <c r="MS29" s="336"/>
      <c r="MV29" s="117"/>
      <c r="MW29" s="117"/>
      <c r="MX29" s="117"/>
      <c r="MY29" s="117"/>
      <c r="NB29" s="1" t="str">
        <f>IF(AND($H$12&gt;=29, $H$12&lt;&gt;"Please Select"),"Address:","")</f>
        <v/>
      </c>
      <c r="NC29" s="336"/>
      <c r="ND29" s="336"/>
      <c r="NE29" s="336"/>
      <c r="NF29" s="336"/>
      <c r="NI29" s="117"/>
      <c r="NJ29" s="117"/>
      <c r="NK29" s="117"/>
      <c r="NL29" s="117"/>
      <c r="NO29" s="1" t="str">
        <f>IF(AND($H$12&gt;=30, $H$12&lt;&gt;"Please Select"),"Address:","")</f>
        <v/>
      </c>
      <c r="NP29" s="336"/>
      <c r="NQ29" s="336"/>
      <c r="NR29" s="336"/>
      <c r="NS29" s="336"/>
      <c r="NV29" s="117"/>
      <c r="NW29" s="117"/>
      <c r="NX29" s="117"/>
      <c r="NY29" s="117"/>
      <c r="OA29" s="63" t="s">
        <v>217</v>
      </c>
      <c r="OB29" s="115" t="str">
        <f>IF(ISNUMBER(MATCH(7,G30:NT30,0)), "Yes", "")</f>
        <v/>
      </c>
      <c r="OC29" s="63" t="s">
        <v>229</v>
      </c>
      <c r="OD29" s="115" t="str">
        <f>IF(ISNUMBER(MATCH(19,G30:NT30,0)), "Yes", "")</f>
        <v/>
      </c>
      <c r="OE29" s="63" t="s">
        <v>241</v>
      </c>
      <c r="OF29" s="115" t="str">
        <f>IF(ISNUMBER(MATCH(31,G30:NT30,0)), "Yes", "")</f>
        <v/>
      </c>
      <c r="OG29" s="63" t="s">
        <v>253</v>
      </c>
      <c r="OH29" s="115" t="str">
        <f>IF(ISNUMBER(MATCH(43,G30:NT30,0)), "Yes", "")</f>
        <v/>
      </c>
      <c r="OI29" s="63"/>
      <c r="OJ29" s="63"/>
    </row>
    <row r="30" spans="2:400" s="41" customFormat="1" ht="14.25" x14ac:dyDescent="0.2">
      <c r="B30" s="1" t="str">
        <f>IF(AND($H$12&gt;=1, $H$12&lt;&gt;"Please Select"),"City:","")</f>
        <v/>
      </c>
      <c r="C30" s="336"/>
      <c r="D30" s="336"/>
      <c r="E30" s="73" t="str">
        <f>IF(AND($H$12&gt;=1, $H$12&lt;&gt;"Please Select"),"State:","")</f>
        <v/>
      </c>
      <c r="F30" s="203"/>
      <c r="G30" s="73"/>
      <c r="O30" s="1" t="str">
        <f>IF(AND($H$12&gt;=2, $H$12&lt;&gt;"Please Select"),"City:","")</f>
        <v/>
      </c>
      <c r="P30" s="336"/>
      <c r="Q30" s="336"/>
      <c r="R30" s="73" t="str">
        <f>IF(AND($H$12&gt;=2, $H$12&lt;&gt;"Please Select"),"State:","")</f>
        <v/>
      </c>
      <c r="S30" s="203"/>
      <c r="T30" s="73"/>
      <c r="AB30" s="1" t="str">
        <f>IF(AND($H$12&gt;=3, $H$12&lt;&gt;"Please Select"),"City:","")</f>
        <v/>
      </c>
      <c r="AC30" s="336"/>
      <c r="AD30" s="336"/>
      <c r="AE30" s="73" t="str">
        <f>IF(AND($H$12&gt;=3, $H$12&lt;&gt;"Please Select"),"State:","")</f>
        <v/>
      </c>
      <c r="AF30" s="203"/>
      <c r="AG30" s="73"/>
      <c r="AO30" s="1" t="str">
        <f>IF(AND($H$12&gt;=4, $H$12&lt;&gt;"Please Select"),"City:","")</f>
        <v/>
      </c>
      <c r="AP30" s="336"/>
      <c r="AQ30" s="336"/>
      <c r="AR30" s="73" t="str">
        <f>IF(AND($H$12&gt;=4, $H$12&lt;&gt;"Please Select"),"State:","")</f>
        <v/>
      </c>
      <c r="AS30" s="203"/>
      <c r="AT30" s="73"/>
      <c r="BB30" s="1" t="str">
        <f>IF(AND($H$12&gt;=5, $H$12&lt;&gt;"Please Select"),"City:","")</f>
        <v/>
      </c>
      <c r="BC30" s="336"/>
      <c r="BD30" s="336"/>
      <c r="BE30" s="73" t="str">
        <f>IF(AND($H$12&gt;=5, $H$12&lt;&gt;"Please Select"),"State:","")</f>
        <v/>
      </c>
      <c r="BF30" s="203"/>
      <c r="BG30" s="73"/>
      <c r="BO30" s="1" t="str">
        <f>IF(AND($H$12&gt;=6, $H$12&lt;&gt;"Please Select"),"City:","")</f>
        <v/>
      </c>
      <c r="BP30" s="336"/>
      <c r="BQ30" s="336"/>
      <c r="BR30" s="73" t="str">
        <f>IF(AND($H$12&gt;=6, $H$12&lt;&gt;"Please Select"),"State:","")</f>
        <v/>
      </c>
      <c r="BS30" s="203"/>
      <c r="BT30" s="73"/>
      <c r="CB30" s="1" t="str">
        <f>IF(AND($H$12&gt;=7, $H$12&lt;&gt;"Please Select"),"City:","")</f>
        <v/>
      </c>
      <c r="CC30" s="336"/>
      <c r="CD30" s="336"/>
      <c r="CE30" s="73" t="str">
        <f>IF(AND($H$12&gt;=7, $H$12&lt;&gt;"Please Select"),"State:","")</f>
        <v/>
      </c>
      <c r="CF30" s="203"/>
      <c r="CG30" s="73"/>
      <c r="CO30" s="1" t="str">
        <f>IF(AND($H$12&gt;=8, $H$12&lt;&gt;"Please Select"),"City:","")</f>
        <v/>
      </c>
      <c r="CP30" s="336"/>
      <c r="CQ30" s="336"/>
      <c r="CR30" s="73" t="str">
        <f>IF(AND($H$12&gt;=8, $H$12&lt;&gt;"Please Select"),"State:","")</f>
        <v/>
      </c>
      <c r="CS30" s="203"/>
      <c r="CT30" s="73"/>
      <c r="DB30" s="1" t="str">
        <f>IF(AND($H$12&gt;=9, $H$12&lt;&gt;"Please Select"),"City:","")</f>
        <v/>
      </c>
      <c r="DC30" s="336"/>
      <c r="DD30" s="336"/>
      <c r="DE30" s="73" t="str">
        <f>IF(AND($H$12&gt;=9, $H$12&lt;&gt;"Please Select"),"State:","")</f>
        <v/>
      </c>
      <c r="DF30" s="203"/>
      <c r="DG30" s="73"/>
      <c r="DO30" s="1" t="str">
        <f>IF(AND($H$12&gt;=10, $H$12&lt;&gt;"Please Select"),"City:","")</f>
        <v/>
      </c>
      <c r="DP30" s="336"/>
      <c r="DQ30" s="336"/>
      <c r="DR30" s="73" t="str">
        <f>IF(AND($H$12&gt;=10, $H$12&lt;&gt;"Please Select"),"State:","")</f>
        <v/>
      </c>
      <c r="DS30" s="203"/>
      <c r="DT30" s="73"/>
      <c r="EB30" s="1" t="str">
        <f>IF(AND($H$12&gt;=11, $H$12&lt;&gt;"Please Select"),"City:","")</f>
        <v/>
      </c>
      <c r="EC30" s="336"/>
      <c r="ED30" s="336"/>
      <c r="EE30" s="73" t="str">
        <f>IF(AND($H$12&gt;=11, $H$12&lt;&gt;"Please Select"),"State:","")</f>
        <v/>
      </c>
      <c r="EF30" s="203"/>
      <c r="EG30" s="204" t="str">
        <f>IF(AND(EF30&lt;&gt;"",EF30&lt;&gt;$H$14,EF30="AK"),1,IF(AND(EF30&lt;&gt;"",EF30&lt;&gt;$H$14,EF30="AL"),2,IF(AND(EF30&lt;&gt;"",EF30&lt;&gt;$H$14,EF30="AR"),3,IF(AND(EF30&lt;&gt;"",EF30&lt;&gt;$H$14,EF30="AZ"),4,IF(AND(EF30&lt;&gt;"",EF30&lt;&gt;$H$14,EF30="CA"),5,IF(AND(EF30&lt;&gt;"",EF30&lt;&gt;$H$14,EF30="CO"),6,IF(AND(EF30&lt;&gt;"",EF30&lt;&gt;$H$14,EF30="CT"),7,IF(AND(EF30&lt;&gt;"",EF30&lt;&gt;$H$14,EF30="DC"),8,IF(AND(EF30&lt;&gt;"",EF30&lt;&gt;$H$14,EF30="DE"),9,IF(AND(EF30&lt;&gt;"",EF30&lt;&gt;$H$14,EF30="FL"),10,IF(AND(EF30&lt;&gt;"",EF30&lt;&gt;$H$14,EF30="GA"),11,IF(AND(EF30&lt;&gt;"",EF30&lt;&gt;$H$14,EF30="HI"),12,IF(AND(EF30&lt;&gt;"",EF30&lt;&gt;$H$14,EF30="IA"),13,IF(AND(EF30&lt;&gt;"",EF30&lt;&gt;$H$14,EF30="ID"),14,IF(AND(EF30&lt;&gt;"",EF30&lt;&gt;$H$14,EF30="IL"),15,IF(AND(EF30&lt;&gt;"",EF30&lt;&gt;$H$14,EF30="IN"),16,IF(AND(EF30&lt;&gt;"",EF30&lt;&gt;$H$14,EF30="KS"),17,IF(AND(EF30&lt;&gt;"",EF30&lt;&gt;$H$14,EF30="KY"),18,IF(AND(EF30&lt;&gt;"",EF30&lt;&gt;$H$14,EF30="LA"),19,IF(AND(EF30&lt;&gt;"",EF30&lt;&gt;$H$14,EF30="MA"),20,IF(AND(EF30&lt;&gt;"",EF30&lt;&gt;$H$14,EF30="MD"),21,IF(AND(EF30&lt;&gt;"",EF30&lt;&gt;$H$14,EF30="ME"),22,IF(AND(EF30&lt;&gt;"",EF30&lt;&gt;$H$14,EF30="MI"),23,IF(AND(EF30&lt;&gt;"",EF30&lt;&gt;$H$14,EF30="MN"),24,IF(AND(EF30&lt;&gt;"",EF30&lt;&gt;$H$14,EF30="MO"),25,IF(AND(EF30&lt;&gt;"",EF30&lt;&gt;$H$14,EF30="MS"),26,IF(AND(EF30&lt;&gt;"",EF30&lt;&gt;$H$14,EF30="MT"),27,IF(AND(EF30&lt;&gt;"",EF30&lt;&gt;$H$14,EF30="NC"),28,IF(AND(EF30&lt;&gt;"",EF30&lt;&gt;$H$14,EF30="ND"),29,IF(AND(EF30&lt;&gt;"",EF30&lt;&gt;$H$14,EF30="NE"),30,IF(AND(EF30&lt;&gt;"",EF30&lt;&gt;$H$14,EF30="NH"),31,IF(AND(EF30&lt;&gt;"",EF30&lt;&gt;$H$14,EF30="NJ"),32,IF(AND(EF30&lt;&gt;"",EF30&lt;&gt;$H$14,EF30="NM"),33,IF(AND(EF30&lt;&gt;"",EF30&lt;&gt;$H$14,EF30="NV"),34,IF(AND(EF30&lt;&gt;"",EF30&lt;&gt;$H$14,EF30="NY"),35,IF(AND(EF30&lt;&gt;"",EF30&lt;&gt;$H$14,EF30="OH"),36,IF(AND(EF30&lt;&gt;"",EF30&lt;&gt;$H$14,EF30="OK"),37,IF(AND(EF30&lt;&gt;"",EF30&lt;&gt;$H$14,EF30="OR"),38,IF(AND(EF30&lt;&gt;"",EF30&lt;&gt;$H$14,EF30="PA"),39,IF(AND(EF30&lt;&gt;"",EF30&lt;&gt;$H$14,EF30="RI"),40,IF(AND(EF30&lt;&gt;"",EF30&lt;&gt;$H$14,EF30="SC"),41,IF(AND(EF30&lt;&gt;"",EF30&lt;&gt;$H$14,EF30="SD"),42,IF(AND(EF30&lt;&gt;"",EF30&lt;&gt;$H$14,EF30="TN"),43,IF(AND(EF30&lt;&gt;"",EF30&lt;&gt;$H$14,EF30="TX"),44,IF(AND(EF30&lt;&gt;"",EF30&lt;&gt;$H$14,EF30="UT"),45,IF(AND(EF30&lt;&gt;"",EF30&lt;&gt;$H$14,EF30="VA"),46,IF(AND(EF30&lt;&gt;"",EF30&lt;&gt;$H$14,EF30="VT"),47,IF(AND(EF30&lt;&gt;"",EF30&lt;&gt;$H$14,EF30="WA"),48,IF(AND(EF30&lt;&gt;"",EF30&lt;&gt;$H$14,EF30="WI"),49,IF(AND(EF30&lt;&gt;"",EF30&lt;&gt;$H$14,EF30="WV"),50,IF(AND(EF30&lt;&gt;"",EF30&lt;&gt;$H$14,EF30="WY"),51,"")))))))))))))))))))))))))))))))))))))))))))))))))))</f>
        <v/>
      </c>
      <c r="EO30" s="1" t="str">
        <f>IF(AND($H$12&gt;=12, $H$12&lt;&gt;"Please Select"),"City:","")</f>
        <v/>
      </c>
      <c r="EP30" s="336"/>
      <c r="EQ30" s="336"/>
      <c r="ER30" s="73" t="str">
        <f>IF(AND($H$12&gt;=12, $H$12&lt;&gt;"Please Select"),"State:","")</f>
        <v/>
      </c>
      <c r="ES30" s="203"/>
      <c r="ET30" s="204" t="str">
        <f>IF(AND(ES30&lt;&gt;"",ES30&lt;&gt;$H$14,ES30="AK"),1,IF(AND(ES30&lt;&gt;"",ES30&lt;&gt;$H$14,ES30="AL"),2,IF(AND(ES30&lt;&gt;"",ES30&lt;&gt;$H$14,ES30="AR"),3,IF(AND(ES30&lt;&gt;"",ES30&lt;&gt;$H$14,ES30="AZ"),4,IF(AND(ES30&lt;&gt;"",ES30&lt;&gt;$H$14,ES30="CA"),5,IF(AND(ES30&lt;&gt;"",ES30&lt;&gt;$H$14,ES30="CO"),6,IF(AND(ES30&lt;&gt;"",ES30&lt;&gt;$H$14,ES30="CT"),7,IF(AND(ES30&lt;&gt;"",ES30&lt;&gt;$H$14,ES30="DC"),8,IF(AND(ES30&lt;&gt;"",ES30&lt;&gt;$H$14,ES30="DE"),9,IF(AND(ES30&lt;&gt;"",ES30&lt;&gt;$H$14,ES30="FL"),10,IF(AND(ES30&lt;&gt;"",ES30&lt;&gt;$H$14,ES30="GA"),11,IF(AND(ES30&lt;&gt;"",ES30&lt;&gt;$H$14,ES30="HI"),12,IF(AND(ES30&lt;&gt;"",ES30&lt;&gt;$H$14,ES30="IA"),13,IF(AND(ES30&lt;&gt;"",ES30&lt;&gt;$H$14,ES30="ID"),14,IF(AND(ES30&lt;&gt;"",ES30&lt;&gt;$H$14,ES30="IL"),15,IF(AND(ES30&lt;&gt;"",ES30&lt;&gt;$H$14,ES30="IN"),16,IF(AND(ES30&lt;&gt;"",ES30&lt;&gt;$H$14,ES30="KS"),17,IF(AND(ES30&lt;&gt;"",ES30&lt;&gt;$H$14,ES30="KY"),18,IF(AND(ES30&lt;&gt;"",ES30&lt;&gt;$H$14,ES30="LA"),19,IF(AND(ES30&lt;&gt;"",ES30&lt;&gt;$H$14,ES30="MA"),20,IF(AND(ES30&lt;&gt;"",ES30&lt;&gt;$H$14,ES30="MD"),21,IF(AND(ES30&lt;&gt;"",ES30&lt;&gt;$H$14,ES30="ME"),22,IF(AND(ES30&lt;&gt;"",ES30&lt;&gt;$H$14,ES30="MI"),23,IF(AND(ES30&lt;&gt;"",ES30&lt;&gt;$H$14,ES30="MN"),24,IF(AND(ES30&lt;&gt;"",ES30&lt;&gt;$H$14,ES30="MO"),25,IF(AND(ES30&lt;&gt;"",ES30&lt;&gt;$H$14,ES30="MS"),26,IF(AND(ES30&lt;&gt;"",ES30&lt;&gt;$H$14,ES30="MT"),27,IF(AND(ES30&lt;&gt;"",ES30&lt;&gt;$H$14,ES30="NC"),28,IF(AND(ES30&lt;&gt;"",ES30&lt;&gt;$H$14,ES30="ND"),29,IF(AND(ES30&lt;&gt;"",ES30&lt;&gt;$H$14,ES30="NE"),30,IF(AND(ES30&lt;&gt;"",ES30&lt;&gt;$H$14,ES30="NH"),31,IF(AND(ES30&lt;&gt;"",ES30&lt;&gt;$H$14,ES30="NJ"),32,IF(AND(ES30&lt;&gt;"",ES30&lt;&gt;$H$14,ES30="NM"),33,IF(AND(ES30&lt;&gt;"",ES30&lt;&gt;$H$14,ES30="NV"),34,IF(AND(ES30&lt;&gt;"",ES30&lt;&gt;$H$14,ES30="NY"),35,IF(AND(ES30&lt;&gt;"",ES30&lt;&gt;$H$14,ES30="OH"),36,IF(AND(ES30&lt;&gt;"",ES30&lt;&gt;$H$14,ES30="OK"),37,IF(AND(ES30&lt;&gt;"",ES30&lt;&gt;$H$14,ES30="OR"),38,IF(AND(ES30&lt;&gt;"",ES30&lt;&gt;$H$14,ES30="PA"),39,IF(AND(ES30&lt;&gt;"",ES30&lt;&gt;$H$14,ES30="RI"),40,IF(AND(ES30&lt;&gt;"",ES30&lt;&gt;$H$14,ES30="SC"),41,IF(AND(ES30&lt;&gt;"",ES30&lt;&gt;$H$14,ES30="SD"),42,IF(AND(ES30&lt;&gt;"",ES30&lt;&gt;$H$14,ES30="TN"),43,IF(AND(ES30&lt;&gt;"",ES30&lt;&gt;$H$14,ES30="TX"),44,IF(AND(ES30&lt;&gt;"",ES30&lt;&gt;$H$14,ES30="UT"),45,IF(AND(ES30&lt;&gt;"",ES30&lt;&gt;$H$14,ES30="VA"),46,IF(AND(ES30&lt;&gt;"",ES30&lt;&gt;$H$14,ES30="VT"),47,IF(AND(ES30&lt;&gt;"",ES30&lt;&gt;$H$14,ES30="WA"),48,IF(AND(ES30&lt;&gt;"",ES30&lt;&gt;$H$14,ES30="WI"),49,IF(AND(ES30&lt;&gt;"",ES30&lt;&gt;$H$14,ES30="WV"),50,IF(AND(ES30&lt;&gt;"",ES30&lt;&gt;$H$14,ES30="WY"),51,"")))))))))))))))))))))))))))))))))))))))))))))))))))</f>
        <v/>
      </c>
      <c r="FB30" s="1" t="str">
        <f>IF(AND($H$12&gt;=13, $H$12&lt;&gt;"Please Select"),"City:","")</f>
        <v/>
      </c>
      <c r="FC30" s="336"/>
      <c r="FD30" s="336"/>
      <c r="FE30" s="73" t="str">
        <f>IF(AND($H$12&gt;=13, $H$12&lt;&gt;"Please Select"),"State:","")</f>
        <v/>
      </c>
      <c r="FF30" s="203"/>
      <c r="FG30" s="204" t="str">
        <f>IF(AND(FF30&lt;&gt;"",FF30&lt;&gt;$H$14,FF30="AK"),1,IF(AND(FF30&lt;&gt;"",FF30&lt;&gt;$H$14,FF30="AL"),2,IF(AND(FF30&lt;&gt;"",FF30&lt;&gt;$H$14,FF30="AR"),3,IF(AND(FF30&lt;&gt;"",FF30&lt;&gt;$H$14,FF30="AZ"),4,IF(AND(FF30&lt;&gt;"",FF30&lt;&gt;$H$14,FF30="CA"),5,IF(AND(FF30&lt;&gt;"",FF30&lt;&gt;$H$14,FF30="CO"),6,IF(AND(FF30&lt;&gt;"",FF30&lt;&gt;$H$14,FF30="CT"),7,IF(AND(FF30&lt;&gt;"",FF30&lt;&gt;$H$14,FF30="DC"),8,IF(AND(FF30&lt;&gt;"",FF30&lt;&gt;$H$14,FF30="DE"),9,IF(AND(FF30&lt;&gt;"",FF30&lt;&gt;$H$14,FF30="FL"),10,IF(AND(FF30&lt;&gt;"",FF30&lt;&gt;$H$14,FF30="GA"),11,IF(AND(FF30&lt;&gt;"",FF30&lt;&gt;$H$14,FF30="HI"),12,IF(AND(FF30&lt;&gt;"",FF30&lt;&gt;$H$14,FF30="IA"),13,IF(AND(FF30&lt;&gt;"",FF30&lt;&gt;$H$14,FF30="ID"),14,IF(AND(FF30&lt;&gt;"",FF30&lt;&gt;$H$14,FF30="IL"),15,IF(AND(FF30&lt;&gt;"",FF30&lt;&gt;$H$14,FF30="IN"),16,IF(AND(FF30&lt;&gt;"",FF30&lt;&gt;$H$14,FF30="KS"),17,IF(AND(FF30&lt;&gt;"",FF30&lt;&gt;$H$14,FF30="KY"),18,IF(AND(FF30&lt;&gt;"",FF30&lt;&gt;$H$14,FF30="LA"),19,IF(AND(FF30&lt;&gt;"",FF30&lt;&gt;$H$14,FF30="MA"),20,IF(AND(FF30&lt;&gt;"",FF30&lt;&gt;$H$14,FF30="MD"),21,IF(AND(FF30&lt;&gt;"",FF30&lt;&gt;$H$14,FF30="ME"),22,IF(AND(FF30&lt;&gt;"",FF30&lt;&gt;$H$14,FF30="MI"),23,IF(AND(FF30&lt;&gt;"",FF30&lt;&gt;$H$14,FF30="MN"),24,IF(AND(FF30&lt;&gt;"",FF30&lt;&gt;$H$14,FF30="MO"),25,IF(AND(FF30&lt;&gt;"",FF30&lt;&gt;$H$14,FF30="MS"),26,IF(AND(FF30&lt;&gt;"",FF30&lt;&gt;$H$14,FF30="MT"),27,IF(AND(FF30&lt;&gt;"",FF30&lt;&gt;$H$14,FF30="NC"),28,IF(AND(FF30&lt;&gt;"",FF30&lt;&gt;$H$14,FF30="ND"),29,IF(AND(FF30&lt;&gt;"",FF30&lt;&gt;$H$14,FF30="NE"),30,IF(AND(FF30&lt;&gt;"",FF30&lt;&gt;$H$14,FF30="NH"),31,IF(AND(FF30&lt;&gt;"",FF30&lt;&gt;$H$14,FF30="NJ"),32,IF(AND(FF30&lt;&gt;"",FF30&lt;&gt;$H$14,FF30="NM"),33,IF(AND(FF30&lt;&gt;"",FF30&lt;&gt;$H$14,FF30="NV"),34,IF(AND(FF30&lt;&gt;"",FF30&lt;&gt;$H$14,FF30="NY"),35,IF(AND(FF30&lt;&gt;"",FF30&lt;&gt;$H$14,FF30="OH"),36,IF(AND(FF30&lt;&gt;"",FF30&lt;&gt;$H$14,FF30="OK"),37,IF(AND(FF30&lt;&gt;"",FF30&lt;&gt;$H$14,FF30="OR"),38,IF(AND(FF30&lt;&gt;"",FF30&lt;&gt;$H$14,FF30="PA"),39,IF(AND(FF30&lt;&gt;"",FF30&lt;&gt;$H$14,FF30="RI"),40,IF(AND(FF30&lt;&gt;"",FF30&lt;&gt;$H$14,FF30="SC"),41,IF(AND(FF30&lt;&gt;"",FF30&lt;&gt;$H$14,FF30="SD"),42,IF(AND(FF30&lt;&gt;"",FF30&lt;&gt;$H$14,FF30="TN"),43,IF(AND(FF30&lt;&gt;"",FF30&lt;&gt;$H$14,FF30="TX"),44,IF(AND(FF30&lt;&gt;"",FF30&lt;&gt;$H$14,FF30="UT"),45,IF(AND(FF30&lt;&gt;"",FF30&lt;&gt;$H$14,FF30="VA"),46,IF(AND(FF30&lt;&gt;"",FF30&lt;&gt;$H$14,FF30="VT"),47,IF(AND(FF30&lt;&gt;"",FF30&lt;&gt;$H$14,FF30="WA"),48,IF(AND(FF30&lt;&gt;"",FF30&lt;&gt;$H$14,FF30="WI"),49,IF(AND(FF30&lt;&gt;"",FF30&lt;&gt;$H$14,FF30="WV"),50,IF(AND(FF30&lt;&gt;"",FF30&lt;&gt;$H$14,FF30="WY"),51,"")))))))))))))))))))))))))))))))))))))))))))))))))))</f>
        <v/>
      </c>
      <c r="FO30" s="1" t="str">
        <f>IF(AND($H$12&gt;=14, $H$12&lt;&gt;"Please Select"),"City:","")</f>
        <v/>
      </c>
      <c r="FP30" s="336"/>
      <c r="FQ30" s="336"/>
      <c r="FR30" s="73" t="str">
        <f>IF(AND($H$12&gt;=14, $H$12&lt;&gt;"Please Select"),"State:","")</f>
        <v/>
      </c>
      <c r="FS30" s="203"/>
      <c r="FT30" s="204" t="str">
        <f>IF(AND(FS30&lt;&gt;"",FS30&lt;&gt;$H$14,FS30="AK"),1,IF(AND(FS30&lt;&gt;"",FS30&lt;&gt;$H$14,FS30="AL"),2,IF(AND(FS30&lt;&gt;"",FS30&lt;&gt;$H$14,FS30="AR"),3,IF(AND(FS30&lt;&gt;"",FS30&lt;&gt;$H$14,FS30="AZ"),4,IF(AND(FS30&lt;&gt;"",FS30&lt;&gt;$H$14,FS30="CA"),5,IF(AND(FS30&lt;&gt;"",FS30&lt;&gt;$H$14,FS30="CO"),6,IF(AND(FS30&lt;&gt;"",FS30&lt;&gt;$H$14,FS30="CT"),7,IF(AND(FS30&lt;&gt;"",FS30&lt;&gt;$H$14,FS30="DC"),8,IF(AND(FS30&lt;&gt;"",FS30&lt;&gt;$H$14,FS30="DE"),9,IF(AND(FS30&lt;&gt;"",FS30&lt;&gt;$H$14,FS30="FL"),10,IF(AND(FS30&lt;&gt;"",FS30&lt;&gt;$H$14,FS30="GA"),11,IF(AND(FS30&lt;&gt;"",FS30&lt;&gt;$H$14,FS30="HI"),12,IF(AND(FS30&lt;&gt;"",FS30&lt;&gt;$H$14,FS30="IA"),13,IF(AND(FS30&lt;&gt;"",FS30&lt;&gt;$H$14,FS30="ID"),14,IF(AND(FS30&lt;&gt;"",FS30&lt;&gt;$H$14,FS30="IL"),15,IF(AND(FS30&lt;&gt;"",FS30&lt;&gt;$H$14,FS30="IN"),16,IF(AND(FS30&lt;&gt;"",FS30&lt;&gt;$H$14,FS30="KS"),17,IF(AND(FS30&lt;&gt;"",FS30&lt;&gt;$H$14,FS30="KY"),18,IF(AND(FS30&lt;&gt;"",FS30&lt;&gt;$H$14,FS30="LA"),19,IF(AND(FS30&lt;&gt;"",FS30&lt;&gt;$H$14,FS30="MA"),20,IF(AND(FS30&lt;&gt;"",FS30&lt;&gt;$H$14,FS30="MD"),21,IF(AND(FS30&lt;&gt;"",FS30&lt;&gt;$H$14,FS30="ME"),22,IF(AND(FS30&lt;&gt;"",FS30&lt;&gt;$H$14,FS30="MI"),23,IF(AND(FS30&lt;&gt;"",FS30&lt;&gt;$H$14,FS30="MN"),24,IF(AND(FS30&lt;&gt;"",FS30&lt;&gt;$H$14,FS30="MO"),25,IF(AND(FS30&lt;&gt;"",FS30&lt;&gt;$H$14,FS30="MS"),26,IF(AND(FS30&lt;&gt;"",FS30&lt;&gt;$H$14,FS30="MT"),27,IF(AND(FS30&lt;&gt;"",FS30&lt;&gt;$H$14,FS30="NC"),28,IF(AND(FS30&lt;&gt;"",FS30&lt;&gt;$H$14,FS30="ND"),29,IF(AND(FS30&lt;&gt;"",FS30&lt;&gt;$H$14,FS30="NE"),30,IF(AND(FS30&lt;&gt;"",FS30&lt;&gt;$H$14,FS30="NH"),31,IF(AND(FS30&lt;&gt;"",FS30&lt;&gt;$H$14,FS30="NJ"),32,IF(AND(FS30&lt;&gt;"",FS30&lt;&gt;$H$14,FS30="NM"),33,IF(AND(FS30&lt;&gt;"",FS30&lt;&gt;$H$14,FS30="NV"),34,IF(AND(FS30&lt;&gt;"",FS30&lt;&gt;$H$14,FS30="NY"),35,IF(AND(FS30&lt;&gt;"",FS30&lt;&gt;$H$14,FS30="OH"),36,IF(AND(FS30&lt;&gt;"",FS30&lt;&gt;$H$14,FS30="OK"),37,IF(AND(FS30&lt;&gt;"",FS30&lt;&gt;$H$14,FS30="OR"),38,IF(AND(FS30&lt;&gt;"",FS30&lt;&gt;$H$14,FS30="PA"),39,IF(AND(FS30&lt;&gt;"",FS30&lt;&gt;$H$14,FS30="RI"),40,IF(AND(FS30&lt;&gt;"",FS30&lt;&gt;$H$14,FS30="SC"),41,IF(AND(FS30&lt;&gt;"",FS30&lt;&gt;$H$14,FS30="SD"),42,IF(AND(FS30&lt;&gt;"",FS30&lt;&gt;$H$14,FS30="TN"),43,IF(AND(FS30&lt;&gt;"",FS30&lt;&gt;$H$14,FS30="TX"),44,IF(AND(FS30&lt;&gt;"",FS30&lt;&gt;$H$14,FS30="UT"),45,IF(AND(FS30&lt;&gt;"",FS30&lt;&gt;$H$14,FS30="VA"),46,IF(AND(FS30&lt;&gt;"",FS30&lt;&gt;$H$14,FS30="VT"),47,IF(AND(FS30&lt;&gt;"",FS30&lt;&gt;$H$14,FS30="WA"),48,IF(AND(FS30&lt;&gt;"",FS30&lt;&gt;$H$14,FS30="WI"),49,IF(AND(FS30&lt;&gt;"",FS30&lt;&gt;$H$14,FS30="WV"),50,IF(AND(FS30&lt;&gt;"",FS30&lt;&gt;$H$14,FS30="WY"),51,"")))))))))))))))))))))))))))))))))))))))))))))))))))</f>
        <v/>
      </c>
      <c r="GB30" s="1" t="str">
        <f>IF(AND($H$12&gt;=15, $H$12&lt;&gt;"Please Select"),"City:","")</f>
        <v/>
      </c>
      <c r="GC30" s="336"/>
      <c r="GD30" s="336"/>
      <c r="GE30" s="73" t="str">
        <f>IF(AND($H$12&gt;=15, $H$12&lt;&gt;"Please Select"),"State:","")</f>
        <v/>
      </c>
      <c r="GF30" s="203"/>
      <c r="GG30" s="204" t="str">
        <f>IF(AND(GF30&lt;&gt;"",GF30&lt;&gt;$H$14,GF30="AK"),1,IF(AND(GF30&lt;&gt;"",GF30&lt;&gt;$H$14,GF30="AL"),2,IF(AND(GF30&lt;&gt;"",GF30&lt;&gt;$H$14,GF30="AR"),3,IF(AND(GF30&lt;&gt;"",GF30&lt;&gt;$H$14,GF30="AZ"),4,IF(AND(GF30&lt;&gt;"",GF30&lt;&gt;$H$14,GF30="CA"),5,IF(AND(GF30&lt;&gt;"",GF30&lt;&gt;$H$14,GF30="CO"),6,IF(AND(GF30&lt;&gt;"",GF30&lt;&gt;$H$14,GF30="CT"),7,IF(AND(GF30&lt;&gt;"",GF30&lt;&gt;$H$14,GF30="DC"),8,IF(AND(GF30&lt;&gt;"",GF30&lt;&gt;$H$14,GF30="DE"),9,IF(AND(GF30&lt;&gt;"",GF30&lt;&gt;$H$14,GF30="FL"),10,IF(AND(GF30&lt;&gt;"",GF30&lt;&gt;$H$14,GF30="GA"),11,IF(AND(GF30&lt;&gt;"",GF30&lt;&gt;$H$14,GF30="HI"),12,IF(AND(GF30&lt;&gt;"",GF30&lt;&gt;$H$14,GF30="IA"),13,IF(AND(GF30&lt;&gt;"",GF30&lt;&gt;$H$14,GF30="ID"),14,IF(AND(GF30&lt;&gt;"",GF30&lt;&gt;$H$14,GF30="IL"),15,IF(AND(GF30&lt;&gt;"",GF30&lt;&gt;$H$14,GF30="IN"),16,IF(AND(GF30&lt;&gt;"",GF30&lt;&gt;$H$14,GF30="KS"),17,IF(AND(GF30&lt;&gt;"",GF30&lt;&gt;$H$14,GF30="KY"),18,IF(AND(GF30&lt;&gt;"",GF30&lt;&gt;$H$14,GF30="LA"),19,IF(AND(GF30&lt;&gt;"",GF30&lt;&gt;$H$14,GF30="MA"),20,IF(AND(GF30&lt;&gt;"",GF30&lt;&gt;$H$14,GF30="MD"),21,IF(AND(GF30&lt;&gt;"",GF30&lt;&gt;$H$14,GF30="ME"),22,IF(AND(GF30&lt;&gt;"",GF30&lt;&gt;$H$14,GF30="MI"),23,IF(AND(GF30&lt;&gt;"",GF30&lt;&gt;$H$14,GF30="MN"),24,IF(AND(GF30&lt;&gt;"",GF30&lt;&gt;$H$14,GF30="MO"),25,IF(AND(GF30&lt;&gt;"",GF30&lt;&gt;$H$14,GF30="MS"),26,IF(AND(GF30&lt;&gt;"",GF30&lt;&gt;$H$14,GF30="MT"),27,IF(AND(GF30&lt;&gt;"",GF30&lt;&gt;$H$14,GF30="NC"),28,IF(AND(GF30&lt;&gt;"",GF30&lt;&gt;$H$14,GF30="ND"),29,IF(AND(GF30&lt;&gt;"",GF30&lt;&gt;$H$14,GF30="NE"),30,IF(AND(GF30&lt;&gt;"",GF30&lt;&gt;$H$14,GF30="NH"),31,IF(AND(GF30&lt;&gt;"",GF30&lt;&gt;$H$14,GF30="NJ"),32,IF(AND(GF30&lt;&gt;"",GF30&lt;&gt;$H$14,GF30="NM"),33,IF(AND(GF30&lt;&gt;"",GF30&lt;&gt;$H$14,GF30="NV"),34,IF(AND(GF30&lt;&gt;"",GF30&lt;&gt;$H$14,GF30="NY"),35,IF(AND(GF30&lt;&gt;"",GF30&lt;&gt;$H$14,GF30="OH"),36,IF(AND(GF30&lt;&gt;"",GF30&lt;&gt;$H$14,GF30="OK"),37,IF(AND(GF30&lt;&gt;"",GF30&lt;&gt;$H$14,GF30="OR"),38,IF(AND(GF30&lt;&gt;"",GF30&lt;&gt;$H$14,GF30="PA"),39,IF(AND(GF30&lt;&gt;"",GF30&lt;&gt;$H$14,GF30="RI"),40,IF(AND(GF30&lt;&gt;"",GF30&lt;&gt;$H$14,GF30="SC"),41,IF(AND(GF30&lt;&gt;"",GF30&lt;&gt;$H$14,GF30="SD"),42,IF(AND(GF30&lt;&gt;"",GF30&lt;&gt;$H$14,GF30="TN"),43,IF(AND(GF30&lt;&gt;"",GF30&lt;&gt;$H$14,GF30="TX"),44,IF(AND(GF30&lt;&gt;"",GF30&lt;&gt;$H$14,GF30="UT"),45,IF(AND(GF30&lt;&gt;"",GF30&lt;&gt;$H$14,GF30="VA"),46,IF(AND(GF30&lt;&gt;"",GF30&lt;&gt;$H$14,GF30="VT"),47,IF(AND(GF30&lt;&gt;"",GF30&lt;&gt;$H$14,GF30="WA"),48,IF(AND(GF30&lt;&gt;"",GF30&lt;&gt;$H$14,GF30="WI"),49,IF(AND(GF30&lt;&gt;"",GF30&lt;&gt;$H$14,GF30="WV"),50,IF(AND(GF30&lt;&gt;"",GF30&lt;&gt;$H$14,GF30="WY"),51,"")))))))))))))))))))))))))))))))))))))))))))))))))))</f>
        <v/>
      </c>
      <c r="GO30" s="1" t="str">
        <f>IF(AND($H$12&gt;=16, $H$12&lt;&gt;"Please Select"),"City:","")</f>
        <v/>
      </c>
      <c r="GP30" s="336"/>
      <c r="GQ30" s="336"/>
      <c r="GR30" s="73" t="str">
        <f>IF(AND($H$12&gt;=16, $H$12&lt;&gt;"Please Select"),"State:","")</f>
        <v/>
      </c>
      <c r="GS30" s="203"/>
      <c r="GT30" s="204" t="str">
        <f>IF(AND(GS30&lt;&gt;"",GS30&lt;&gt;$H$14,GS30="AK"),1,IF(AND(GS30&lt;&gt;"",GS30&lt;&gt;$H$14,GS30="AL"),2,IF(AND(GS30&lt;&gt;"",GS30&lt;&gt;$H$14,GS30="AR"),3,IF(AND(GS30&lt;&gt;"",GS30&lt;&gt;$H$14,GS30="AZ"),4,IF(AND(GS30&lt;&gt;"",GS30&lt;&gt;$H$14,GS30="CA"),5,IF(AND(GS30&lt;&gt;"",GS30&lt;&gt;$H$14,GS30="CO"),6,IF(AND(GS30&lt;&gt;"",GS30&lt;&gt;$H$14,GS30="CT"),7,IF(AND(GS30&lt;&gt;"",GS30&lt;&gt;$H$14,GS30="DC"),8,IF(AND(GS30&lt;&gt;"",GS30&lt;&gt;$H$14,GS30="DE"),9,IF(AND(GS30&lt;&gt;"",GS30&lt;&gt;$H$14,GS30="FL"),10,IF(AND(GS30&lt;&gt;"",GS30&lt;&gt;$H$14,GS30="GA"),11,IF(AND(GS30&lt;&gt;"",GS30&lt;&gt;$H$14,GS30="HI"),12,IF(AND(GS30&lt;&gt;"",GS30&lt;&gt;$H$14,GS30="IA"),13,IF(AND(GS30&lt;&gt;"",GS30&lt;&gt;$H$14,GS30="ID"),14,IF(AND(GS30&lt;&gt;"",GS30&lt;&gt;$H$14,GS30="IL"),15,IF(AND(GS30&lt;&gt;"",GS30&lt;&gt;$H$14,GS30="IN"),16,IF(AND(GS30&lt;&gt;"",GS30&lt;&gt;$H$14,GS30="KS"),17,IF(AND(GS30&lt;&gt;"",GS30&lt;&gt;$H$14,GS30="KY"),18,IF(AND(GS30&lt;&gt;"",GS30&lt;&gt;$H$14,GS30="LA"),19,IF(AND(GS30&lt;&gt;"",GS30&lt;&gt;$H$14,GS30="MA"),20,IF(AND(GS30&lt;&gt;"",GS30&lt;&gt;$H$14,GS30="MD"),21,IF(AND(GS30&lt;&gt;"",GS30&lt;&gt;$H$14,GS30="ME"),22,IF(AND(GS30&lt;&gt;"",GS30&lt;&gt;$H$14,GS30="MI"),23,IF(AND(GS30&lt;&gt;"",GS30&lt;&gt;$H$14,GS30="MN"),24,IF(AND(GS30&lt;&gt;"",GS30&lt;&gt;$H$14,GS30="MO"),25,IF(AND(GS30&lt;&gt;"",GS30&lt;&gt;$H$14,GS30="MS"),26,IF(AND(GS30&lt;&gt;"",GS30&lt;&gt;$H$14,GS30="MT"),27,IF(AND(GS30&lt;&gt;"",GS30&lt;&gt;$H$14,GS30="NC"),28,IF(AND(GS30&lt;&gt;"",GS30&lt;&gt;$H$14,GS30="ND"),29,IF(AND(GS30&lt;&gt;"",GS30&lt;&gt;$H$14,GS30="NE"),30,IF(AND(GS30&lt;&gt;"",GS30&lt;&gt;$H$14,GS30="NH"),31,IF(AND(GS30&lt;&gt;"",GS30&lt;&gt;$H$14,GS30="NJ"),32,IF(AND(GS30&lt;&gt;"",GS30&lt;&gt;$H$14,GS30="NM"),33,IF(AND(GS30&lt;&gt;"",GS30&lt;&gt;$H$14,GS30="NV"),34,IF(AND(GS30&lt;&gt;"",GS30&lt;&gt;$H$14,GS30="NY"),35,IF(AND(GS30&lt;&gt;"",GS30&lt;&gt;$H$14,GS30="OH"),36,IF(AND(GS30&lt;&gt;"",GS30&lt;&gt;$H$14,GS30="OK"),37,IF(AND(GS30&lt;&gt;"",GS30&lt;&gt;$H$14,GS30="OR"),38,IF(AND(GS30&lt;&gt;"",GS30&lt;&gt;$H$14,GS30="PA"),39,IF(AND(GS30&lt;&gt;"",GS30&lt;&gt;$H$14,GS30="RI"),40,IF(AND(GS30&lt;&gt;"",GS30&lt;&gt;$H$14,GS30="SC"),41,IF(AND(GS30&lt;&gt;"",GS30&lt;&gt;$H$14,GS30="SD"),42,IF(AND(GS30&lt;&gt;"",GS30&lt;&gt;$H$14,GS30="TN"),43,IF(AND(GS30&lt;&gt;"",GS30&lt;&gt;$H$14,GS30="TX"),44,IF(AND(GS30&lt;&gt;"",GS30&lt;&gt;$H$14,GS30="UT"),45,IF(AND(GS30&lt;&gt;"",GS30&lt;&gt;$H$14,GS30="VA"),46,IF(AND(GS30&lt;&gt;"",GS30&lt;&gt;$H$14,GS30="VT"),47,IF(AND(GS30&lt;&gt;"",GS30&lt;&gt;$H$14,GS30="WA"),48,IF(AND(GS30&lt;&gt;"",GS30&lt;&gt;$H$14,GS30="WI"),49,IF(AND(GS30&lt;&gt;"",GS30&lt;&gt;$H$14,GS30="WV"),50,IF(AND(GS30&lt;&gt;"",GS30&lt;&gt;$H$14,GS30="WY"),51,"")))))))))))))))))))))))))))))))))))))))))))))))))))</f>
        <v/>
      </c>
      <c r="HB30" s="1" t="str">
        <f>IF(AND($H$12&gt;=17, $H$12&lt;&gt;"Please Select"),"City:","")</f>
        <v/>
      </c>
      <c r="HC30" s="336"/>
      <c r="HD30" s="336"/>
      <c r="HE30" s="73" t="str">
        <f>IF(AND($H$12&gt;=17, $H$12&lt;&gt;"Please Select"),"State:","")</f>
        <v/>
      </c>
      <c r="HF30" s="203"/>
      <c r="HG30" s="204" t="str">
        <f>IF(AND(HF30&lt;&gt;"",HF30&lt;&gt;$H$14,HF30="AK"),1,IF(AND(HF30&lt;&gt;"",HF30&lt;&gt;$H$14,HF30="AL"),2,IF(AND(HF30&lt;&gt;"",HF30&lt;&gt;$H$14,HF30="AR"),3,IF(AND(HF30&lt;&gt;"",HF30&lt;&gt;$H$14,HF30="AZ"),4,IF(AND(HF30&lt;&gt;"",HF30&lt;&gt;$H$14,HF30="CA"),5,IF(AND(HF30&lt;&gt;"",HF30&lt;&gt;$H$14,HF30="CO"),6,IF(AND(HF30&lt;&gt;"",HF30&lt;&gt;$H$14,HF30="CT"),7,IF(AND(HF30&lt;&gt;"",HF30&lt;&gt;$H$14,HF30="DC"),8,IF(AND(HF30&lt;&gt;"",HF30&lt;&gt;$H$14,HF30="DE"),9,IF(AND(HF30&lt;&gt;"",HF30&lt;&gt;$H$14,HF30="FL"),10,IF(AND(HF30&lt;&gt;"",HF30&lt;&gt;$H$14,HF30="GA"),11,IF(AND(HF30&lt;&gt;"",HF30&lt;&gt;$H$14,HF30="HI"),12,IF(AND(HF30&lt;&gt;"",HF30&lt;&gt;$H$14,HF30="IA"),13,IF(AND(HF30&lt;&gt;"",HF30&lt;&gt;$H$14,HF30="ID"),14,IF(AND(HF30&lt;&gt;"",HF30&lt;&gt;$H$14,HF30="IL"),15,IF(AND(HF30&lt;&gt;"",HF30&lt;&gt;$H$14,HF30="IN"),16,IF(AND(HF30&lt;&gt;"",HF30&lt;&gt;$H$14,HF30="KS"),17,IF(AND(HF30&lt;&gt;"",HF30&lt;&gt;$H$14,HF30="KY"),18,IF(AND(HF30&lt;&gt;"",HF30&lt;&gt;$H$14,HF30="LA"),19,IF(AND(HF30&lt;&gt;"",HF30&lt;&gt;$H$14,HF30="MA"),20,IF(AND(HF30&lt;&gt;"",HF30&lt;&gt;$H$14,HF30="MD"),21,IF(AND(HF30&lt;&gt;"",HF30&lt;&gt;$H$14,HF30="ME"),22,IF(AND(HF30&lt;&gt;"",HF30&lt;&gt;$H$14,HF30="MI"),23,IF(AND(HF30&lt;&gt;"",HF30&lt;&gt;$H$14,HF30="MN"),24,IF(AND(HF30&lt;&gt;"",HF30&lt;&gt;$H$14,HF30="MO"),25,IF(AND(HF30&lt;&gt;"",HF30&lt;&gt;$H$14,HF30="MS"),26,IF(AND(HF30&lt;&gt;"",HF30&lt;&gt;$H$14,HF30="MT"),27,IF(AND(HF30&lt;&gt;"",HF30&lt;&gt;$H$14,HF30="NC"),28,IF(AND(HF30&lt;&gt;"",HF30&lt;&gt;$H$14,HF30="ND"),29,IF(AND(HF30&lt;&gt;"",HF30&lt;&gt;$H$14,HF30="NE"),30,IF(AND(HF30&lt;&gt;"",HF30&lt;&gt;$H$14,HF30="NH"),31,IF(AND(HF30&lt;&gt;"",HF30&lt;&gt;$H$14,HF30="NJ"),32,IF(AND(HF30&lt;&gt;"",HF30&lt;&gt;$H$14,HF30="NM"),33,IF(AND(HF30&lt;&gt;"",HF30&lt;&gt;$H$14,HF30="NV"),34,IF(AND(HF30&lt;&gt;"",HF30&lt;&gt;$H$14,HF30="NY"),35,IF(AND(HF30&lt;&gt;"",HF30&lt;&gt;$H$14,HF30="OH"),36,IF(AND(HF30&lt;&gt;"",HF30&lt;&gt;$H$14,HF30="OK"),37,IF(AND(HF30&lt;&gt;"",HF30&lt;&gt;$H$14,HF30="OR"),38,IF(AND(HF30&lt;&gt;"",HF30&lt;&gt;$H$14,HF30="PA"),39,IF(AND(HF30&lt;&gt;"",HF30&lt;&gt;$H$14,HF30="RI"),40,IF(AND(HF30&lt;&gt;"",HF30&lt;&gt;$H$14,HF30="SC"),41,IF(AND(HF30&lt;&gt;"",HF30&lt;&gt;$H$14,HF30="SD"),42,IF(AND(HF30&lt;&gt;"",HF30&lt;&gt;$H$14,HF30="TN"),43,IF(AND(HF30&lt;&gt;"",HF30&lt;&gt;$H$14,HF30="TX"),44,IF(AND(HF30&lt;&gt;"",HF30&lt;&gt;$H$14,HF30="UT"),45,IF(AND(HF30&lt;&gt;"",HF30&lt;&gt;$H$14,HF30="VA"),46,IF(AND(HF30&lt;&gt;"",HF30&lt;&gt;$H$14,HF30="VT"),47,IF(AND(HF30&lt;&gt;"",HF30&lt;&gt;$H$14,HF30="WA"),48,IF(AND(HF30&lt;&gt;"",HF30&lt;&gt;$H$14,HF30="WI"),49,IF(AND(HF30&lt;&gt;"",HF30&lt;&gt;$H$14,HF30="WV"),50,IF(AND(HF30&lt;&gt;"",HF30&lt;&gt;$H$14,HF30="WY"),51,"")))))))))))))))))))))))))))))))))))))))))))))))))))</f>
        <v/>
      </c>
      <c r="HO30" s="1" t="str">
        <f>IF(AND($H$12&gt;=18, $H$12&lt;&gt;"Please Select"),"City:","")</f>
        <v/>
      </c>
      <c r="HP30" s="336"/>
      <c r="HQ30" s="336"/>
      <c r="HR30" s="73" t="str">
        <f>IF(AND($H$12&gt;=18, $H$12&lt;&gt;"Please Select"),"State:","")</f>
        <v/>
      </c>
      <c r="HS30" s="203"/>
      <c r="HT30" s="204" t="str">
        <f>IF(AND(HS30&lt;&gt;"",HS30&lt;&gt;$H$14,HS30="AK"),1,IF(AND(HS30&lt;&gt;"",HS30&lt;&gt;$H$14,HS30="AL"),2,IF(AND(HS30&lt;&gt;"",HS30&lt;&gt;$H$14,HS30="AR"),3,IF(AND(HS30&lt;&gt;"",HS30&lt;&gt;$H$14,HS30="AZ"),4,IF(AND(HS30&lt;&gt;"",HS30&lt;&gt;$H$14,HS30="CA"),5,IF(AND(HS30&lt;&gt;"",HS30&lt;&gt;$H$14,HS30="CO"),6,IF(AND(HS30&lt;&gt;"",HS30&lt;&gt;$H$14,HS30="CT"),7,IF(AND(HS30&lt;&gt;"",HS30&lt;&gt;$H$14,HS30="DC"),8,IF(AND(HS30&lt;&gt;"",HS30&lt;&gt;$H$14,HS30="DE"),9,IF(AND(HS30&lt;&gt;"",HS30&lt;&gt;$H$14,HS30="FL"),10,IF(AND(HS30&lt;&gt;"",HS30&lt;&gt;$H$14,HS30="GA"),11,IF(AND(HS30&lt;&gt;"",HS30&lt;&gt;$H$14,HS30="HI"),12,IF(AND(HS30&lt;&gt;"",HS30&lt;&gt;$H$14,HS30="IA"),13,IF(AND(HS30&lt;&gt;"",HS30&lt;&gt;$H$14,HS30="ID"),14,IF(AND(HS30&lt;&gt;"",HS30&lt;&gt;$H$14,HS30="IL"),15,IF(AND(HS30&lt;&gt;"",HS30&lt;&gt;$H$14,HS30="IN"),16,IF(AND(HS30&lt;&gt;"",HS30&lt;&gt;$H$14,HS30="KS"),17,IF(AND(HS30&lt;&gt;"",HS30&lt;&gt;$H$14,HS30="KY"),18,IF(AND(HS30&lt;&gt;"",HS30&lt;&gt;$H$14,HS30="LA"),19,IF(AND(HS30&lt;&gt;"",HS30&lt;&gt;$H$14,HS30="MA"),20,IF(AND(HS30&lt;&gt;"",HS30&lt;&gt;$H$14,HS30="MD"),21,IF(AND(HS30&lt;&gt;"",HS30&lt;&gt;$H$14,HS30="ME"),22,IF(AND(HS30&lt;&gt;"",HS30&lt;&gt;$H$14,HS30="MI"),23,IF(AND(HS30&lt;&gt;"",HS30&lt;&gt;$H$14,HS30="MN"),24,IF(AND(HS30&lt;&gt;"",HS30&lt;&gt;$H$14,HS30="MO"),25,IF(AND(HS30&lt;&gt;"",HS30&lt;&gt;$H$14,HS30="MS"),26,IF(AND(HS30&lt;&gt;"",HS30&lt;&gt;$H$14,HS30="MT"),27,IF(AND(HS30&lt;&gt;"",HS30&lt;&gt;$H$14,HS30="NC"),28,IF(AND(HS30&lt;&gt;"",HS30&lt;&gt;$H$14,HS30="ND"),29,IF(AND(HS30&lt;&gt;"",HS30&lt;&gt;$H$14,HS30="NE"),30,IF(AND(HS30&lt;&gt;"",HS30&lt;&gt;$H$14,HS30="NH"),31,IF(AND(HS30&lt;&gt;"",HS30&lt;&gt;$H$14,HS30="NJ"),32,IF(AND(HS30&lt;&gt;"",HS30&lt;&gt;$H$14,HS30="NM"),33,IF(AND(HS30&lt;&gt;"",HS30&lt;&gt;$H$14,HS30="NV"),34,IF(AND(HS30&lt;&gt;"",HS30&lt;&gt;$H$14,HS30="NY"),35,IF(AND(HS30&lt;&gt;"",HS30&lt;&gt;$H$14,HS30="OH"),36,IF(AND(HS30&lt;&gt;"",HS30&lt;&gt;$H$14,HS30="OK"),37,IF(AND(HS30&lt;&gt;"",HS30&lt;&gt;$H$14,HS30="OR"),38,IF(AND(HS30&lt;&gt;"",HS30&lt;&gt;$H$14,HS30="PA"),39,IF(AND(HS30&lt;&gt;"",HS30&lt;&gt;$H$14,HS30="RI"),40,IF(AND(HS30&lt;&gt;"",HS30&lt;&gt;$H$14,HS30="SC"),41,IF(AND(HS30&lt;&gt;"",HS30&lt;&gt;$H$14,HS30="SD"),42,IF(AND(HS30&lt;&gt;"",HS30&lt;&gt;$H$14,HS30="TN"),43,IF(AND(HS30&lt;&gt;"",HS30&lt;&gt;$H$14,HS30="TX"),44,IF(AND(HS30&lt;&gt;"",HS30&lt;&gt;$H$14,HS30="UT"),45,IF(AND(HS30&lt;&gt;"",HS30&lt;&gt;$H$14,HS30="VA"),46,IF(AND(HS30&lt;&gt;"",HS30&lt;&gt;$H$14,HS30="VT"),47,IF(AND(HS30&lt;&gt;"",HS30&lt;&gt;$H$14,HS30="WA"),48,IF(AND(HS30&lt;&gt;"",HS30&lt;&gt;$H$14,HS30="WI"),49,IF(AND(HS30&lt;&gt;"",HS30&lt;&gt;$H$14,HS30="WV"),50,IF(AND(HS30&lt;&gt;"",HS30&lt;&gt;$H$14,HS30="WY"),51,"")))))))))))))))))))))))))))))))))))))))))))))))))))</f>
        <v/>
      </c>
      <c r="IB30" s="1" t="str">
        <f>IF(AND($H$12&gt;=19, $H$12&lt;&gt;"Please Select"),"City:","")</f>
        <v/>
      </c>
      <c r="IC30" s="336"/>
      <c r="ID30" s="336"/>
      <c r="IE30" s="73" t="str">
        <f>IF(AND($H$12&gt;=19, $H$12&lt;&gt;"Please Select"),"State:","")</f>
        <v/>
      </c>
      <c r="IF30" s="203"/>
      <c r="IG30" s="204" t="str">
        <f>IF(AND(IF30&lt;&gt;"",IF30&lt;&gt;$H$14,IF30="AK"),1,IF(AND(IF30&lt;&gt;"",IF30&lt;&gt;$H$14,IF30="AL"),2,IF(AND(IF30&lt;&gt;"",IF30&lt;&gt;$H$14,IF30="AR"),3,IF(AND(IF30&lt;&gt;"",IF30&lt;&gt;$H$14,IF30="AZ"),4,IF(AND(IF30&lt;&gt;"",IF30&lt;&gt;$H$14,IF30="CA"),5,IF(AND(IF30&lt;&gt;"",IF30&lt;&gt;$H$14,IF30="CO"),6,IF(AND(IF30&lt;&gt;"",IF30&lt;&gt;$H$14,IF30="CT"),7,IF(AND(IF30&lt;&gt;"",IF30&lt;&gt;$H$14,IF30="DC"),8,IF(AND(IF30&lt;&gt;"",IF30&lt;&gt;$H$14,IF30="DE"),9,IF(AND(IF30&lt;&gt;"",IF30&lt;&gt;$H$14,IF30="FL"),10,IF(AND(IF30&lt;&gt;"",IF30&lt;&gt;$H$14,IF30="GA"),11,IF(AND(IF30&lt;&gt;"",IF30&lt;&gt;$H$14,IF30="HI"),12,IF(AND(IF30&lt;&gt;"",IF30&lt;&gt;$H$14,IF30="IA"),13,IF(AND(IF30&lt;&gt;"",IF30&lt;&gt;$H$14,IF30="ID"),14,IF(AND(IF30&lt;&gt;"",IF30&lt;&gt;$H$14,IF30="IL"),15,IF(AND(IF30&lt;&gt;"",IF30&lt;&gt;$H$14,IF30="IN"),16,IF(AND(IF30&lt;&gt;"",IF30&lt;&gt;$H$14,IF30="KS"),17,IF(AND(IF30&lt;&gt;"",IF30&lt;&gt;$H$14,IF30="KY"),18,IF(AND(IF30&lt;&gt;"",IF30&lt;&gt;$H$14,IF30="LA"),19,IF(AND(IF30&lt;&gt;"",IF30&lt;&gt;$H$14,IF30="MA"),20,IF(AND(IF30&lt;&gt;"",IF30&lt;&gt;$H$14,IF30="MD"),21,IF(AND(IF30&lt;&gt;"",IF30&lt;&gt;$H$14,IF30="ME"),22,IF(AND(IF30&lt;&gt;"",IF30&lt;&gt;$H$14,IF30="MI"),23,IF(AND(IF30&lt;&gt;"",IF30&lt;&gt;$H$14,IF30="MN"),24,IF(AND(IF30&lt;&gt;"",IF30&lt;&gt;$H$14,IF30="MO"),25,IF(AND(IF30&lt;&gt;"",IF30&lt;&gt;$H$14,IF30="MS"),26,IF(AND(IF30&lt;&gt;"",IF30&lt;&gt;$H$14,IF30="MT"),27,IF(AND(IF30&lt;&gt;"",IF30&lt;&gt;$H$14,IF30="NC"),28,IF(AND(IF30&lt;&gt;"",IF30&lt;&gt;$H$14,IF30="ND"),29,IF(AND(IF30&lt;&gt;"",IF30&lt;&gt;$H$14,IF30="NE"),30,IF(AND(IF30&lt;&gt;"",IF30&lt;&gt;$H$14,IF30="NH"),31,IF(AND(IF30&lt;&gt;"",IF30&lt;&gt;$H$14,IF30="NJ"),32,IF(AND(IF30&lt;&gt;"",IF30&lt;&gt;$H$14,IF30="NM"),33,IF(AND(IF30&lt;&gt;"",IF30&lt;&gt;$H$14,IF30="NV"),34,IF(AND(IF30&lt;&gt;"",IF30&lt;&gt;$H$14,IF30="NY"),35,IF(AND(IF30&lt;&gt;"",IF30&lt;&gt;$H$14,IF30="OH"),36,IF(AND(IF30&lt;&gt;"",IF30&lt;&gt;$H$14,IF30="OK"),37,IF(AND(IF30&lt;&gt;"",IF30&lt;&gt;$H$14,IF30="OR"),38,IF(AND(IF30&lt;&gt;"",IF30&lt;&gt;$H$14,IF30="PA"),39,IF(AND(IF30&lt;&gt;"",IF30&lt;&gt;$H$14,IF30="RI"),40,IF(AND(IF30&lt;&gt;"",IF30&lt;&gt;$H$14,IF30="SC"),41,IF(AND(IF30&lt;&gt;"",IF30&lt;&gt;$H$14,IF30="SD"),42,IF(AND(IF30&lt;&gt;"",IF30&lt;&gt;$H$14,IF30="TN"),43,IF(AND(IF30&lt;&gt;"",IF30&lt;&gt;$H$14,IF30="TX"),44,IF(AND(IF30&lt;&gt;"",IF30&lt;&gt;$H$14,IF30="UT"),45,IF(AND(IF30&lt;&gt;"",IF30&lt;&gt;$H$14,IF30="VA"),46,IF(AND(IF30&lt;&gt;"",IF30&lt;&gt;$H$14,IF30="VT"),47,IF(AND(IF30&lt;&gt;"",IF30&lt;&gt;$H$14,IF30="WA"),48,IF(AND(IF30&lt;&gt;"",IF30&lt;&gt;$H$14,IF30="WI"),49,IF(AND(IF30&lt;&gt;"",IF30&lt;&gt;$H$14,IF30="WV"),50,IF(AND(IF30&lt;&gt;"",IF30&lt;&gt;$H$14,IF30="WY"),51,"")))))))))))))))))))))))))))))))))))))))))))))))))))</f>
        <v/>
      </c>
      <c r="IO30" s="1" t="str">
        <f>IF(AND($H$12&gt;=20, $H$12&lt;&gt;"Please Select"),"City:","")</f>
        <v/>
      </c>
      <c r="IP30" s="336"/>
      <c r="IQ30" s="336"/>
      <c r="IR30" s="73" t="str">
        <f>IF(AND($H$12&gt;=20, $H$12&lt;&gt;"Please Select"),"State:","")</f>
        <v/>
      </c>
      <c r="IS30" s="203"/>
      <c r="IT30" s="204" t="str">
        <f>IF(AND(IS30&lt;&gt;"",IS30&lt;&gt;$H$14,IS30="AK"),1,IF(AND(IS30&lt;&gt;"",IS30&lt;&gt;$H$14,IS30="AL"),2,IF(AND(IS30&lt;&gt;"",IS30&lt;&gt;$H$14,IS30="AR"),3,IF(AND(IS30&lt;&gt;"",IS30&lt;&gt;$H$14,IS30="AZ"),4,IF(AND(IS30&lt;&gt;"",IS30&lt;&gt;$H$14,IS30="CA"),5,IF(AND(IS30&lt;&gt;"",IS30&lt;&gt;$H$14,IS30="CO"),6,IF(AND(IS30&lt;&gt;"",IS30&lt;&gt;$H$14,IS30="CT"),7,IF(AND(IS30&lt;&gt;"",IS30&lt;&gt;$H$14,IS30="DC"),8,IF(AND(IS30&lt;&gt;"",IS30&lt;&gt;$H$14,IS30="DE"),9,IF(AND(IS30&lt;&gt;"",IS30&lt;&gt;$H$14,IS30="FL"),10,IF(AND(IS30&lt;&gt;"",IS30&lt;&gt;$H$14,IS30="GA"),11,IF(AND(IS30&lt;&gt;"",IS30&lt;&gt;$H$14,IS30="HI"),12,IF(AND(IS30&lt;&gt;"",IS30&lt;&gt;$H$14,IS30="IA"),13,IF(AND(IS30&lt;&gt;"",IS30&lt;&gt;$H$14,IS30="ID"),14,IF(AND(IS30&lt;&gt;"",IS30&lt;&gt;$H$14,IS30="IL"),15,IF(AND(IS30&lt;&gt;"",IS30&lt;&gt;$H$14,IS30="IN"),16,IF(AND(IS30&lt;&gt;"",IS30&lt;&gt;$H$14,IS30="KS"),17,IF(AND(IS30&lt;&gt;"",IS30&lt;&gt;$H$14,IS30="KY"),18,IF(AND(IS30&lt;&gt;"",IS30&lt;&gt;$H$14,IS30="LA"),19,IF(AND(IS30&lt;&gt;"",IS30&lt;&gt;$H$14,IS30="MA"),20,IF(AND(IS30&lt;&gt;"",IS30&lt;&gt;$H$14,IS30="MD"),21,IF(AND(IS30&lt;&gt;"",IS30&lt;&gt;$H$14,IS30="ME"),22,IF(AND(IS30&lt;&gt;"",IS30&lt;&gt;$H$14,IS30="MI"),23,IF(AND(IS30&lt;&gt;"",IS30&lt;&gt;$H$14,IS30="MN"),24,IF(AND(IS30&lt;&gt;"",IS30&lt;&gt;$H$14,IS30="MO"),25,IF(AND(IS30&lt;&gt;"",IS30&lt;&gt;$H$14,IS30="MS"),26,IF(AND(IS30&lt;&gt;"",IS30&lt;&gt;$H$14,IS30="MT"),27,IF(AND(IS30&lt;&gt;"",IS30&lt;&gt;$H$14,IS30="NC"),28,IF(AND(IS30&lt;&gt;"",IS30&lt;&gt;$H$14,IS30="ND"),29,IF(AND(IS30&lt;&gt;"",IS30&lt;&gt;$H$14,IS30="NE"),30,IF(AND(IS30&lt;&gt;"",IS30&lt;&gt;$H$14,IS30="NH"),31,IF(AND(IS30&lt;&gt;"",IS30&lt;&gt;$H$14,IS30="NJ"),32,IF(AND(IS30&lt;&gt;"",IS30&lt;&gt;$H$14,IS30="NM"),33,IF(AND(IS30&lt;&gt;"",IS30&lt;&gt;$H$14,IS30="NV"),34,IF(AND(IS30&lt;&gt;"",IS30&lt;&gt;$H$14,IS30="NY"),35,IF(AND(IS30&lt;&gt;"",IS30&lt;&gt;$H$14,IS30="OH"),36,IF(AND(IS30&lt;&gt;"",IS30&lt;&gt;$H$14,IS30="OK"),37,IF(AND(IS30&lt;&gt;"",IS30&lt;&gt;$H$14,IS30="OR"),38,IF(AND(IS30&lt;&gt;"",IS30&lt;&gt;$H$14,IS30="PA"),39,IF(AND(IS30&lt;&gt;"",IS30&lt;&gt;$H$14,IS30="RI"),40,IF(AND(IS30&lt;&gt;"",IS30&lt;&gt;$H$14,IS30="SC"),41,IF(AND(IS30&lt;&gt;"",IS30&lt;&gt;$H$14,IS30="SD"),42,IF(AND(IS30&lt;&gt;"",IS30&lt;&gt;$H$14,IS30="TN"),43,IF(AND(IS30&lt;&gt;"",IS30&lt;&gt;$H$14,IS30="TX"),44,IF(AND(IS30&lt;&gt;"",IS30&lt;&gt;$H$14,IS30="UT"),45,IF(AND(IS30&lt;&gt;"",IS30&lt;&gt;$H$14,IS30="VA"),46,IF(AND(IS30&lt;&gt;"",IS30&lt;&gt;$H$14,IS30="VT"),47,IF(AND(IS30&lt;&gt;"",IS30&lt;&gt;$H$14,IS30="WA"),48,IF(AND(IS30&lt;&gt;"",IS30&lt;&gt;$H$14,IS30="WI"),49,IF(AND(IS30&lt;&gt;"",IS30&lt;&gt;$H$14,IS30="WV"),50,IF(AND(IS30&lt;&gt;"",IS30&lt;&gt;$H$14,IS30="WY"),51,"")))))))))))))))))))))))))))))))))))))))))))))))))))</f>
        <v/>
      </c>
      <c r="JB30" s="1" t="str">
        <f>IF(AND($H$12&gt;=21, $H$12&lt;&gt;"Please Select"),"City:","")</f>
        <v/>
      </c>
      <c r="JC30" s="336"/>
      <c r="JD30" s="336"/>
      <c r="JE30" s="73" t="str">
        <f>IF(AND($H$12&gt;=21, $H$12&lt;&gt;"Please Select"),"State:","")</f>
        <v/>
      </c>
      <c r="JF30" s="203"/>
      <c r="JG30" s="204" t="str">
        <f>IF(AND(JF30&lt;&gt;"",JF30&lt;&gt;$H$14,JF30="AK"),1,IF(AND(JF30&lt;&gt;"",JF30&lt;&gt;$H$14,JF30="AL"),2,IF(AND(JF30&lt;&gt;"",JF30&lt;&gt;$H$14,JF30="AR"),3,IF(AND(JF30&lt;&gt;"",JF30&lt;&gt;$H$14,JF30="AZ"),4,IF(AND(JF30&lt;&gt;"",JF30&lt;&gt;$H$14,JF30="CA"),5,IF(AND(JF30&lt;&gt;"",JF30&lt;&gt;$H$14,JF30="CO"),6,IF(AND(JF30&lt;&gt;"",JF30&lt;&gt;$H$14,JF30="CT"),7,IF(AND(JF30&lt;&gt;"",JF30&lt;&gt;$H$14,JF30="DC"),8,IF(AND(JF30&lt;&gt;"",JF30&lt;&gt;$H$14,JF30="DE"),9,IF(AND(JF30&lt;&gt;"",JF30&lt;&gt;$H$14,JF30="FL"),10,IF(AND(JF30&lt;&gt;"",JF30&lt;&gt;$H$14,JF30="GA"),11,IF(AND(JF30&lt;&gt;"",JF30&lt;&gt;$H$14,JF30="HI"),12,IF(AND(JF30&lt;&gt;"",JF30&lt;&gt;$H$14,JF30="IA"),13,IF(AND(JF30&lt;&gt;"",JF30&lt;&gt;$H$14,JF30="ID"),14,IF(AND(JF30&lt;&gt;"",JF30&lt;&gt;$H$14,JF30="IL"),15,IF(AND(JF30&lt;&gt;"",JF30&lt;&gt;$H$14,JF30="IN"),16,IF(AND(JF30&lt;&gt;"",JF30&lt;&gt;$H$14,JF30="KS"),17,IF(AND(JF30&lt;&gt;"",JF30&lt;&gt;$H$14,JF30="KY"),18,IF(AND(JF30&lt;&gt;"",JF30&lt;&gt;$H$14,JF30="LA"),19,IF(AND(JF30&lt;&gt;"",JF30&lt;&gt;$H$14,JF30="MA"),20,IF(AND(JF30&lt;&gt;"",JF30&lt;&gt;$H$14,JF30="MD"),21,IF(AND(JF30&lt;&gt;"",JF30&lt;&gt;$H$14,JF30="ME"),22,IF(AND(JF30&lt;&gt;"",JF30&lt;&gt;$H$14,JF30="MI"),23,IF(AND(JF30&lt;&gt;"",JF30&lt;&gt;$H$14,JF30="MN"),24,IF(AND(JF30&lt;&gt;"",JF30&lt;&gt;$H$14,JF30="MO"),25,IF(AND(JF30&lt;&gt;"",JF30&lt;&gt;$H$14,JF30="MS"),26,IF(AND(JF30&lt;&gt;"",JF30&lt;&gt;$H$14,JF30="MT"),27,IF(AND(JF30&lt;&gt;"",JF30&lt;&gt;$H$14,JF30="NC"),28,IF(AND(JF30&lt;&gt;"",JF30&lt;&gt;$H$14,JF30="ND"),29,IF(AND(JF30&lt;&gt;"",JF30&lt;&gt;$H$14,JF30="NE"),30,IF(AND(JF30&lt;&gt;"",JF30&lt;&gt;$H$14,JF30="NH"),31,IF(AND(JF30&lt;&gt;"",JF30&lt;&gt;$H$14,JF30="NJ"),32,IF(AND(JF30&lt;&gt;"",JF30&lt;&gt;$H$14,JF30="NM"),33,IF(AND(JF30&lt;&gt;"",JF30&lt;&gt;$H$14,JF30="NV"),34,IF(AND(JF30&lt;&gt;"",JF30&lt;&gt;$H$14,JF30="NY"),35,IF(AND(JF30&lt;&gt;"",JF30&lt;&gt;$H$14,JF30="OH"),36,IF(AND(JF30&lt;&gt;"",JF30&lt;&gt;$H$14,JF30="OK"),37,IF(AND(JF30&lt;&gt;"",JF30&lt;&gt;$H$14,JF30="OR"),38,IF(AND(JF30&lt;&gt;"",JF30&lt;&gt;$H$14,JF30="PA"),39,IF(AND(JF30&lt;&gt;"",JF30&lt;&gt;$H$14,JF30="RI"),40,IF(AND(JF30&lt;&gt;"",JF30&lt;&gt;$H$14,JF30="SC"),41,IF(AND(JF30&lt;&gt;"",JF30&lt;&gt;$H$14,JF30="SD"),42,IF(AND(JF30&lt;&gt;"",JF30&lt;&gt;$H$14,JF30="TN"),43,IF(AND(JF30&lt;&gt;"",JF30&lt;&gt;$H$14,JF30="TX"),44,IF(AND(JF30&lt;&gt;"",JF30&lt;&gt;$H$14,JF30="UT"),45,IF(AND(JF30&lt;&gt;"",JF30&lt;&gt;$H$14,JF30="VA"),46,IF(AND(JF30&lt;&gt;"",JF30&lt;&gt;$H$14,JF30="VT"),47,IF(AND(JF30&lt;&gt;"",JF30&lt;&gt;$H$14,JF30="WA"),48,IF(AND(JF30&lt;&gt;"",JF30&lt;&gt;$H$14,JF30="WI"),49,IF(AND(JF30&lt;&gt;"",JF30&lt;&gt;$H$14,JF30="WV"),50,IF(AND(JF30&lt;&gt;"",JF30&lt;&gt;$H$14,JF30="WY"),51,"")))))))))))))))))))))))))))))))))))))))))))))))))))</f>
        <v/>
      </c>
      <c r="JO30" s="1" t="str">
        <f>IF(AND($H$12&gt;=22, $H$12&lt;&gt;"Please Select"),"City:","")</f>
        <v/>
      </c>
      <c r="JP30" s="336"/>
      <c r="JQ30" s="336"/>
      <c r="JR30" s="73" t="str">
        <f>IF(AND($H$12&gt;=22, $H$12&lt;&gt;"Please Select"),"State:","")</f>
        <v/>
      </c>
      <c r="JS30" s="203"/>
      <c r="JT30" s="204" t="str">
        <f>IF(AND(JS30&lt;&gt;"",JS30&lt;&gt;$H$14,JS30="AK"),1,IF(AND(JS30&lt;&gt;"",JS30&lt;&gt;$H$14,JS30="AL"),2,IF(AND(JS30&lt;&gt;"",JS30&lt;&gt;$H$14,JS30="AR"),3,IF(AND(JS30&lt;&gt;"",JS30&lt;&gt;$H$14,JS30="AZ"),4,IF(AND(JS30&lt;&gt;"",JS30&lt;&gt;$H$14,JS30="CA"),5,IF(AND(JS30&lt;&gt;"",JS30&lt;&gt;$H$14,JS30="CO"),6,IF(AND(JS30&lt;&gt;"",JS30&lt;&gt;$H$14,JS30="CT"),7,IF(AND(JS30&lt;&gt;"",JS30&lt;&gt;$H$14,JS30="DC"),8,IF(AND(JS30&lt;&gt;"",JS30&lt;&gt;$H$14,JS30="DE"),9,IF(AND(JS30&lt;&gt;"",JS30&lt;&gt;$H$14,JS30="FL"),10,IF(AND(JS30&lt;&gt;"",JS30&lt;&gt;$H$14,JS30="GA"),11,IF(AND(JS30&lt;&gt;"",JS30&lt;&gt;$H$14,JS30="HI"),12,IF(AND(JS30&lt;&gt;"",JS30&lt;&gt;$H$14,JS30="IA"),13,IF(AND(JS30&lt;&gt;"",JS30&lt;&gt;$H$14,JS30="ID"),14,IF(AND(JS30&lt;&gt;"",JS30&lt;&gt;$H$14,JS30="IL"),15,IF(AND(JS30&lt;&gt;"",JS30&lt;&gt;$H$14,JS30="IN"),16,IF(AND(JS30&lt;&gt;"",JS30&lt;&gt;$H$14,JS30="KS"),17,IF(AND(JS30&lt;&gt;"",JS30&lt;&gt;$H$14,JS30="KY"),18,IF(AND(JS30&lt;&gt;"",JS30&lt;&gt;$H$14,JS30="LA"),19,IF(AND(JS30&lt;&gt;"",JS30&lt;&gt;$H$14,JS30="MA"),20,IF(AND(JS30&lt;&gt;"",JS30&lt;&gt;$H$14,JS30="MD"),21,IF(AND(JS30&lt;&gt;"",JS30&lt;&gt;$H$14,JS30="ME"),22,IF(AND(JS30&lt;&gt;"",JS30&lt;&gt;$H$14,JS30="MI"),23,IF(AND(JS30&lt;&gt;"",JS30&lt;&gt;$H$14,JS30="MN"),24,IF(AND(JS30&lt;&gt;"",JS30&lt;&gt;$H$14,JS30="MO"),25,IF(AND(JS30&lt;&gt;"",JS30&lt;&gt;$H$14,JS30="MS"),26,IF(AND(JS30&lt;&gt;"",JS30&lt;&gt;$H$14,JS30="MT"),27,IF(AND(JS30&lt;&gt;"",JS30&lt;&gt;$H$14,JS30="NC"),28,IF(AND(JS30&lt;&gt;"",JS30&lt;&gt;$H$14,JS30="ND"),29,IF(AND(JS30&lt;&gt;"",JS30&lt;&gt;$H$14,JS30="NE"),30,IF(AND(JS30&lt;&gt;"",JS30&lt;&gt;$H$14,JS30="NH"),31,IF(AND(JS30&lt;&gt;"",JS30&lt;&gt;$H$14,JS30="NJ"),32,IF(AND(JS30&lt;&gt;"",JS30&lt;&gt;$H$14,JS30="NM"),33,IF(AND(JS30&lt;&gt;"",JS30&lt;&gt;$H$14,JS30="NV"),34,IF(AND(JS30&lt;&gt;"",JS30&lt;&gt;$H$14,JS30="NY"),35,IF(AND(JS30&lt;&gt;"",JS30&lt;&gt;$H$14,JS30="OH"),36,IF(AND(JS30&lt;&gt;"",JS30&lt;&gt;$H$14,JS30="OK"),37,IF(AND(JS30&lt;&gt;"",JS30&lt;&gt;$H$14,JS30="OR"),38,IF(AND(JS30&lt;&gt;"",JS30&lt;&gt;$H$14,JS30="PA"),39,IF(AND(JS30&lt;&gt;"",JS30&lt;&gt;$H$14,JS30="RI"),40,IF(AND(JS30&lt;&gt;"",JS30&lt;&gt;$H$14,JS30="SC"),41,IF(AND(JS30&lt;&gt;"",JS30&lt;&gt;$H$14,JS30="SD"),42,IF(AND(JS30&lt;&gt;"",JS30&lt;&gt;$H$14,JS30="TN"),43,IF(AND(JS30&lt;&gt;"",JS30&lt;&gt;$H$14,JS30="TX"),44,IF(AND(JS30&lt;&gt;"",JS30&lt;&gt;$H$14,JS30="UT"),45,IF(AND(JS30&lt;&gt;"",JS30&lt;&gt;$H$14,JS30="VA"),46,IF(AND(JS30&lt;&gt;"",JS30&lt;&gt;$H$14,JS30="VT"),47,IF(AND(JS30&lt;&gt;"",JS30&lt;&gt;$H$14,JS30="WA"),48,IF(AND(JS30&lt;&gt;"",JS30&lt;&gt;$H$14,JS30="WI"),49,IF(AND(JS30&lt;&gt;"",JS30&lt;&gt;$H$14,JS30="WV"),50,IF(AND(JS30&lt;&gt;"",JS30&lt;&gt;$H$14,JS30="WY"),51,"")))))))))))))))))))))))))))))))))))))))))))))))))))</f>
        <v/>
      </c>
      <c r="KB30" s="1" t="str">
        <f>IF(AND($H$12&gt;=23, $H$12&lt;&gt;"Please Select"),"City:","")</f>
        <v/>
      </c>
      <c r="KC30" s="336"/>
      <c r="KD30" s="336"/>
      <c r="KE30" s="73" t="str">
        <f>IF(AND($H$12&gt;=23, $H$12&lt;&gt;"Please Select"),"State:","")</f>
        <v/>
      </c>
      <c r="KF30" s="203"/>
      <c r="KG30" s="204" t="str">
        <f>IF(AND(KF30&lt;&gt;"",KF30&lt;&gt;$H$14,KF30="AK"),1,IF(AND(KF30&lt;&gt;"",KF30&lt;&gt;$H$14,KF30="AL"),2,IF(AND(KF30&lt;&gt;"",KF30&lt;&gt;$H$14,KF30="AR"),3,IF(AND(KF30&lt;&gt;"",KF30&lt;&gt;$H$14,KF30="AZ"),4,IF(AND(KF30&lt;&gt;"",KF30&lt;&gt;$H$14,KF30="CA"),5,IF(AND(KF30&lt;&gt;"",KF30&lt;&gt;$H$14,KF30="CO"),6,IF(AND(KF30&lt;&gt;"",KF30&lt;&gt;$H$14,KF30="CT"),7,IF(AND(KF30&lt;&gt;"",KF30&lt;&gt;$H$14,KF30="DC"),8,IF(AND(KF30&lt;&gt;"",KF30&lt;&gt;$H$14,KF30="DE"),9,IF(AND(KF30&lt;&gt;"",KF30&lt;&gt;$H$14,KF30="FL"),10,IF(AND(KF30&lt;&gt;"",KF30&lt;&gt;$H$14,KF30="GA"),11,IF(AND(KF30&lt;&gt;"",KF30&lt;&gt;$H$14,KF30="HI"),12,IF(AND(KF30&lt;&gt;"",KF30&lt;&gt;$H$14,KF30="IA"),13,IF(AND(KF30&lt;&gt;"",KF30&lt;&gt;$H$14,KF30="ID"),14,IF(AND(KF30&lt;&gt;"",KF30&lt;&gt;$H$14,KF30="IL"),15,IF(AND(KF30&lt;&gt;"",KF30&lt;&gt;$H$14,KF30="IN"),16,IF(AND(KF30&lt;&gt;"",KF30&lt;&gt;$H$14,KF30="KS"),17,IF(AND(KF30&lt;&gt;"",KF30&lt;&gt;$H$14,KF30="KY"),18,IF(AND(KF30&lt;&gt;"",KF30&lt;&gt;$H$14,KF30="LA"),19,IF(AND(KF30&lt;&gt;"",KF30&lt;&gt;$H$14,KF30="MA"),20,IF(AND(KF30&lt;&gt;"",KF30&lt;&gt;$H$14,KF30="MD"),21,IF(AND(KF30&lt;&gt;"",KF30&lt;&gt;$H$14,KF30="ME"),22,IF(AND(KF30&lt;&gt;"",KF30&lt;&gt;$H$14,KF30="MI"),23,IF(AND(KF30&lt;&gt;"",KF30&lt;&gt;$H$14,KF30="MN"),24,IF(AND(KF30&lt;&gt;"",KF30&lt;&gt;$H$14,KF30="MO"),25,IF(AND(KF30&lt;&gt;"",KF30&lt;&gt;$H$14,KF30="MS"),26,IF(AND(KF30&lt;&gt;"",KF30&lt;&gt;$H$14,KF30="MT"),27,IF(AND(KF30&lt;&gt;"",KF30&lt;&gt;$H$14,KF30="NC"),28,IF(AND(KF30&lt;&gt;"",KF30&lt;&gt;$H$14,KF30="ND"),29,IF(AND(KF30&lt;&gt;"",KF30&lt;&gt;$H$14,KF30="NE"),30,IF(AND(KF30&lt;&gt;"",KF30&lt;&gt;$H$14,KF30="NH"),31,IF(AND(KF30&lt;&gt;"",KF30&lt;&gt;$H$14,KF30="NJ"),32,IF(AND(KF30&lt;&gt;"",KF30&lt;&gt;$H$14,KF30="NM"),33,IF(AND(KF30&lt;&gt;"",KF30&lt;&gt;$H$14,KF30="NV"),34,IF(AND(KF30&lt;&gt;"",KF30&lt;&gt;$H$14,KF30="NY"),35,IF(AND(KF30&lt;&gt;"",KF30&lt;&gt;$H$14,KF30="OH"),36,IF(AND(KF30&lt;&gt;"",KF30&lt;&gt;$H$14,KF30="OK"),37,IF(AND(KF30&lt;&gt;"",KF30&lt;&gt;$H$14,KF30="OR"),38,IF(AND(KF30&lt;&gt;"",KF30&lt;&gt;$H$14,KF30="PA"),39,IF(AND(KF30&lt;&gt;"",KF30&lt;&gt;$H$14,KF30="RI"),40,IF(AND(KF30&lt;&gt;"",KF30&lt;&gt;$H$14,KF30="SC"),41,IF(AND(KF30&lt;&gt;"",KF30&lt;&gt;$H$14,KF30="SD"),42,IF(AND(KF30&lt;&gt;"",KF30&lt;&gt;$H$14,KF30="TN"),43,IF(AND(KF30&lt;&gt;"",KF30&lt;&gt;$H$14,KF30="TX"),44,IF(AND(KF30&lt;&gt;"",KF30&lt;&gt;$H$14,KF30="UT"),45,IF(AND(KF30&lt;&gt;"",KF30&lt;&gt;$H$14,KF30="VA"),46,IF(AND(KF30&lt;&gt;"",KF30&lt;&gt;$H$14,KF30="VT"),47,IF(AND(KF30&lt;&gt;"",KF30&lt;&gt;$H$14,KF30="WA"),48,IF(AND(KF30&lt;&gt;"",KF30&lt;&gt;$H$14,KF30="WI"),49,IF(AND(KF30&lt;&gt;"",KF30&lt;&gt;$H$14,KF30="WV"),50,IF(AND(KF30&lt;&gt;"",KF30&lt;&gt;$H$14,KF30="WY"),51,"")))))))))))))))))))))))))))))))))))))))))))))))))))</f>
        <v/>
      </c>
      <c r="KO30" s="1" t="str">
        <f>IF(AND($H$12&gt;=24, $H$12&lt;&gt;"Please Select"),"City:","")</f>
        <v/>
      </c>
      <c r="KP30" s="336"/>
      <c r="KQ30" s="336"/>
      <c r="KR30" s="73" t="str">
        <f>IF(AND($H$12&gt;=24, $H$12&lt;&gt;"Please Select"),"State:","")</f>
        <v/>
      </c>
      <c r="KS30" s="203"/>
      <c r="KT30" s="204" t="str">
        <f>IF(AND(KS30&lt;&gt;"",KS30&lt;&gt;$H$14,KS30="AK"),1,IF(AND(KS30&lt;&gt;"",KS30&lt;&gt;$H$14,KS30="AL"),2,IF(AND(KS30&lt;&gt;"",KS30&lt;&gt;$H$14,KS30="AR"),3,IF(AND(KS30&lt;&gt;"",KS30&lt;&gt;$H$14,KS30="AZ"),4,IF(AND(KS30&lt;&gt;"",KS30&lt;&gt;$H$14,KS30="CA"),5,IF(AND(KS30&lt;&gt;"",KS30&lt;&gt;$H$14,KS30="CO"),6,IF(AND(KS30&lt;&gt;"",KS30&lt;&gt;$H$14,KS30="CT"),7,IF(AND(KS30&lt;&gt;"",KS30&lt;&gt;$H$14,KS30="DC"),8,IF(AND(KS30&lt;&gt;"",KS30&lt;&gt;$H$14,KS30="DE"),9,IF(AND(KS30&lt;&gt;"",KS30&lt;&gt;$H$14,KS30="FL"),10,IF(AND(KS30&lt;&gt;"",KS30&lt;&gt;$H$14,KS30="GA"),11,IF(AND(KS30&lt;&gt;"",KS30&lt;&gt;$H$14,KS30="HI"),12,IF(AND(KS30&lt;&gt;"",KS30&lt;&gt;$H$14,KS30="IA"),13,IF(AND(KS30&lt;&gt;"",KS30&lt;&gt;$H$14,KS30="ID"),14,IF(AND(KS30&lt;&gt;"",KS30&lt;&gt;$H$14,KS30="IL"),15,IF(AND(KS30&lt;&gt;"",KS30&lt;&gt;$H$14,KS30="IN"),16,IF(AND(KS30&lt;&gt;"",KS30&lt;&gt;$H$14,KS30="KS"),17,IF(AND(KS30&lt;&gt;"",KS30&lt;&gt;$H$14,KS30="KY"),18,IF(AND(KS30&lt;&gt;"",KS30&lt;&gt;$H$14,KS30="LA"),19,IF(AND(KS30&lt;&gt;"",KS30&lt;&gt;$H$14,KS30="MA"),20,IF(AND(KS30&lt;&gt;"",KS30&lt;&gt;$H$14,KS30="MD"),21,IF(AND(KS30&lt;&gt;"",KS30&lt;&gt;$H$14,KS30="ME"),22,IF(AND(KS30&lt;&gt;"",KS30&lt;&gt;$H$14,KS30="MI"),23,IF(AND(KS30&lt;&gt;"",KS30&lt;&gt;$H$14,KS30="MN"),24,IF(AND(KS30&lt;&gt;"",KS30&lt;&gt;$H$14,KS30="MO"),25,IF(AND(KS30&lt;&gt;"",KS30&lt;&gt;$H$14,KS30="MS"),26,IF(AND(KS30&lt;&gt;"",KS30&lt;&gt;$H$14,KS30="MT"),27,IF(AND(KS30&lt;&gt;"",KS30&lt;&gt;$H$14,KS30="NC"),28,IF(AND(KS30&lt;&gt;"",KS30&lt;&gt;$H$14,KS30="ND"),29,IF(AND(KS30&lt;&gt;"",KS30&lt;&gt;$H$14,KS30="NE"),30,IF(AND(KS30&lt;&gt;"",KS30&lt;&gt;$H$14,KS30="NH"),31,IF(AND(KS30&lt;&gt;"",KS30&lt;&gt;$H$14,KS30="NJ"),32,IF(AND(KS30&lt;&gt;"",KS30&lt;&gt;$H$14,KS30="NM"),33,IF(AND(KS30&lt;&gt;"",KS30&lt;&gt;$H$14,KS30="NV"),34,IF(AND(KS30&lt;&gt;"",KS30&lt;&gt;$H$14,KS30="NY"),35,IF(AND(KS30&lt;&gt;"",KS30&lt;&gt;$H$14,KS30="OH"),36,IF(AND(KS30&lt;&gt;"",KS30&lt;&gt;$H$14,KS30="OK"),37,IF(AND(KS30&lt;&gt;"",KS30&lt;&gt;$H$14,KS30="OR"),38,IF(AND(KS30&lt;&gt;"",KS30&lt;&gt;$H$14,KS30="PA"),39,IF(AND(KS30&lt;&gt;"",KS30&lt;&gt;$H$14,KS30="RI"),40,IF(AND(KS30&lt;&gt;"",KS30&lt;&gt;$H$14,KS30="SC"),41,IF(AND(KS30&lt;&gt;"",KS30&lt;&gt;$H$14,KS30="SD"),42,IF(AND(KS30&lt;&gt;"",KS30&lt;&gt;$H$14,KS30="TN"),43,IF(AND(KS30&lt;&gt;"",KS30&lt;&gt;$H$14,KS30="TX"),44,IF(AND(KS30&lt;&gt;"",KS30&lt;&gt;$H$14,KS30="UT"),45,IF(AND(KS30&lt;&gt;"",KS30&lt;&gt;$H$14,KS30="VA"),46,IF(AND(KS30&lt;&gt;"",KS30&lt;&gt;$H$14,KS30="VT"),47,IF(AND(KS30&lt;&gt;"",KS30&lt;&gt;$H$14,KS30="WA"),48,IF(AND(KS30&lt;&gt;"",KS30&lt;&gt;$H$14,KS30="WI"),49,IF(AND(KS30&lt;&gt;"",KS30&lt;&gt;$H$14,KS30="WV"),50,IF(AND(KS30&lt;&gt;"",KS30&lt;&gt;$H$14,KS30="WY"),51,"")))))))))))))))))))))))))))))))))))))))))))))))))))</f>
        <v/>
      </c>
      <c r="LB30" s="1" t="str">
        <f>IF(AND($H$12&gt;=25, $H$12&lt;&gt;"Please Select"),"City:","")</f>
        <v/>
      </c>
      <c r="LC30" s="336"/>
      <c r="LD30" s="336"/>
      <c r="LE30" s="73" t="str">
        <f>IF(AND($H$12&gt;=25, $H$12&lt;&gt;"Please Select"),"State:","")</f>
        <v/>
      </c>
      <c r="LF30" s="203"/>
      <c r="LG30" s="204" t="str">
        <f>IF(AND(LF30&lt;&gt;"",LF30&lt;&gt;$H$14,LF30="AK"),1,IF(AND(LF30&lt;&gt;"",LF30&lt;&gt;$H$14,LF30="AL"),2,IF(AND(LF30&lt;&gt;"",LF30&lt;&gt;$H$14,LF30="AR"),3,IF(AND(LF30&lt;&gt;"",LF30&lt;&gt;$H$14,LF30="AZ"),4,IF(AND(LF30&lt;&gt;"",LF30&lt;&gt;$H$14,LF30="CA"),5,IF(AND(LF30&lt;&gt;"",LF30&lt;&gt;$H$14,LF30="CO"),6,IF(AND(LF30&lt;&gt;"",LF30&lt;&gt;$H$14,LF30="CT"),7,IF(AND(LF30&lt;&gt;"",LF30&lt;&gt;$H$14,LF30="DC"),8,IF(AND(LF30&lt;&gt;"",LF30&lt;&gt;$H$14,LF30="DE"),9,IF(AND(LF30&lt;&gt;"",LF30&lt;&gt;$H$14,LF30="FL"),10,IF(AND(LF30&lt;&gt;"",LF30&lt;&gt;$H$14,LF30="GA"),11,IF(AND(LF30&lt;&gt;"",LF30&lt;&gt;$H$14,LF30="HI"),12,IF(AND(LF30&lt;&gt;"",LF30&lt;&gt;$H$14,LF30="IA"),13,IF(AND(LF30&lt;&gt;"",LF30&lt;&gt;$H$14,LF30="ID"),14,IF(AND(LF30&lt;&gt;"",LF30&lt;&gt;$H$14,LF30="IL"),15,IF(AND(LF30&lt;&gt;"",LF30&lt;&gt;$H$14,LF30="IN"),16,IF(AND(LF30&lt;&gt;"",LF30&lt;&gt;$H$14,LF30="KS"),17,IF(AND(LF30&lt;&gt;"",LF30&lt;&gt;$H$14,LF30="KY"),18,IF(AND(LF30&lt;&gt;"",LF30&lt;&gt;$H$14,LF30="LA"),19,IF(AND(LF30&lt;&gt;"",LF30&lt;&gt;$H$14,LF30="MA"),20,IF(AND(LF30&lt;&gt;"",LF30&lt;&gt;$H$14,LF30="MD"),21,IF(AND(LF30&lt;&gt;"",LF30&lt;&gt;$H$14,LF30="ME"),22,IF(AND(LF30&lt;&gt;"",LF30&lt;&gt;$H$14,LF30="MI"),23,IF(AND(LF30&lt;&gt;"",LF30&lt;&gt;$H$14,LF30="MN"),24,IF(AND(LF30&lt;&gt;"",LF30&lt;&gt;$H$14,LF30="MO"),25,IF(AND(LF30&lt;&gt;"",LF30&lt;&gt;$H$14,LF30="MS"),26,IF(AND(LF30&lt;&gt;"",LF30&lt;&gt;$H$14,LF30="MT"),27,IF(AND(LF30&lt;&gt;"",LF30&lt;&gt;$H$14,LF30="NC"),28,IF(AND(LF30&lt;&gt;"",LF30&lt;&gt;$H$14,LF30="ND"),29,IF(AND(LF30&lt;&gt;"",LF30&lt;&gt;$H$14,LF30="NE"),30,IF(AND(LF30&lt;&gt;"",LF30&lt;&gt;$H$14,LF30="NH"),31,IF(AND(LF30&lt;&gt;"",LF30&lt;&gt;$H$14,LF30="NJ"),32,IF(AND(LF30&lt;&gt;"",LF30&lt;&gt;$H$14,LF30="NM"),33,IF(AND(LF30&lt;&gt;"",LF30&lt;&gt;$H$14,LF30="NV"),34,IF(AND(LF30&lt;&gt;"",LF30&lt;&gt;$H$14,LF30="NY"),35,IF(AND(LF30&lt;&gt;"",LF30&lt;&gt;$H$14,LF30="OH"),36,IF(AND(LF30&lt;&gt;"",LF30&lt;&gt;$H$14,LF30="OK"),37,IF(AND(LF30&lt;&gt;"",LF30&lt;&gt;$H$14,LF30="OR"),38,IF(AND(LF30&lt;&gt;"",LF30&lt;&gt;$H$14,LF30="PA"),39,IF(AND(LF30&lt;&gt;"",LF30&lt;&gt;$H$14,LF30="RI"),40,IF(AND(LF30&lt;&gt;"",LF30&lt;&gt;$H$14,LF30="SC"),41,IF(AND(LF30&lt;&gt;"",LF30&lt;&gt;$H$14,LF30="SD"),42,IF(AND(LF30&lt;&gt;"",LF30&lt;&gt;$H$14,LF30="TN"),43,IF(AND(LF30&lt;&gt;"",LF30&lt;&gt;$H$14,LF30="TX"),44,IF(AND(LF30&lt;&gt;"",LF30&lt;&gt;$H$14,LF30="UT"),45,IF(AND(LF30&lt;&gt;"",LF30&lt;&gt;$H$14,LF30="VA"),46,IF(AND(LF30&lt;&gt;"",LF30&lt;&gt;$H$14,LF30="VT"),47,IF(AND(LF30&lt;&gt;"",LF30&lt;&gt;$H$14,LF30="WA"),48,IF(AND(LF30&lt;&gt;"",LF30&lt;&gt;$H$14,LF30="WI"),49,IF(AND(LF30&lt;&gt;"",LF30&lt;&gt;$H$14,LF30="WV"),50,IF(AND(LF30&lt;&gt;"",LF30&lt;&gt;$H$14,LF30="WY"),51,"")))))))))))))))))))))))))))))))))))))))))))))))))))</f>
        <v/>
      </c>
      <c r="LO30" s="1" t="str">
        <f>IF(AND($H$12&gt;=26, $H$12&lt;&gt;"Please Select"),"City:","")</f>
        <v/>
      </c>
      <c r="LP30" s="336"/>
      <c r="LQ30" s="336"/>
      <c r="LR30" s="73" t="str">
        <f>IF(AND($H$12&gt;=26, $H$12&lt;&gt;"Please Select"),"State:","")</f>
        <v/>
      </c>
      <c r="LS30" s="203"/>
      <c r="LT30" s="204" t="str">
        <f>IF(AND(LS30&lt;&gt;"",LS30&lt;&gt;$H$14,LS30="AK"),1,IF(AND(LS30&lt;&gt;"",LS30&lt;&gt;$H$14,LS30="AL"),2,IF(AND(LS30&lt;&gt;"",LS30&lt;&gt;$H$14,LS30="AR"),3,IF(AND(LS30&lt;&gt;"",LS30&lt;&gt;$H$14,LS30="AZ"),4,IF(AND(LS30&lt;&gt;"",LS30&lt;&gt;$H$14,LS30="CA"),5,IF(AND(LS30&lt;&gt;"",LS30&lt;&gt;$H$14,LS30="CO"),6,IF(AND(LS30&lt;&gt;"",LS30&lt;&gt;$H$14,LS30="CT"),7,IF(AND(LS30&lt;&gt;"",LS30&lt;&gt;$H$14,LS30="DC"),8,IF(AND(LS30&lt;&gt;"",LS30&lt;&gt;$H$14,LS30="DE"),9,IF(AND(LS30&lt;&gt;"",LS30&lt;&gt;$H$14,LS30="FL"),10,IF(AND(LS30&lt;&gt;"",LS30&lt;&gt;$H$14,LS30="GA"),11,IF(AND(LS30&lt;&gt;"",LS30&lt;&gt;$H$14,LS30="HI"),12,IF(AND(LS30&lt;&gt;"",LS30&lt;&gt;$H$14,LS30="IA"),13,IF(AND(LS30&lt;&gt;"",LS30&lt;&gt;$H$14,LS30="ID"),14,IF(AND(LS30&lt;&gt;"",LS30&lt;&gt;$H$14,LS30="IL"),15,IF(AND(LS30&lt;&gt;"",LS30&lt;&gt;$H$14,LS30="IN"),16,IF(AND(LS30&lt;&gt;"",LS30&lt;&gt;$H$14,LS30="KS"),17,IF(AND(LS30&lt;&gt;"",LS30&lt;&gt;$H$14,LS30="KY"),18,IF(AND(LS30&lt;&gt;"",LS30&lt;&gt;$H$14,LS30="LA"),19,IF(AND(LS30&lt;&gt;"",LS30&lt;&gt;$H$14,LS30="MA"),20,IF(AND(LS30&lt;&gt;"",LS30&lt;&gt;$H$14,LS30="MD"),21,IF(AND(LS30&lt;&gt;"",LS30&lt;&gt;$H$14,LS30="ME"),22,IF(AND(LS30&lt;&gt;"",LS30&lt;&gt;$H$14,LS30="MI"),23,IF(AND(LS30&lt;&gt;"",LS30&lt;&gt;$H$14,LS30="MN"),24,IF(AND(LS30&lt;&gt;"",LS30&lt;&gt;$H$14,LS30="MO"),25,IF(AND(LS30&lt;&gt;"",LS30&lt;&gt;$H$14,LS30="MS"),26,IF(AND(LS30&lt;&gt;"",LS30&lt;&gt;$H$14,LS30="MT"),27,IF(AND(LS30&lt;&gt;"",LS30&lt;&gt;$H$14,LS30="NC"),28,IF(AND(LS30&lt;&gt;"",LS30&lt;&gt;$H$14,LS30="ND"),29,IF(AND(LS30&lt;&gt;"",LS30&lt;&gt;$H$14,LS30="NE"),30,IF(AND(LS30&lt;&gt;"",LS30&lt;&gt;$H$14,LS30="NH"),31,IF(AND(LS30&lt;&gt;"",LS30&lt;&gt;$H$14,LS30="NJ"),32,IF(AND(LS30&lt;&gt;"",LS30&lt;&gt;$H$14,LS30="NM"),33,IF(AND(LS30&lt;&gt;"",LS30&lt;&gt;$H$14,LS30="NV"),34,IF(AND(LS30&lt;&gt;"",LS30&lt;&gt;$H$14,LS30="NY"),35,IF(AND(LS30&lt;&gt;"",LS30&lt;&gt;$H$14,LS30="OH"),36,IF(AND(LS30&lt;&gt;"",LS30&lt;&gt;$H$14,LS30="OK"),37,IF(AND(LS30&lt;&gt;"",LS30&lt;&gt;$H$14,LS30="OR"),38,IF(AND(LS30&lt;&gt;"",LS30&lt;&gt;$H$14,LS30="PA"),39,IF(AND(LS30&lt;&gt;"",LS30&lt;&gt;$H$14,LS30="RI"),40,IF(AND(LS30&lt;&gt;"",LS30&lt;&gt;$H$14,LS30="SC"),41,IF(AND(LS30&lt;&gt;"",LS30&lt;&gt;$H$14,LS30="SD"),42,IF(AND(LS30&lt;&gt;"",LS30&lt;&gt;$H$14,LS30="TN"),43,IF(AND(LS30&lt;&gt;"",LS30&lt;&gt;$H$14,LS30="TX"),44,IF(AND(LS30&lt;&gt;"",LS30&lt;&gt;$H$14,LS30="UT"),45,IF(AND(LS30&lt;&gt;"",LS30&lt;&gt;$H$14,LS30="VA"),46,IF(AND(LS30&lt;&gt;"",LS30&lt;&gt;$H$14,LS30="VT"),47,IF(AND(LS30&lt;&gt;"",LS30&lt;&gt;$H$14,LS30="WA"),48,IF(AND(LS30&lt;&gt;"",LS30&lt;&gt;$H$14,LS30="WI"),49,IF(AND(LS30&lt;&gt;"",LS30&lt;&gt;$H$14,LS30="WV"),50,IF(AND(LS30&lt;&gt;"",LS30&lt;&gt;$H$14,LS30="WY"),51,"")))))))))))))))))))))))))))))))))))))))))))))))))))</f>
        <v/>
      </c>
      <c r="MB30" s="1" t="str">
        <f>IF(AND($H$12&gt;=27, $H$12&lt;&gt;"Please Select"),"City:","")</f>
        <v/>
      </c>
      <c r="MC30" s="336"/>
      <c r="MD30" s="336"/>
      <c r="ME30" s="73" t="str">
        <f>IF(AND($H$12&gt;=27, $H$12&lt;&gt;"Please Select"),"State:","")</f>
        <v/>
      </c>
      <c r="MF30" s="203"/>
      <c r="MG30" s="204" t="str">
        <f>IF(AND(MF30&lt;&gt;"",MF30&lt;&gt;$H$14,MF30="AK"),1,IF(AND(MF30&lt;&gt;"",MF30&lt;&gt;$H$14,MF30="AL"),2,IF(AND(MF30&lt;&gt;"",MF30&lt;&gt;$H$14,MF30="AR"),3,IF(AND(MF30&lt;&gt;"",MF30&lt;&gt;$H$14,MF30="AZ"),4,IF(AND(MF30&lt;&gt;"",MF30&lt;&gt;$H$14,MF30="CA"),5,IF(AND(MF30&lt;&gt;"",MF30&lt;&gt;$H$14,MF30="CO"),6,IF(AND(MF30&lt;&gt;"",MF30&lt;&gt;$H$14,MF30="CT"),7,IF(AND(MF30&lt;&gt;"",MF30&lt;&gt;$H$14,MF30="DC"),8,IF(AND(MF30&lt;&gt;"",MF30&lt;&gt;$H$14,MF30="DE"),9,IF(AND(MF30&lt;&gt;"",MF30&lt;&gt;$H$14,MF30="FL"),10,IF(AND(MF30&lt;&gt;"",MF30&lt;&gt;$H$14,MF30="GA"),11,IF(AND(MF30&lt;&gt;"",MF30&lt;&gt;$H$14,MF30="HI"),12,IF(AND(MF30&lt;&gt;"",MF30&lt;&gt;$H$14,MF30="IA"),13,IF(AND(MF30&lt;&gt;"",MF30&lt;&gt;$H$14,MF30="ID"),14,IF(AND(MF30&lt;&gt;"",MF30&lt;&gt;$H$14,MF30="IL"),15,IF(AND(MF30&lt;&gt;"",MF30&lt;&gt;$H$14,MF30="IN"),16,IF(AND(MF30&lt;&gt;"",MF30&lt;&gt;$H$14,MF30="KS"),17,IF(AND(MF30&lt;&gt;"",MF30&lt;&gt;$H$14,MF30="KY"),18,IF(AND(MF30&lt;&gt;"",MF30&lt;&gt;$H$14,MF30="LA"),19,IF(AND(MF30&lt;&gt;"",MF30&lt;&gt;$H$14,MF30="MA"),20,IF(AND(MF30&lt;&gt;"",MF30&lt;&gt;$H$14,MF30="MD"),21,IF(AND(MF30&lt;&gt;"",MF30&lt;&gt;$H$14,MF30="ME"),22,IF(AND(MF30&lt;&gt;"",MF30&lt;&gt;$H$14,MF30="MI"),23,IF(AND(MF30&lt;&gt;"",MF30&lt;&gt;$H$14,MF30="MN"),24,IF(AND(MF30&lt;&gt;"",MF30&lt;&gt;$H$14,MF30="MO"),25,IF(AND(MF30&lt;&gt;"",MF30&lt;&gt;$H$14,MF30="MS"),26,IF(AND(MF30&lt;&gt;"",MF30&lt;&gt;$H$14,MF30="MT"),27,IF(AND(MF30&lt;&gt;"",MF30&lt;&gt;$H$14,MF30="NC"),28,IF(AND(MF30&lt;&gt;"",MF30&lt;&gt;$H$14,MF30="ND"),29,IF(AND(MF30&lt;&gt;"",MF30&lt;&gt;$H$14,MF30="NE"),30,IF(AND(MF30&lt;&gt;"",MF30&lt;&gt;$H$14,MF30="NH"),31,IF(AND(MF30&lt;&gt;"",MF30&lt;&gt;$H$14,MF30="NJ"),32,IF(AND(MF30&lt;&gt;"",MF30&lt;&gt;$H$14,MF30="NM"),33,IF(AND(MF30&lt;&gt;"",MF30&lt;&gt;$H$14,MF30="NV"),34,IF(AND(MF30&lt;&gt;"",MF30&lt;&gt;$H$14,MF30="NY"),35,IF(AND(MF30&lt;&gt;"",MF30&lt;&gt;$H$14,MF30="OH"),36,IF(AND(MF30&lt;&gt;"",MF30&lt;&gt;$H$14,MF30="OK"),37,IF(AND(MF30&lt;&gt;"",MF30&lt;&gt;$H$14,MF30="OR"),38,IF(AND(MF30&lt;&gt;"",MF30&lt;&gt;$H$14,MF30="PA"),39,IF(AND(MF30&lt;&gt;"",MF30&lt;&gt;$H$14,MF30="RI"),40,IF(AND(MF30&lt;&gt;"",MF30&lt;&gt;$H$14,MF30="SC"),41,IF(AND(MF30&lt;&gt;"",MF30&lt;&gt;$H$14,MF30="SD"),42,IF(AND(MF30&lt;&gt;"",MF30&lt;&gt;$H$14,MF30="TN"),43,IF(AND(MF30&lt;&gt;"",MF30&lt;&gt;$H$14,MF30="TX"),44,IF(AND(MF30&lt;&gt;"",MF30&lt;&gt;$H$14,MF30="UT"),45,IF(AND(MF30&lt;&gt;"",MF30&lt;&gt;$H$14,MF30="VA"),46,IF(AND(MF30&lt;&gt;"",MF30&lt;&gt;$H$14,MF30="VT"),47,IF(AND(MF30&lt;&gt;"",MF30&lt;&gt;$H$14,MF30="WA"),48,IF(AND(MF30&lt;&gt;"",MF30&lt;&gt;$H$14,MF30="WI"),49,IF(AND(MF30&lt;&gt;"",MF30&lt;&gt;$H$14,MF30="WV"),50,IF(AND(MF30&lt;&gt;"",MF30&lt;&gt;$H$14,MF30="WY"),51,"")))))))))))))))))))))))))))))))))))))))))))))))))))</f>
        <v/>
      </c>
      <c r="MO30" s="1" t="str">
        <f>IF(AND($H$12&gt;=28, $H$12&lt;&gt;"Please Select"),"City:","")</f>
        <v/>
      </c>
      <c r="MP30" s="336"/>
      <c r="MQ30" s="336"/>
      <c r="MR30" s="73" t="str">
        <f>IF(AND($H$12&gt;=28, $H$12&lt;&gt;"Please Select"),"State:","")</f>
        <v/>
      </c>
      <c r="MS30" s="203"/>
      <c r="MT30" s="115" t="str">
        <f>IF(AND(MS30&lt;&gt;"",MS30&lt;&gt;$H$14,MS30="AK"),1,IF(AND(MS30&lt;&gt;"",MS30&lt;&gt;$H$14,MS30="AL"),2,IF(AND(MS30&lt;&gt;"",MS30&lt;&gt;$H$14,MS30="AR"),3,IF(AND(MS30&lt;&gt;"",MS30&lt;&gt;$H$14,MS30="AZ"),4,IF(AND(MS30&lt;&gt;"",MS30&lt;&gt;$H$14,MS30="CA"),5,IF(AND(MS30&lt;&gt;"",MS30&lt;&gt;$H$14,MS30="CO"),6,IF(AND(MS30&lt;&gt;"",MS30&lt;&gt;$H$14,MS30="CT"),7,IF(AND(MS30&lt;&gt;"",MS30&lt;&gt;$H$14,MS30="DC"),8,IF(AND(MS30&lt;&gt;"",MS30&lt;&gt;$H$14,MS30="DE"),9,IF(AND(MS30&lt;&gt;"",MS30&lt;&gt;$H$14,MS30="FL"),10,IF(AND(MS30&lt;&gt;"",MS30&lt;&gt;$H$14,MS30="GA"),11,IF(AND(MS30&lt;&gt;"",MS30&lt;&gt;$H$14,MS30="HI"),12,IF(AND(MS30&lt;&gt;"",MS30&lt;&gt;$H$14,MS30="IA"),13,IF(AND(MS30&lt;&gt;"",MS30&lt;&gt;$H$14,MS30="ID"),14,IF(AND(MS30&lt;&gt;"",MS30&lt;&gt;$H$14,MS30="IL"),15,IF(AND(MS30&lt;&gt;"",MS30&lt;&gt;$H$14,MS30="IN"),16,IF(AND(MS30&lt;&gt;"",MS30&lt;&gt;$H$14,MS30="KS"),17,IF(AND(MS30&lt;&gt;"",MS30&lt;&gt;$H$14,MS30="KY"),18,IF(AND(MS30&lt;&gt;"",MS30&lt;&gt;$H$14,MS30="LA"),19,IF(AND(MS30&lt;&gt;"",MS30&lt;&gt;$H$14,MS30="MA"),20,IF(AND(MS30&lt;&gt;"",MS30&lt;&gt;$H$14,MS30="MD"),21,IF(AND(MS30&lt;&gt;"",MS30&lt;&gt;$H$14,MS30="ME"),22,IF(AND(MS30&lt;&gt;"",MS30&lt;&gt;$H$14,MS30="MI"),23,IF(AND(MS30&lt;&gt;"",MS30&lt;&gt;$H$14,MS30="MN"),24,IF(AND(MS30&lt;&gt;"",MS30&lt;&gt;$H$14,MS30="MO"),25,IF(AND(MS30&lt;&gt;"",MS30&lt;&gt;$H$14,MS30="MS"),26,IF(AND(MS30&lt;&gt;"",MS30&lt;&gt;$H$14,MS30="MT"),27,IF(AND(MS30&lt;&gt;"",MS30&lt;&gt;$H$14,MS30="NC"),28,IF(AND(MS30&lt;&gt;"",MS30&lt;&gt;$H$14,MS30="ND"),29,IF(AND(MS30&lt;&gt;"",MS30&lt;&gt;$H$14,MS30="NE"),30,IF(AND(MS30&lt;&gt;"",MS30&lt;&gt;$H$14,MS30="NH"),31,IF(AND(MS30&lt;&gt;"",MS30&lt;&gt;$H$14,MS30="NJ"),32,IF(AND(MS30&lt;&gt;"",MS30&lt;&gt;$H$14,MS30="NM"),33,IF(AND(MS30&lt;&gt;"",MS30&lt;&gt;$H$14,MS30="NV"),34,IF(AND(MS30&lt;&gt;"",MS30&lt;&gt;$H$14,MS30="NY"),35,IF(AND(MS30&lt;&gt;"",MS30&lt;&gt;$H$14,MS30="OH"),36,IF(AND(MS30&lt;&gt;"",MS30&lt;&gt;$H$14,MS30="OK"),37,IF(AND(MS30&lt;&gt;"",MS30&lt;&gt;$H$14,MS30="OR"),38,IF(AND(MS30&lt;&gt;"",MS30&lt;&gt;$H$14,MS30="PA"),39,IF(AND(MS30&lt;&gt;"",MS30&lt;&gt;$H$14,MS30="RI"),40,IF(AND(MS30&lt;&gt;"",MS30&lt;&gt;$H$14,MS30="SC"),41,IF(AND(MS30&lt;&gt;"",MS30&lt;&gt;$H$14,MS30="SD"),42,IF(AND(MS30&lt;&gt;"",MS30&lt;&gt;$H$14,MS30="TN"),43,IF(AND(MS30&lt;&gt;"",MS30&lt;&gt;$H$14,MS30="TX"),44,IF(AND(MS30&lt;&gt;"",MS30&lt;&gt;$H$14,MS30="UT"),45,IF(AND(MS30&lt;&gt;"",MS30&lt;&gt;$H$14,MS30="VA"),46,IF(AND(MS30&lt;&gt;"",MS30&lt;&gt;$H$14,MS30="VT"),47,IF(AND(MS30&lt;&gt;"",MS30&lt;&gt;$H$14,MS30="WA"),48,IF(AND(MS30&lt;&gt;"",MS30&lt;&gt;$H$14,MS30="WI"),49,IF(AND(MS30&lt;&gt;"",MS30&lt;&gt;$H$14,MS30="WV"),50,IF(AND(MS30&lt;&gt;"",MS30&lt;&gt;$H$14,MS30="WY"),51,"")))))))))))))))))))))))))))))))))))))))))))))))))))</f>
        <v/>
      </c>
      <c r="NB30" s="1" t="str">
        <f>IF(AND($H$12&gt;=29, $H$12&lt;&gt;"Please Select"),"City:","")</f>
        <v/>
      </c>
      <c r="NC30" s="336"/>
      <c r="ND30" s="336"/>
      <c r="NE30" s="73" t="str">
        <f>IF(AND($H$12&gt;=29, $H$12&lt;&gt;"Please Select"),"State:","")</f>
        <v/>
      </c>
      <c r="NF30" s="203"/>
      <c r="NG30" s="115" t="str">
        <f>IF(AND(NF30&lt;&gt;"",NF30&lt;&gt;$H$14,NF30="AK"),1,IF(AND(NF30&lt;&gt;"",NF30&lt;&gt;$H$14,NF30="AL"),2,IF(AND(NF30&lt;&gt;"",NF30&lt;&gt;$H$14,NF30="AR"),3,IF(AND(NF30&lt;&gt;"",NF30&lt;&gt;$H$14,NF30="AZ"),4,IF(AND(NF30&lt;&gt;"",NF30&lt;&gt;$H$14,NF30="CA"),5,IF(AND(NF30&lt;&gt;"",NF30&lt;&gt;$H$14,NF30="CO"),6,IF(AND(NF30&lt;&gt;"",NF30&lt;&gt;$H$14,NF30="CT"),7,IF(AND(NF30&lt;&gt;"",NF30&lt;&gt;$H$14,NF30="DC"),8,IF(AND(NF30&lt;&gt;"",NF30&lt;&gt;$H$14,NF30="DE"),9,IF(AND(NF30&lt;&gt;"",NF30&lt;&gt;$H$14,NF30="FL"),10,IF(AND(NF30&lt;&gt;"",NF30&lt;&gt;$H$14,NF30="GA"),11,IF(AND(NF30&lt;&gt;"",NF30&lt;&gt;$H$14,NF30="HI"),12,IF(AND(NF30&lt;&gt;"",NF30&lt;&gt;$H$14,NF30="IA"),13,IF(AND(NF30&lt;&gt;"",NF30&lt;&gt;$H$14,NF30="ID"),14,IF(AND(NF30&lt;&gt;"",NF30&lt;&gt;$H$14,NF30="IL"),15,IF(AND(NF30&lt;&gt;"",NF30&lt;&gt;$H$14,NF30="IN"),16,IF(AND(NF30&lt;&gt;"",NF30&lt;&gt;$H$14,NF30="KS"),17,IF(AND(NF30&lt;&gt;"",NF30&lt;&gt;$H$14,NF30="KY"),18,IF(AND(NF30&lt;&gt;"",NF30&lt;&gt;$H$14,NF30="LA"),19,IF(AND(NF30&lt;&gt;"",NF30&lt;&gt;$H$14,NF30="MA"),20,IF(AND(NF30&lt;&gt;"",NF30&lt;&gt;$H$14,NF30="MD"),21,IF(AND(NF30&lt;&gt;"",NF30&lt;&gt;$H$14,NF30="ME"),22,IF(AND(NF30&lt;&gt;"",NF30&lt;&gt;$H$14,NF30="MI"),23,IF(AND(NF30&lt;&gt;"",NF30&lt;&gt;$H$14,NF30="MN"),24,IF(AND(NF30&lt;&gt;"",NF30&lt;&gt;$H$14,NF30="MO"),25,IF(AND(NF30&lt;&gt;"",NF30&lt;&gt;$H$14,NF30="MS"),26,IF(AND(NF30&lt;&gt;"",NF30&lt;&gt;$H$14,NF30="MT"),27,IF(AND(NF30&lt;&gt;"",NF30&lt;&gt;$H$14,NF30="NC"),28,IF(AND(NF30&lt;&gt;"",NF30&lt;&gt;$H$14,NF30="ND"),29,IF(AND(NF30&lt;&gt;"",NF30&lt;&gt;$H$14,NF30="NE"),30,IF(AND(NF30&lt;&gt;"",NF30&lt;&gt;$H$14,NF30="NH"),31,IF(AND(NF30&lt;&gt;"",NF30&lt;&gt;$H$14,NF30="NJ"),32,IF(AND(NF30&lt;&gt;"",NF30&lt;&gt;$H$14,NF30="NM"),33,IF(AND(NF30&lt;&gt;"",NF30&lt;&gt;$H$14,NF30="NV"),34,IF(AND(NF30&lt;&gt;"",NF30&lt;&gt;$H$14,NF30="NY"),35,IF(AND(NF30&lt;&gt;"",NF30&lt;&gt;$H$14,NF30="OH"),36,IF(AND(NF30&lt;&gt;"",NF30&lt;&gt;$H$14,NF30="OK"),37,IF(AND(NF30&lt;&gt;"",NF30&lt;&gt;$H$14,NF30="OR"),38,IF(AND(NF30&lt;&gt;"",NF30&lt;&gt;$H$14,NF30="PA"),39,IF(AND(NF30&lt;&gt;"",NF30&lt;&gt;$H$14,NF30="RI"),40,IF(AND(NF30&lt;&gt;"",NF30&lt;&gt;$H$14,NF30="SC"),41,IF(AND(NF30&lt;&gt;"",NF30&lt;&gt;$H$14,NF30="SD"),42,IF(AND(NF30&lt;&gt;"",NF30&lt;&gt;$H$14,NF30="TN"),43,IF(AND(NF30&lt;&gt;"",NF30&lt;&gt;$H$14,NF30="TX"),44,IF(AND(NF30&lt;&gt;"",NF30&lt;&gt;$H$14,NF30="UT"),45,IF(AND(NF30&lt;&gt;"",NF30&lt;&gt;$H$14,NF30="VA"),46,IF(AND(NF30&lt;&gt;"",NF30&lt;&gt;$H$14,NF30="VT"),47,IF(AND(NF30&lt;&gt;"",NF30&lt;&gt;$H$14,NF30="WA"),48,IF(AND(NF30&lt;&gt;"",NF30&lt;&gt;$H$14,NF30="WI"),49,IF(AND(NF30&lt;&gt;"",NF30&lt;&gt;$H$14,NF30="WV"),50,IF(AND(NF30&lt;&gt;"",NF30&lt;&gt;$H$14,NF30="WY"),51,"")))))))))))))))))))))))))))))))))))))))))))))))))))</f>
        <v/>
      </c>
      <c r="NO30" s="1" t="str">
        <f>IF(AND($H$12&gt;=30, $H$12&lt;&gt;"Please Select"),"City:","")</f>
        <v/>
      </c>
      <c r="NP30" s="336"/>
      <c r="NQ30" s="336"/>
      <c r="NR30" s="73" t="str">
        <f>IF(AND($H$12&gt;=30, $H$12&lt;&gt;"Please Select"),"State:","")</f>
        <v/>
      </c>
      <c r="NS30" s="203"/>
      <c r="NT30" s="115" t="str">
        <f>IF(AND(NS30&lt;&gt;"",NS30&lt;&gt;$H$14,NS30="AK"),1,IF(AND(NS30&lt;&gt;"",NS30&lt;&gt;$H$14,NS30="AL"),2,IF(AND(NS30&lt;&gt;"",NS30&lt;&gt;$H$14,NS30="AR"),3,IF(AND(NS30&lt;&gt;"",NS30&lt;&gt;$H$14,NS30="AZ"),4,IF(AND(NS30&lt;&gt;"",NS30&lt;&gt;$H$14,NS30="CA"),5,IF(AND(NS30&lt;&gt;"",NS30&lt;&gt;$H$14,NS30="CO"),6,IF(AND(NS30&lt;&gt;"",NS30&lt;&gt;$H$14,NS30="CT"),7,IF(AND(NS30&lt;&gt;"",NS30&lt;&gt;$H$14,NS30="DC"),8,IF(AND(NS30&lt;&gt;"",NS30&lt;&gt;$H$14,NS30="DE"),9,IF(AND(NS30&lt;&gt;"",NS30&lt;&gt;$H$14,NS30="FL"),10,IF(AND(NS30&lt;&gt;"",NS30&lt;&gt;$H$14,NS30="GA"),11,IF(AND(NS30&lt;&gt;"",NS30&lt;&gt;$H$14,NS30="HI"),12,IF(AND(NS30&lt;&gt;"",NS30&lt;&gt;$H$14,NS30="IA"),13,IF(AND(NS30&lt;&gt;"",NS30&lt;&gt;$H$14,NS30="ID"),14,IF(AND(NS30&lt;&gt;"",NS30&lt;&gt;$H$14,NS30="IL"),15,IF(AND(NS30&lt;&gt;"",NS30&lt;&gt;$H$14,NS30="IN"),16,IF(AND(NS30&lt;&gt;"",NS30&lt;&gt;$H$14,NS30="KS"),17,IF(AND(NS30&lt;&gt;"",NS30&lt;&gt;$H$14,NS30="KY"),18,IF(AND(NS30&lt;&gt;"",NS30&lt;&gt;$H$14,NS30="LA"),19,IF(AND(NS30&lt;&gt;"",NS30&lt;&gt;$H$14,NS30="MA"),20,IF(AND(NS30&lt;&gt;"",NS30&lt;&gt;$H$14,NS30="MD"),21,IF(AND(NS30&lt;&gt;"",NS30&lt;&gt;$H$14,NS30="ME"),22,IF(AND(NS30&lt;&gt;"",NS30&lt;&gt;$H$14,NS30="MI"),23,IF(AND(NS30&lt;&gt;"",NS30&lt;&gt;$H$14,NS30="MN"),24,IF(AND(NS30&lt;&gt;"",NS30&lt;&gt;$H$14,NS30="MO"),25,IF(AND(NS30&lt;&gt;"",NS30&lt;&gt;$H$14,NS30="MS"),26,IF(AND(NS30&lt;&gt;"",NS30&lt;&gt;$H$14,NS30="MT"),27,IF(AND(NS30&lt;&gt;"",NS30&lt;&gt;$H$14,NS30="NC"),28,IF(AND(NS30&lt;&gt;"",NS30&lt;&gt;$H$14,NS30="ND"),29,IF(AND(NS30&lt;&gt;"",NS30&lt;&gt;$H$14,NS30="NE"),30,IF(AND(NS30&lt;&gt;"",NS30&lt;&gt;$H$14,NS30="NH"),31,IF(AND(NS30&lt;&gt;"",NS30&lt;&gt;$H$14,NS30="NJ"),32,IF(AND(NS30&lt;&gt;"",NS30&lt;&gt;$H$14,NS30="NM"),33,IF(AND(NS30&lt;&gt;"",NS30&lt;&gt;$H$14,NS30="NV"),34,IF(AND(NS30&lt;&gt;"",NS30&lt;&gt;$H$14,NS30="NY"),35,IF(AND(NS30&lt;&gt;"",NS30&lt;&gt;$H$14,NS30="OH"),36,IF(AND(NS30&lt;&gt;"",NS30&lt;&gt;$H$14,NS30="OK"),37,IF(AND(NS30&lt;&gt;"",NS30&lt;&gt;$H$14,NS30="OR"),38,IF(AND(NS30&lt;&gt;"",NS30&lt;&gt;$H$14,NS30="PA"),39,IF(AND(NS30&lt;&gt;"",NS30&lt;&gt;$H$14,NS30="RI"),40,IF(AND(NS30&lt;&gt;"",NS30&lt;&gt;$H$14,NS30="SC"),41,IF(AND(NS30&lt;&gt;"",NS30&lt;&gt;$H$14,NS30="SD"),42,IF(AND(NS30&lt;&gt;"",NS30&lt;&gt;$H$14,NS30="TN"),43,IF(AND(NS30&lt;&gt;"",NS30&lt;&gt;$H$14,NS30="TX"),44,IF(AND(NS30&lt;&gt;"",NS30&lt;&gt;$H$14,NS30="UT"),45,IF(AND(NS30&lt;&gt;"",NS30&lt;&gt;$H$14,NS30="VA"),46,IF(AND(NS30&lt;&gt;"",NS30&lt;&gt;$H$14,NS30="VT"),47,IF(AND(NS30&lt;&gt;"",NS30&lt;&gt;$H$14,NS30="WA"),48,IF(AND(NS30&lt;&gt;"",NS30&lt;&gt;$H$14,NS30="WI"),49,IF(AND(NS30&lt;&gt;"",NS30&lt;&gt;$H$14,NS30="WV"),50,IF(AND(NS30&lt;&gt;"",NS30&lt;&gt;$H$14,NS30="WY"),51,"")))))))))))))))))))))))))))))))))))))))))))))))))))</f>
        <v/>
      </c>
      <c r="OA30" s="63" t="s">
        <v>218</v>
      </c>
      <c r="OB30" s="115" t="str">
        <f>IF(ISNUMBER(MATCH(8,G30:NT30,0)), "Yes", "")</f>
        <v/>
      </c>
      <c r="OC30" s="63" t="s">
        <v>230</v>
      </c>
      <c r="OD30" s="115" t="str">
        <f>IF(ISNUMBER(MATCH(20,G30:NT30,0)), "Yes", "")</f>
        <v/>
      </c>
      <c r="OE30" s="63" t="s">
        <v>242</v>
      </c>
      <c r="OF30" s="115" t="str">
        <f>IF(ISNUMBER(MATCH(32,G30:NT30,0)), "Yes", "")</f>
        <v/>
      </c>
      <c r="OG30" s="63" t="s">
        <v>254</v>
      </c>
      <c r="OH30" s="115" t="str">
        <f>IF(ISNUMBER(MATCH(44,G30:NT30,0)), "Yes", "")</f>
        <v/>
      </c>
      <c r="OI30" s="63"/>
      <c r="OJ30" s="63"/>
    </row>
    <row r="31" spans="2:400" s="41" customFormat="1" ht="20.25" customHeight="1" x14ac:dyDescent="0.2">
      <c r="B31" s="1" t="str">
        <f>IF(AND($H$12&gt;=1, $H$12&lt;&gt;"Please Select"),"Distance from program (in miles):","")</f>
        <v/>
      </c>
      <c r="D31" s="205"/>
      <c r="O31" s="1" t="str">
        <f>IF(AND($H$12&gt;=2, $H$12&lt;&gt;"Please Select"),"Distance from program (in miles):","")</f>
        <v/>
      </c>
      <c r="Q31" s="205"/>
      <c r="AB31" s="1" t="str">
        <f>IF(AND($H$12&gt;=3, $H$12&lt;&gt;"Please Select"),"Distance from program (in miles):","")</f>
        <v/>
      </c>
      <c r="AD31" s="205"/>
      <c r="AO31" s="1" t="str">
        <f>IF(AND($H$12&gt;=4, $H$12&lt;&gt;"Please Select"),"Distance from program (in miles):","")</f>
        <v/>
      </c>
      <c r="AQ31" s="205"/>
      <c r="BB31" s="1" t="str">
        <f>IF(AND($H$12&gt;=5, $H$12&lt;&gt;"Please Select"),"Distance from program (in miles):","")</f>
        <v/>
      </c>
      <c r="BD31" s="205"/>
      <c r="BO31" s="1" t="str">
        <f>IF(AND($H$12&gt;=6, $H$12&lt;&gt;"Please Select"),"Distance from program (in miles):","")</f>
        <v/>
      </c>
      <c r="BQ31" s="205"/>
      <c r="CB31" s="1" t="str">
        <f>IF(AND($H$12&gt;=7, $H$12&lt;&gt;"Please Select"),"Distance from program (in miles):","")</f>
        <v/>
      </c>
      <c r="CD31" s="205"/>
      <c r="CO31" s="1" t="str">
        <f>IF(AND($H$12&gt;=8, $H$12&lt;&gt;"Please Select"),"Distance from program (in miles):","")</f>
        <v/>
      </c>
      <c r="CQ31" s="205"/>
      <c r="DB31" s="1" t="str">
        <f>IF(AND($H$12&gt;=9, $H$12&lt;&gt;"Please Select"),"Distance from program (in miles):","")</f>
        <v/>
      </c>
      <c r="DD31" s="205"/>
      <c r="DO31" s="1" t="str">
        <f>IF(AND($H$12&gt;=10, $H$12&lt;&gt;"Please Select"),"Distance from program (in miles):","")</f>
        <v/>
      </c>
      <c r="DQ31" s="205"/>
      <c r="EB31" s="1" t="str">
        <f>IF(AND($H$12&gt;=11, $H$12&lt;&gt;"Please Select"),"Distance from program (in miles):","")</f>
        <v/>
      </c>
      <c r="ED31" s="205"/>
      <c r="EO31" s="1" t="str">
        <f>IF(AND($H$12&gt;=12, $H$12&lt;&gt;"Please Select"),"Distance from program (in miles):","")</f>
        <v/>
      </c>
      <c r="EQ31" s="205"/>
      <c r="FB31" s="1" t="str">
        <f>IF(AND($H$12&gt;=13, $H$12&lt;&gt;"Please Select"),"Distance from program (in miles):","")</f>
        <v/>
      </c>
      <c r="FD31" s="205"/>
      <c r="FO31" s="1" t="str">
        <f>IF(AND($H$12&gt;=14, $H$12&lt;&gt;"Please Select"),"Distance from program (in miles):","")</f>
        <v/>
      </c>
      <c r="FQ31" s="205"/>
      <c r="GB31" s="1" t="str">
        <f>IF(AND($H$12&gt;=15, $H$12&lt;&gt;"Please Select"),"Distance from program (in miles):","")</f>
        <v/>
      </c>
      <c r="GD31" s="205"/>
      <c r="GO31" s="1" t="str">
        <f>IF(AND($H$12&gt;=16, $H$12&lt;&gt;"Please Select"),"Distance from program (in miles):","")</f>
        <v/>
      </c>
      <c r="GQ31" s="205"/>
      <c r="HB31" s="1" t="str">
        <f>IF(AND($H$12&gt;=17, $H$12&lt;&gt;"Please Select"),"Distance from program (in miles):","")</f>
        <v/>
      </c>
      <c r="HD31" s="205"/>
      <c r="HO31" s="1" t="str">
        <f>IF(AND($H$12&gt;=18, $H$12&lt;&gt;"Please Select"),"Distance from program (in miles):","")</f>
        <v/>
      </c>
      <c r="HQ31" s="205"/>
      <c r="IB31" s="1" t="str">
        <f>IF(AND($H$12&gt;=19, $H$12&lt;&gt;"Please Select"),"Distance from program (in miles):","")</f>
        <v/>
      </c>
      <c r="ID31" s="205"/>
      <c r="IO31" s="1" t="str">
        <f>IF(AND($H$12&gt;=20, $H$12&lt;&gt;"Please Select"),"Distance from program (in miles):","")</f>
        <v/>
      </c>
      <c r="IQ31" s="205"/>
      <c r="JB31" s="1" t="str">
        <f>IF(AND($H$12&gt;=21, $H$12&lt;&gt;"Please Select"),"Distance from program (in miles):","")</f>
        <v/>
      </c>
      <c r="JD31" s="205"/>
      <c r="JO31" s="1" t="str">
        <f>IF(AND($H$12&gt;=22, $H$12&lt;&gt;"Please Select"),"Distance from program (in miles):","")</f>
        <v/>
      </c>
      <c r="JQ31" s="205"/>
      <c r="KB31" s="1" t="str">
        <f>IF(AND($H$12&gt;=23, $H$12&lt;&gt;"Please Select"),"Distance from program (in miles):","")</f>
        <v/>
      </c>
      <c r="KD31" s="205"/>
      <c r="KO31" s="1" t="str">
        <f>IF(AND($H$12&gt;=24, $H$12&lt;&gt;"Please Select"),"Distance from program (in miles):","")</f>
        <v/>
      </c>
      <c r="KQ31" s="205"/>
      <c r="LB31" s="1" t="str">
        <f>IF(AND($H$12&gt;=25, $H$12&lt;&gt;"Please Select"),"Distance from program (in miles):","")</f>
        <v/>
      </c>
      <c r="LD31" s="205"/>
      <c r="LO31" s="1" t="str">
        <f>IF(AND($H$12&gt;=26, $H$12&lt;&gt;"Please Select"),"Distance from program (in miles):","")</f>
        <v/>
      </c>
      <c r="LQ31" s="205"/>
      <c r="MB31" s="1" t="str">
        <f>IF(AND($H$12&gt;=27, $H$12&lt;&gt;"Please Select"),"Distance from program (in miles):","")</f>
        <v/>
      </c>
      <c r="MD31" s="205"/>
      <c r="MO31" s="1" t="str">
        <f>IF(AND($H$12&gt;=28, $H$12&lt;&gt;"Please Select"),"Distance from program (in miles):","")</f>
        <v/>
      </c>
      <c r="MQ31" s="205"/>
      <c r="NB31" s="1" t="str">
        <f>IF(AND($H$12&gt;=29, $H$12&lt;&gt;"Please Select"),"Distance from program (in miles):","")</f>
        <v/>
      </c>
      <c r="ND31" s="205"/>
      <c r="NO31" s="1" t="str">
        <f>IF(AND($H$12&gt;=30, $H$12&lt;&gt;"Please Select"),"Distance from program (in miles):","")</f>
        <v/>
      </c>
      <c r="NQ31" s="205"/>
      <c r="OA31" s="63" t="s">
        <v>219</v>
      </c>
      <c r="OB31" s="115" t="str">
        <f>IF(ISNUMBER(MATCH(9,G30:NT30,0)), "Yes", "")</f>
        <v/>
      </c>
      <c r="OC31" s="63" t="s">
        <v>231</v>
      </c>
      <c r="OD31" s="115" t="str">
        <f>IF(ISNUMBER(MATCH(21,G30:NT30,0)), "Yes", "")</f>
        <v/>
      </c>
      <c r="OE31" s="63" t="s">
        <v>243</v>
      </c>
      <c r="OF31" s="115" t="str">
        <f>IF(ISNUMBER(MATCH(33,G30:NT30,0)), "Yes", "")</f>
        <v/>
      </c>
      <c r="OG31" s="63" t="s">
        <v>255</v>
      </c>
      <c r="OH31" s="115" t="str">
        <f>IF(ISNUMBER(MATCH(45,G30:NT30,0)), "Yes", "")</f>
        <v/>
      </c>
      <c r="OI31" s="63"/>
      <c r="OJ31" s="63"/>
    </row>
    <row r="32" spans="2:400" s="41" customFormat="1" ht="14.25" x14ac:dyDescent="0.2">
      <c r="B32" s="1"/>
      <c r="O32" s="1"/>
      <c r="AB32" s="1"/>
      <c r="AO32" s="1"/>
      <c r="BB32" s="1"/>
      <c r="BO32" s="1"/>
      <c r="CB32" s="1"/>
      <c r="CO32" s="1"/>
      <c r="DB32" s="1"/>
      <c r="DO32" s="1"/>
      <c r="EB32" s="1"/>
      <c r="EO32" s="1"/>
      <c r="FB32" s="1"/>
      <c r="FO32" s="1"/>
      <c r="GB32" s="1"/>
      <c r="GO32" s="1"/>
      <c r="HB32" s="1"/>
      <c r="HO32" s="1"/>
      <c r="IB32" s="1"/>
      <c r="IO32" s="1"/>
      <c r="JB32" s="1"/>
      <c r="JO32" s="1"/>
      <c r="KB32" s="1"/>
      <c r="KO32" s="1"/>
      <c r="LB32" s="1"/>
      <c r="LO32" s="1"/>
      <c r="MB32" s="1"/>
      <c r="MO32" s="1"/>
      <c r="NB32" s="1"/>
      <c r="NO32" s="1"/>
      <c r="OA32" s="63" t="s">
        <v>220</v>
      </c>
      <c r="OB32" s="115" t="str">
        <f>IF(ISNUMBER(MATCH(10,G30:NT30,0)), "Yes", "")</f>
        <v/>
      </c>
      <c r="OC32" s="63" t="s">
        <v>232</v>
      </c>
      <c r="OD32" s="115" t="str">
        <f>IF(ISNUMBER(MATCH(22,G30:NT30,0)), "Yes", "")</f>
        <v/>
      </c>
      <c r="OE32" s="63" t="s">
        <v>244</v>
      </c>
      <c r="OF32" s="115" t="str">
        <f>IF(ISNUMBER(MATCH(34,G30:NT30,0)), "Yes", "")</f>
        <v/>
      </c>
      <c r="OG32" s="63" t="s">
        <v>256</v>
      </c>
      <c r="OH32" s="115" t="str">
        <f>IF(ISNUMBER(MATCH(46,G30:NT30,0)), "Yes", "")</f>
        <v/>
      </c>
      <c r="OI32" s="63"/>
      <c r="OJ32" s="63"/>
    </row>
    <row r="33" spans="2:400" s="43" customFormat="1" ht="29.25" customHeight="1" x14ac:dyDescent="0.2">
      <c r="B33" s="33" t="str">
        <f>IF(AND($H$12&gt;=1, $H$12&lt;&gt;"Please Select"),"Name of on-site liaison:","")</f>
        <v/>
      </c>
      <c r="D33" s="530"/>
      <c r="E33" s="530"/>
      <c r="F33" s="530"/>
      <c r="H33" s="41"/>
      <c r="O33" s="33" t="str">
        <f>IF(AND($H$12&gt;=2, $H$12&lt;&gt;"Please Select"),"Name of on-site liaison:","")</f>
        <v/>
      </c>
      <c r="Q33" s="530"/>
      <c r="R33" s="530"/>
      <c r="S33" s="530"/>
      <c r="AB33" s="33" t="str">
        <f>IF(AND($H$12&gt;=3, $H$12&lt;&gt;"Please Select"),"Name of on-site liaison:","")</f>
        <v/>
      </c>
      <c r="AD33" s="530"/>
      <c r="AE33" s="530"/>
      <c r="AF33" s="530"/>
      <c r="AO33" s="33" t="str">
        <f>IF(AND($H$12&gt;=4, $H$12&lt;&gt;"Please Select"),"Name of on-site liaison:","")</f>
        <v/>
      </c>
      <c r="AQ33" s="530"/>
      <c r="AR33" s="530"/>
      <c r="AS33" s="530"/>
      <c r="BB33" s="33" t="str">
        <f>IF(AND($H$12&gt;=5, $H$12&lt;&gt;"Please Select"),"Name of on-site liaison:","")</f>
        <v/>
      </c>
      <c r="BD33" s="530"/>
      <c r="BE33" s="530"/>
      <c r="BF33" s="530"/>
      <c r="BO33" s="33" t="str">
        <f>IF(AND($H$12&gt;=6, $H$12&lt;&gt;"Please Select"),"Name of on-site liaison:","")</f>
        <v/>
      </c>
      <c r="BQ33" s="530"/>
      <c r="BR33" s="530"/>
      <c r="BS33" s="530"/>
      <c r="CB33" s="33" t="str">
        <f>IF(AND($H$12&gt;=7, $H$12&lt;&gt;"Please Select"),"Name of on-site liaison:","")</f>
        <v/>
      </c>
      <c r="CD33" s="530"/>
      <c r="CE33" s="530"/>
      <c r="CF33" s="530"/>
      <c r="CO33" s="33" t="str">
        <f>IF(AND($H$12&gt;=8, $H$12&lt;&gt;"Please Select"),"Name of on-site liaison:","")</f>
        <v/>
      </c>
      <c r="CQ33" s="530"/>
      <c r="CR33" s="530"/>
      <c r="CS33" s="530"/>
      <c r="DB33" s="33" t="str">
        <f>IF(AND($H$12&gt;=9, $H$12&lt;&gt;"Please Select"),"Name of on-site liaison:","")</f>
        <v/>
      </c>
      <c r="DD33" s="530"/>
      <c r="DE33" s="530"/>
      <c r="DF33" s="530"/>
      <c r="DO33" s="33" t="str">
        <f>IF(AND($H$12&gt;=10, $H$12&lt;&gt;"Please Select"),"Name of on-site liaison:","")</f>
        <v/>
      </c>
      <c r="DQ33" s="530"/>
      <c r="DR33" s="530"/>
      <c r="DS33" s="530"/>
      <c r="EB33" s="33" t="str">
        <f>IF(AND($H$12&gt;=11, $H$12&lt;&gt;"Please Select"),"Name of on-site liaison:","")</f>
        <v/>
      </c>
      <c r="ED33" s="530"/>
      <c r="EE33" s="530"/>
      <c r="EF33" s="530"/>
      <c r="EO33" s="33" t="str">
        <f>IF(AND($H$12&gt;=12, $H$12&lt;&gt;"Please Select"),"Name of on-site liaison:","")</f>
        <v/>
      </c>
      <c r="EQ33" s="530"/>
      <c r="ER33" s="530"/>
      <c r="ES33" s="530"/>
      <c r="FB33" s="33" t="str">
        <f>IF(AND($H$12&gt;=13, $H$12&lt;&gt;"Please Select"),"Name of on-site liaison:","")</f>
        <v/>
      </c>
      <c r="FD33" s="530"/>
      <c r="FE33" s="530"/>
      <c r="FF33" s="530"/>
      <c r="FO33" s="33" t="str">
        <f>IF(AND($H$12&gt;=14, $H$12&lt;&gt;"Please Select"),"Name of on-site liaison:","")</f>
        <v/>
      </c>
      <c r="FQ33" s="530"/>
      <c r="FR33" s="530"/>
      <c r="FS33" s="530"/>
      <c r="GB33" s="33" t="str">
        <f>IF(AND($H$12&gt;=15, $H$12&lt;&gt;"Please Select"),"Name of on-site liaison:","")</f>
        <v/>
      </c>
      <c r="GD33" s="530"/>
      <c r="GE33" s="530"/>
      <c r="GF33" s="530"/>
      <c r="GO33" s="33" t="str">
        <f>IF(AND($H$12&gt;=16, $H$12&lt;&gt;"Please Select"),"Name of on-site liaison:","")</f>
        <v/>
      </c>
      <c r="GQ33" s="530"/>
      <c r="GR33" s="530"/>
      <c r="GS33" s="530"/>
      <c r="HB33" s="33" t="str">
        <f>IF(AND($H$12&gt;=17, $H$12&lt;&gt;"Please Select"),"Name of on-site liaison:","")</f>
        <v/>
      </c>
      <c r="HD33" s="530"/>
      <c r="HE33" s="530"/>
      <c r="HF33" s="530"/>
      <c r="HO33" s="33" t="str">
        <f>IF(AND($H$12&gt;=18, $H$12&lt;&gt;"Please Select"),"Name of on-site liaison:","")</f>
        <v/>
      </c>
      <c r="HQ33" s="530"/>
      <c r="HR33" s="530"/>
      <c r="HS33" s="530"/>
      <c r="IB33" s="33" t="str">
        <f>IF(AND($H$12&gt;=19, $H$12&lt;&gt;"Please Select"),"Name of on-site liaison:","")</f>
        <v/>
      </c>
      <c r="ID33" s="530"/>
      <c r="IE33" s="530"/>
      <c r="IF33" s="530"/>
      <c r="IO33" s="33" t="str">
        <f>IF(AND($H$12&gt;=20, $H$12&lt;&gt;"Please Select"),"Name of on-site liaison:","")</f>
        <v/>
      </c>
      <c r="IQ33" s="530"/>
      <c r="IR33" s="530"/>
      <c r="IS33" s="530"/>
      <c r="JB33" s="33" t="str">
        <f>IF(AND($H$12&gt;=21, $H$12&lt;&gt;"Please Select"),"Name of on-site liaison:","")</f>
        <v/>
      </c>
      <c r="JD33" s="530"/>
      <c r="JE33" s="530"/>
      <c r="JF33" s="530"/>
      <c r="JO33" s="33" t="str">
        <f>IF(AND($H$12&gt;=22, $H$12&lt;&gt;"Please Select"),"Name of on-site liaison:","")</f>
        <v/>
      </c>
      <c r="JQ33" s="530"/>
      <c r="JR33" s="530"/>
      <c r="JS33" s="530"/>
      <c r="KB33" s="33" t="str">
        <f>IF(AND($H$12&gt;=23, $H$12&lt;&gt;"Please Select"),"Name of on-site liaison:","")</f>
        <v/>
      </c>
      <c r="KD33" s="530"/>
      <c r="KE33" s="530"/>
      <c r="KF33" s="530"/>
      <c r="KO33" s="33" t="str">
        <f>IF(AND($H$12&gt;=24, $H$12&lt;&gt;"Please Select"),"Name of on-site liaison:","")</f>
        <v/>
      </c>
      <c r="KQ33" s="530"/>
      <c r="KR33" s="530"/>
      <c r="KS33" s="530"/>
      <c r="LB33" s="33" t="str">
        <f>IF(AND($H$12&gt;=25, $H$12&lt;&gt;"Please Select"),"Name of on-site liaison:","")</f>
        <v/>
      </c>
      <c r="LD33" s="530"/>
      <c r="LE33" s="530"/>
      <c r="LF33" s="530"/>
      <c r="LO33" s="33" t="str">
        <f>IF(AND($H$12&gt;=26, $H$12&lt;&gt;"Please Select"),"Name of on-site liaison:","")</f>
        <v/>
      </c>
      <c r="LQ33" s="530"/>
      <c r="LR33" s="530"/>
      <c r="LS33" s="530"/>
      <c r="MB33" s="33" t="str">
        <f>IF(AND($H$12&gt;=27, $H$12&lt;&gt;"Please Select"),"Name of on-site liaison:","")</f>
        <v/>
      </c>
      <c r="MD33" s="530"/>
      <c r="ME33" s="530"/>
      <c r="MF33" s="530"/>
      <c r="MO33" s="33" t="str">
        <f>IF(AND($H$12&gt;=28, $H$12&lt;&gt;"Please Select"),"Name of on-site liaison:","")</f>
        <v/>
      </c>
      <c r="MQ33" s="530"/>
      <c r="MR33" s="530"/>
      <c r="MS33" s="530"/>
      <c r="NB33" s="33" t="str">
        <f>IF(AND($H$12&gt;=29, $H$12&lt;&gt;"Please Select"),"Name of on-site liaison:","")</f>
        <v/>
      </c>
      <c r="ND33" s="530"/>
      <c r="NE33" s="530"/>
      <c r="NF33" s="530"/>
      <c r="NO33" s="33" t="str">
        <f>IF(AND($H$12&gt;=30, $H$12&lt;&gt;"Please Select"),"Name of on-site liaison:","")</f>
        <v/>
      </c>
      <c r="NQ33" s="530"/>
      <c r="NR33" s="530"/>
      <c r="NS33" s="530"/>
      <c r="OA33" s="200" t="s">
        <v>221</v>
      </c>
      <c r="OB33" s="115" t="str">
        <f>IF(ISNUMBER(MATCH(11,G30:NT30,0)), "Yes", "")</f>
        <v/>
      </c>
      <c r="OC33" s="200" t="s">
        <v>233</v>
      </c>
      <c r="OD33" s="177" t="str">
        <f>IF(ISNUMBER(MATCH(23,G30:NT30,0)), "Yes", "")</f>
        <v/>
      </c>
      <c r="OE33" s="63" t="s">
        <v>245</v>
      </c>
      <c r="OF33" s="177" t="str">
        <f>IF(ISNUMBER(MATCH(35,G30:NT30,0)), "Yes", "")</f>
        <v/>
      </c>
      <c r="OG33" s="200" t="s">
        <v>257</v>
      </c>
      <c r="OH33" s="177" t="str">
        <f>IF(ISNUMBER(MATCH(47,G30:NT30,0)), "Yes", "")</f>
        <v/>
      </c>
      <c r="OI33" s="200"/>
      <c r="OJ33" s="200"/>
    </row>
    <row r="34" spans="2:400" s="41" customFormat="1" ht="26.25" customHeight="1" x14ac:dyDescent="0.2">
      <c r="B34" s="33" t="str">
        <f>IF(AND($H$12&gt;=1, $H$12&lt;&gt;"Please Select"),"Has the on-site liaison completed orientation?","")</f>
        <v/>
      </c>
      <c r="F34" s="205"/>
      <c r="O34" s="33" t="str">
        <f>IF(AND($H$12&gt;=2, $H$12&lt;&gt;"Please Select"),"Has the on-site liaison completed orientation?","")</f>
        <v/>
      </c>
      <c r="S34" s="205"/>
      <c r="AB34" s="33" t="str">
        <f>IF(AND($H$12&gt;=3, $H$12&lt;&gt;"Please Select"),"Has the on-site liaison completed orientation?","")</f>
        <v/>
      </c>
      <c r="AF34" s="205"/>
      <c r="AO34" s="33" t="str">
        <f>IF(AND($H$12&gt;=4, $H$12&lt;&gt;"Please Select"),"Has the on-site liaison completed orientation?","")</f>
        <v/>
      </c>
      <c r="AS34" s="205"/>
      <c r="BB34" s="33" t="str">
        <f>IF(AND($H$12&gt;=5, $H$12&lt;&gt;"Please Select"),"Has the on-site liaison completed orientation?","")</f>
        <v/>
      </c>
      <c r="BF34" s="205"/>
      <c r="BO34" s="33" t="str">
        <f>IF(AND($H$12&gt;=6, $H$12&lt;&gt;"Please Select"),"Has the on-site liaison completed orientation?","")</f>
        <v/>
      </c>
      <c r="BS34" s="205"/>
      <c r="CB34" s="33" t="str">
        <f>IF(AND($H$12&gt;=7, $H$12&lt;&gt;"Please Select"),"Has the on-site liaison completed orientation?","")</f>
        <v/>
      </c>
      <c r="CF34" s="205"/>
      <c r="CO34" s="33" t="str">
        <f>IF(AND($H$12&gt;=8, $H$12&lt;&gt;"Please Select"),"Has the on-site liaison completed orientation?","")</f>
        <v/>
      </c>
      <c r="CS34" s="205"/>
      <c r="DB34" s="33" t="str">
        <f>IF(AND($H$12&gt;=9, $H$12&lt;&gt;"Please Select"),"Has the on-site liaison completed orientation?","")</f>
        <v/>
      </c>
      <c r="DF34" s="205"/>
      <c r="DO34" s="33" t="str">
        <f>IF(AND($H$12&gt;=10, $H$12&lt;&gt;"Please Select"),"Has the on-site liaison completed orientation?","")</f>
        <v/>
      </c>
      <c r="DS34" s="205"/>
      <c r="EB34" s="33" t="str">
        <f>IF(AND($H$12&gt;=11, $H$12&lt;&gt;"Please Select"),"Has the on-site liaison completed orientation?","")</f>
        <v/>
      </c>
      <c r="EF34" s="205"/>
      <c r="EO34" s="33" t="str">
        <f>IF(AND($H$12&gt;=12, $H$12&lt;&gt;"Please Select"),"Has the on-site liaison completed orientation?","")</f>
        <v/>
      </c>
      <c r="ES34" s="205"/>
      <c r="FB34" s="33" t="str">
        <f>IF(AND($H$12&gt;=13, $H$12&lt;&gt;"Please Select"),"Has the on-site liaison completed orientation?","")</f>
        <v/>
      </c>
      <c r="FF34" s="205"/>
      <c r="FO34" s="33" t="str">
        <f>IF(AND($H$12&gt;=14, $H$12&lt;&gt;"Please Select"),"Has the on-site liaison completed orientation?","")</f>
        <v/>
      </c>
      <c r="FS34" s="205"/>
      <c r="GB34" s="33" t="str">
        <f>IF(AND($H$12&gt;=15, $H$12&lt;&gt;"Please Select"),"Has the on-site liaison completed orientation?","")</f>
        <v/>
      </c>
      <c r="GF34" s="205"/>
      <c r="GO34" s="33" t="str">
        <f>IF(AND($H$12&gt;=16, $H$12&lt;&gt;"Please Select"),"Has the on-site liaison completed orientation?","")</f>
        <v/>
      </c>
      <c r="GS34" s="205"/>
      <c r="HB34" s="33" t="str">
        <f>IF(AND($H$12&gt;=17, $H$12&lt;&gt;"Please Select"),"Has the on-site liaison completed orientation?","")</f>
        <v/>
      </c>
      <c r="HF34" s="205"/>
      <c r="HO34" s="33" t="str">
        <f>IF(AND($H$12&gt;=18, $H$12&lt;&gt;"Please Select"),"Has the on-site liaison completed orientation?","")</f>
        <v/>
      </c>
      <c r="HS34" s="205"/>
      <c r="IB34" s="33" t="str">
        <f>IF(AND($H$12&gt;=19, $H$12&lt;&gt;"Please Select"),"Has the on-site liaison completed orientation?","")</f>
        <v/>
      </c>
      <c r="IF34" s="205"/>
      <c r="IO34" s="33" t="str">
        <f>IF(AND($H$12&gt;=20, $H$12&lt;&gt;"Please Select"),"Has the on-site liaison completed orientation?","")</f>
        <v/>
      </c>
      <c r="IS34" s="205"/>
      <c r="JB34" s="33" t="str">
        <f>IF(AND($H$12&gt;=21, $H$12&lt;&gt;"Please Select"),"Has the on-site liaison completed orientation?","")</f>
        <v/>
      </c>
      <c r="JF34" s="205"/>
      <c r="JO34" s="33" t="str">
        <f>IF(AND($H$12&gt;=22, $H$12&lt;&gt;"Please Select"),"Has the on-site liaison completed orientation?","")</f>
        <v/>
      </c>
      <c r="JS34" s="205"/>
      <c r="KB34" s="33" t="str">
        <f>IF(AND($H$12&gt;=23, $H$12&lt;&gt;"Please Select"),"Has the on-site liaison completed orientation?","")</f>
        <v/>
      </c>
      <c r="KF34" s="205"/>
      <c r="KO34" s="33" t="str">
        <f>IF(AND($H$12&gt;=24, $H$12&lt;&gt;"Please Select"),"Has the on-site liaison completed orientation?","")</f>
        <v/>
      </c>
      <c r="KS34" s="205"/>
      <c r="LB34" s="33" t="str">
        <f>IF(AND($H$12&gt;=25, $H$12&lt;&gt;"Please Select"),"Has the on-site liaison completed orientation?","")</f>
        <v/>
      </c>
      <c r="LF34" s="205"/>
      <c r="LO34" s="33" t="str">
        <f>IF(AND($H$12&gt;=26, $H$12&lt;&gt;"Please Select"),"Has the on-site liaison completed orientation?","")</f>
        <v/>
      </c>
      <c r="LS34" s="205"/>
      <c r="MB34" s="33" t="str">
        <f>IF(AND($H$12&gt;=27, $H$12&lt;&gt;"Please Select"),"Has the on-site liaison completed orientation?","")</f>
        <v/>
      </c>
      <c r="MF34" s="205"/>
      <c r="MO34" s="33" t="str">
        <f>IF(AND($H$12&gt;=28, $H$12&lt;&gt;"Please Select"),"Has the on-site liaison completed orientation?","")</f>
        <v/>
      </c>
      <c r="MS34" s="205"/>
      <c r="NB34" s="33" t="str">
        <f>IF(AND($H$12&gt;=29, $H$12&lt;&gt;"Please Select"),"Has the on-site liaison completed orientation?","")</f>
        <v/>
      </c>
      <c r="NF34" s="205"/>
      <c r="NO34" s="33" t="str">
        <f>IF(AND($H$12&gt;=30, $H$12&lt;&gt;"Please Select"),"Has the on-site liaison completed preceptor orientation?","")</f>
        <v/>
      </c>
      <c r="NS34" s="205"/>
      <c r="OA34" s="63" t="s">
        <v>222</v>
      </c>
      <c r="OB34" s="115" t="str">
        <f>IF(ISNUMBER(MATCH(12,G30:NT30,0)), "Yes", "")</f>
        <v/>
      </c>
      <c r="OC34" s="63" t="s">
        <v>234</v>
      </c>
      <c r="OD34" s="115" t="str">
        <f>IF(ISNUMBER(MATCH(24,G30:NT30,0)), "Yes", "")</f>
        <v/>
      </c>
      <c r="OE34" s="63" t="s">
        <v>246</v>
      </c>
      <c r="OF34" s="115" t="str">
        <f>IF(ISNUMBER(MATCH(36,G30:NT30,0)), "Yes", "")</f>
        <v/>
      </c>
      <c r="OG34" s="63" t="s">
        <v>258</v>
      </c>
      <c r="OH34" s="115"/>
      <c r="OI34" s="63"/>
      <c r="OJ34" s="63"/>
    </row>
    <row r="35" spans="2:400" s="41" customFormat="1" ht="26.25" customHeight="1" x14ac:dyDescent="0.2">
      <c r="B35" s="33" t="str">
        <f>IF($F$34="Yes","Date on-site liaison completed orientation:",IF($F$34="Pending","Date on-site liaison orientation will be completed:",""))</f>
        <v/>
      </c>
      <c r="C35" s="33"/>
      <c r="D35" s="33"/>
      <c r="E35" s="33"/>
      <c r="F35" s="206"/>
      <c r="O35" s="33" t="str">
        <f>IF(S34="Yes","Date on-site liaison completed orientation:",IF(S34="Pending","Date on-site liaison orientation will be completed:",""))</f>
        <v/>
      </c>
      <c r="P35" s="33"/>
      <c r="Q35" s="33"/>
      <c r="R35" s="33"/>
      <c r="S35" s="206"/>
      <c r="AB35" s="33" t="str">
        <f>IF(AF34="Yes","Date on-site liaison completed orientation:",IF(AF34="Pending","Date on-site liaison orientation will be completed:",""))</f>
        <v/>
      </c>
      <c r="AC35" s="33"/>
      <c r="AD35" s="33"/>
      <c r="AE35" s="33"/>
      <c r="AF35" s="206"/>
      <c r="AO35" s="33" t="str">
        <f>IF(AS34="Yes","Date on-site liaison completed orientation:",IF(AS34="Pending","Date on-site liaison orientation will be completed:",""))</f>
        <v/>
      </c>
      <c r="AP35" s="33"/>
      <c r="AQ35" s="33"/>
      <c r="AR35" s="33"/>
      <c r="AS35" s="206"/>
      <c r="BB35" s="33" t="str">
        <f>IF(BF34="Yes","Date on-site liaison completed orientation:",IF(BF34="Pending","Date on-site liaison orientation will be completed:",""))</f>
        <v/>
      </c>
      <c r="BC35" s="33"/>
      <c r="BD35" s="33"/>
      <c r="BE35" s="33"/>
      <c r="BF35" s="206"/>
      <c r="BO35" s="33" t="str">
        <f>IF(BS34="Yes","Date on-site liaison completed orientation:",IF(BS34="Pending","Date on-site liaison orientation will be completed:",""))</f>
        <v/>
      </c>
      <c r="BP35" s="33"/>
      <c r="BQ35" s="33"/>
      <c r="BR35" s="33"/>
      <c r="BS35" s="206"/>
      <c r="CB35" s="33" t="str">
        <f>IF(CF34="Yes","Date on-site liaison completed orientation:",IF(CF34="Pending","Date on-site liaison orientation will be completed:",""))</f>
        <v/>
      </c>
      <c r="CC35" s="33"/>
      <c r="CD35" s="33"/>
      <c r="CE35" s="33"/>
      <c r="CF35" s="206"/>
      <c r="CO35" s="33" t="str">
        <f>IF(CS34="Yes","Date on-site liaison completed orientation:",IF(CS34="Pending","Date on-site liaison orientation will be completed:",""))</f>
        <v/>
      </c>
      <c r="CP35" s="33"/>
      <c r="CQ35" s="33"/>
      <c r="CR35" s="33"/>
      <c r="CS35" s="206"/>
      <c r="DB35" s="33" t="str">
        <f>IF(DF34="Yes","Date on-site liaison completed orientation:",IF(DF34="Pending","Date on-site liaison orientation will be completed:",""))</f>
        <v/>
      </c>
      <c r="DC35" s="33"/>
      <c r="DD35" s="33"/>
      <c r="DE35" s="33"/>
      <c r="DF35" s="206"/>
      <c r="DO35" s="33" t="str">
        <f>IF(DS34="Yes","Date on-site liaison completed orientation:",IF(DS34="Pending","Date on-site liaison orientation will be completed:",""))</f>
        <v/>
      </c>
      <c r="DP35" s="33"/>
      <c r="DQ35" s="33"/>
      <c r="DR35" s="33"/>
      <c r="DS35" s="206"/>
      <c r="EB35" s="33" t="str">
        <f>IF(EF34="Yes","Date on-site liaison completed orientation:",IF(EF34="Pending","Date on-site liaison orientation will be completed:",""))</f>
        <v/>
      </c>
      <c r="EC35" s="33"/>
      <c r="ED35" s="33"/>
      <c r="EE35" s="33"/>
      <c r="EF35" s="206"/>
      <c r="EO35" s="33" t="str">
        <f>IF(ES34="Yes","Date on-site liaison completed orientation:",IF(ES34="Pending","Date on-site liaison orientation will be completed:",""))</f>
        <v/>
      </c>
      <c r="EP35" s="33"/>
      <c r="EQ35" s="33"/>
      <c r="ER35" s="33"/>
      <c r="ES35" s="206"/>
      <c r="FB35" s="33" t="str">
        <f>IF(FF34="Yes","Date on-site liaison completed orientation:",IF(FF34="Pending","Date on-site liaison orientation will be completed:",""))</f>
        <v/>
      </c>
      <c r="FC35" s="33"/>
      <c r="FD35" s="33"/>
      <c r="FE35" s="33"/>
      <c r="FF35" s="206"/>
      <c r="FO35" s="33" t="str">
        <f>IF(FS34="Yes","Date on-site liaison completed orientation:",IF(FS34="Pending","Date on-site liaison orientation will be completed:",""))</f>
        <v/>
      </c>
      <c r="FP35" s="33"/>
      <c r="FQ35" s="33"/>
      <c r="FR35" s="33"/>
      <c r="FS35" s="206"/>
      <c r="GB35" s="33" t="str">
        <f>IF(GF$34="Yes","Date on-site liaison completed orientation:",IF(GF$34="Pending","Date on-site liaison orientation will be completed:",""))</f>
        <v/>
      </c>
      <c r="GC35" s="33"/>
      <c r="GD35" s="33"/>
      <c r="GE35" s="33"/>
      <c r="GF35" s="206"/>
      <c r="GO35" s="33" t="str">
        <f>IF(GS$34="Yes","Date on-site liaison completed orientation:",IF(GS$34="Pending","Date on-site liaison orientation will be completed:",""))</f>
        <v/>
      </c>
      <c r="GP35" s="33"/>
      <c r="GQ35" s="33"/>
      <c r="GR35" s="33"/>
      <c r="GS35" s="206"/>
      <c r="HB35" s="33" t="str">
        <f>IF(HF34="Yes","Date on-site liaison completed orientation:",IF(HF34="Pending","Date on-site liaison orientation will be completed:",""))</f>
        <v/>
      </c>
      <c r="HC35" s="33"/>
      <c r="HD35" s="33"/>
      <c r="HE35" s="33"/>
      <c r="HF35" s="206"/>
      <c r="HO35" s="33" t="str">
        <f>IF(HS34="Yes","Date on-site liaison completed orientation:",IF(HS34="Pending","Date on-site liaison orientation will be completed:",""))</f>
        <v/>
      </c>
      <c r="HP35" s="33"/>
      <c r="HQ35" s="33"/>
      <c r="HR35" s="33"/>
      <c r="HS35" s="206"/>
      <c r="IB35" s="33" t="str">
        <f>IF(IF34="Yes","Date on-site liaison completed orientation:",IF(IF34="Pending","Date on-site liaison orientation will be completed:",""))</f>
        <v/>
      </c>
      <c r="IC35" s="33"/>
      <c r="ID35" s="33"/>
      <c r="IE35" s="33"/>
      <c r="IF35" s="206"/>
      <c r="IO35" s="33" t="str">
        <f>IF(IS34="Yes","Date on-site liaison completed orientation:",IF(IS34="Pending","Date on-site liaison orientation will be completed:",""))</f>
        <v/>
      </c>
      <c r="IP35" s="33"/>
      <c r="IQ35" s="33"/>
      <c r="IR35" s="33"/>
      <c r="IS35" s="206"/>
      <c r="JB35" s="33" t="str">
        <f>IF(JF34="Yes","Date on-site liaison completed orientation:",IF(JF34="Pending","Date on-site liaison orientation will be completed:",""))</f>
        <v/>
      </c>
      <c r="JC35" s="33"/>
      <c r="JD35" s="33"/>
      <c r="JE35" s="33"/>
      <c r="JF35" s="206"/>
      <c r="JO35" s="33" t="str">
        <f>IF(JS34="Yes","Date on-site liaison completed orientation:",IF(JS34="Pending","Date on-site liaison orientation will be completed:",""))</f>
        <v/>
      </c>
      <c r="JP35" s="33"/>
      <c r="JQ35" s="33"/>
      <c r="JR35" s="33"/>
      <c r="JS35" s="206"/>
      <c r="KB35" s="33" t="str">
        <f>IF(KF34="Yes","Date on-site liaison completed orientation:",IF(KF34="Pending","Date on-site liaison orientation will be completed:",""))</f>
        <v/>
      </c>
      <c r="KC35" s="33"/>
      <c r="KD35" s="33"/>
      <c r="KE35" s="33"/>
      <c r="KF35" s="206"/>
      <c r="KO35" s="33" t="str">
        <f>IF(KS34="Yes","Date on-site liaison completed orientation:",IF(KS34="Pending","Date on-site liaison orientation will be completed:",""))</f>
        <v/>
      </c>
      <c r="KP35" s="33"/>
      <c r="KQ35" s="33"/>
      <c r="KR35" s="33"/>
      <c r="KS35" s="206"/>
      <c r="LB35" s="33" t="str">
        <f>IF(LF34="Yes","Date on-site liaison completed orientation:",IF(LF34="Pending","Date on-site liaison orientation will be completed:",""))</f>
        <v/>
      </c>
      <c r="LC35" s="33"/>
      <c r="LD35" s="33"/>
      <c r="LE35" s="33"/>
      <c r="LF35" s="206"/>
      <c r="LO35" s="33" t="str">
        <f>IF(LS34="Yes","Date on-site liaison completed orientation:",IF(LS34="Pending","Date on-site liaison orientation will be completed:",""))</f>
        <v/>
      </c>
      <c r="LP35" s="33"/>
      <c r="LQ35" s="33"/>
      <c r="LR35" s="33"/>
      <c r="LS35" s="206"/>
      <c r="MB35" s="33" t="str">
        <f>IF(MF34="Yes","Date on-site liaison completed orientation:",IF(MF34="Pending","Date on-site liaison orientation will be completed:",""))</f>
        <v/>
      </c>
      <c r="MC35" s="33"/>
      <c r="MD35" s="33"/>
      <c r="ME35" s="33"/>
      <c r="MF35" s="206"/>
      <c r="MO35" s="33" t="str">
        <f>IF(MS34="Yes","Date on-site liaison completed orientation:",IF(MS34="Pending","Date on-site liaison orientation will be completed:",""))</f>
        <v/>
      </c>
      <c r="MP35" s="33"/>
      <c r="MQ35" s="33"/>
      <c r="MR35" s="33"/>
      <c r="MS35" s="206"/>
      <c r="NB35" s="33" t="str">
        <f>IF(NF34="Yes","Date on-site liaison completed orientation:",IF(NF34="Pending","Date on-site liaison orientation will be completed:",""))</f>
        <v/>
      </c>
      <c r="NC35" s="33"/>
      <c r="ND35" s="33"/>
      <c r="NE35" s="33"/>
      <c r="NF35" s="206"/>
      <c r="NO35" s="33" t="str">
        <f>IF(NS34="Yes","Date on-site liaison completed orientation:",IF(NS34="Pending","Date on-site liaison orientation will be completed:",""))</f>
        <v/>
      </c>
      <c r="NP35" s="33"/>
      <c r="NQ35" s="33"/>
      <c r="NR35" s="33"/>
      <c r="NS35" s="206"/>
      <c r="OA35" s="63"/>
      <c r="OB35" s="63"/>
      <c r="OC35" s="63"/>
      <c r="OD35" s="63"/>
      <c r="OE35" s="63"/>
      <c r="OF35" s="63"/>
      <c r="OG35" s="63"/>
      <c r="OH35" s="63"/>
      <c r="OI35" s="63"/>
      <c r="OJ35" s="63"/>
    </row>
    <row r="36" spans="2:400" s="41" customFormat="1" ht="14.25" x14ac:dyDescent="0.2">
      <c r="B36" s="1"/>
      <c r="O36" s="1"/>
      <c r="AB36" s="1"/>
      <c r="AO36" s="1"/>
      <c r="BB36" s="1"/>
      <c r="BO36" s="1"/>
      <c r="CB36" s="1"/>
      <c r="CO36" s="1"/>
      <c r="DB36" s="1"/>
      <c r="DO36" s="1"/>
      <c r="EB36" s="1"/>
      <c r="EO36" s="1"/>
      <c r="FB36" s="1"/>
      <c r="FO36" s="1"/>
      <c r="GB36" s="1"/>
      <c r="GO36" s="1"/>
      <c r="HB36" s="1"/>
      <c r="HO36" s="1"/>
      <c r="IB36" s="1"/>
      <c r="IO36" s="1"/>
      <c r="JB36" s="1"/>
      <c r="JO36" s="1"/>
      <c r="KB36" s="1"/>
      <c r="KO36" s="1"/>
      <c r="LB36" s="1"/>
      <c r="LO36" s="1"/>
      <c r="MB36" s="1"/>
      <c r="MO36" s="1"/>
      <c r="NB36" s="1"/>
      <c r="NO36" s="1"/>
    </row>
    <row r="37" spans="2:400" s="41" customFormat="1" ht="14.25" x14ac:dyDescent="0.2">
      <c r="B37" s="1"/>
      <c r="O37" s="1"/>
      <c r="AB37" s="1"/>
      <c r="AO37" s="1"/>
      <c r="BB37" s="1"/>
      <c r="BO37" s="1"/>
      <c r="CB37" s="1"/>
      <c r="CO37" s="1"/>
      <c r="DB37" s="1"/>
      <c r="DO37" s="1"/>
      <c r="EB37" s="1"/>
      <c r="EO37" s="1"/>
      <c r="FB37" s="1"/>
      <c r="FO37" s="1"/>
      <c r="GB37" s="1"/>
      <c r="GO37" s="1"/>
      <c r="HB37" s="1"/>
      <c r="HO37" s="1"/>
      <c r="IB37" s="1"/>
      <c r="IO37" s="1"/>
      <c r="JB37" s="1"/>
      <c r="JO37" s="1"/>
      <c r="KB37" s="1"/>
      <c r="KO37" s="1"/>
      <c r="LB37" s="1"/>
      <c r="LO37" s="1"/>
      <c r="MB37" s="1"/>
      <c r="MO37" s="1"/>
      <c r="NB37" s="1"/>
      <c r="NO37" s="1"/>
    </row>
    <row r="38" spans="2:400" s="41" customFormat="1" ht="14.25" x14ac:dyDescent="0.2">
      <c r="B38" s="207"/>
      <c r="G38" s="208" t="str">
        <f>IF(AND($H$12&gt;=1, $H$12&lt;&gt;"Please Select"),"&lt;=== Hover for explanations","")</f>
        <v/>
      </c>
      <c r="O38" s="207"/>
      <c r="T38" s="208" t="str">
        <f>IF(AND($H$12&gt;=2, $H$12&lt;&gt;"Please Select"),"&lt;=== Hover for explanations","")</f>
        <v/>
      </c>
      <c r="AB38" s="207"/>
      <c r="AG38" s="208" t="str">
        <f>IF(AND($H$12&gt;=3, $H$12&lt;&gt;"Please Select"),"&lt;=== Hover for explanations","")</f>
        <v/>
      </c>
      <c r="AO38" s="207"/>
      <c r="AT38" s="208" t="str">
        <f>IF(AND($H$12&gt;=4, $H$12&lt;&gt;"Please Select"),"&lt;=== Hover for explanations","")</f>
        <v/>
      </c>
      <c r="BB38" s="207"/>
      <c r="BG38" s="208" t="str">
        <f>IF(AND($H$12&gt;=5, $H$12&lt;&gt;"Please Select"),"&lt;=== Hover for explanations","")</f>
        <v/>
      </c>
      <c r="BO38" s="207"/>
      <c r="BT38" s="208" t="str">
        <f>IF(AND($H$12&gt;=6, $H$12&lt;&gt;"Please Select"),"&lt;=== Hover for explanations","")</f>
        <v/>
      </c>
      <c r="CB38" s="207"/>
      <c r="CG38" s="208" t="str">
        <f>IF(AND($H$12&gt;=7, $H$12&lt;&gt;"Please Select"),"&lt;=== Hover for explanations","")</f>
        <v/>
      </c>
      <c r="CO38" s="207"/>
      <c r="CT38" s="208" t="str">
        <f>IF(AND($H$12&gt;=8, $H$12&lt;&gt;"Please Select"),"&lt;=== Hover for explanations","")</f>
        <v/>
      </c>
      <c r="DB38" s="207"/>
      <c r="DG38" s="208" t="str">
        <f>IF(AND($H$12&gt;=9, $H$12&lt;&gt;"Please Select"),"&lt;=== Hover for explanations","")</f>
        <v/>
      </c>
      <c r="DO38" s="207"/>
      <c r="DT38" s="208" t="str">
        <f>IF(AND($H$12&gt;=10, $H$12&lt;&gt;"Please Select"),"&lt;=== Hover for explanations","")</f>
        <v/>
      </c>
      <c r="EB38" s="207"/>
      <c r="EG38" s="208" t="str">
        <f>IF(AND($H$12&gt;=11, $H$12&lt;&gt;"Please Select"),"&lt;=== Hover for explanations","")</f>
        <v/>
      </c>
      <c r="EO38" s="207"/>
      <c r="ET38" s="208" t="str">
        <f>IF(AND($H$12&gt;=12, $H$12&lt;&gt;"Please Select"),"&lt;=== Hover for explanations","")</f>
        <v/>
      </c>
      <c r="FB38" s="207"/>
      <c r="FG38" s="208" t="str">
        <f>IF(AND($H$12&gt;=13, $H$12&lt;&gt;"Please Select"),"&lt;=== Hover for explanations","")</f>
        <v/>
      </c>
      <c r="FO38" s="207"/>
      <c r="FT38" s="208" t="str">
        <f>IF(AND($H$12&gt;=14, $H$12&lt;&gt;"Please Select"),"&lt;=== Hover for explanations","")</f>
        <v/>
      </c>
      <c r="GB38" s="207"/>
      <c r="GG38" s="208" t="str">
        <f>IF(AND($H$12&gt;=15, $H$12&lt;&gt;"Please Select"),"&lt;=== Hover for explanations","")</f>
        <v/>
      </c>
      <c r="GO38" s="207"/>
      <c r="GT38" s="208" t="str">
        <f>IF(AND($H$12&gt;=16, $H$12&lt;&gt;"Please Select"),"&lt;=== Hover for explanations","")</f>
        <v/>
      </c>
      <c r="HB38" s="207"/>
      <c r="HG38" s="208" t="str">
        <f>IF(AND($H$12&gt;=17, $H$12&lt;&gt;"Please Select"),"&lt;=== Hover for explanations","")</f>
        <v/>
      </c>
      <c r="HO38" s="207"/>
      <c r="HT38" s="208" t="str">
        <f>IF(AND($H$12&gt;=18, $H$12&lt;&gt;"Please Select"),"&lt;=== Hover for explanations","")</f>
        <v/>
      </c>
      <c r="IB38" s="207"/>
      <c r="IG38" s="208" t="str">
        <f>IF(AND($H$12&gt;=19, $H$12&lt;&gt;"Please Select"),"&lt;=== Hover for explanations","")</f>
        <v/>
      </c>
      <c r="IO38" s="207"/>
      <c r="IT38" s="208" t="str">
        <f>IF(AND($H$12&gt;=20, $H$12&lt;&gt;"Please Select"),"&lt;=== Hover for explanations","")</f>
        <v/>
      </c>
      <c r="JB38" s="207"/>
      <c r="JG38" s="208" t="str">
        <f>IF(AND($H$12&gt;=21, $H$12&lt;&gt;"Please Select"),"&lt;=== Hover for explanations","")</f>
        <v/>
      </c>
      <c r="JO38" s="207"/>
      <c r="JT38" s="208" t="str">
        <f>IF(AND($H$12&gt;=22, $H$12&lt;&gt;"Please Select"),"&lt;=== Hover for explanations","")</f>
        <v/>
      </c>
      <c r="KB38" s="207"/>
      <c r="KG38" s="208" t="str">
        <f>IF(AND($H$12&gt;=23, $H$12&lt;&gt;"Please Select"),"&lt;=== Hover for explanations","")</f>
        <v/>
      </c>
      <c r="KO38" s="207"/>
      <c r="KT38" s="208" t="str">
        <f>IF(AND($H$12&gt;=24, $H$12&lt;&gt;"Please Select"),"&lt;=== Hover for explanations","")</f>
        <v/>
      </c>
      <c r="LB38" s="207"/>
      <c r="LG38" s="208" t="str">
        <f>IF(AND($H$12&gt;=25, $H$12&lt;&gt;"Please Select"),"&lt;=== Hover for explanations","")</f>
        <v/>
      </c>
      <c r="LO38" s="207"/>
      <c r="LT38" s="208" t="str">
        <f>IF(AND($H$12&gt;=26, $H$12&lt;&gt;"Please Select"),"&lt;=== Hover for explanations","")</f>
        <v/>
      </c>
      <c r="MB38" s="207"/>
      <c r="MG38" s="208" t="str">
        <f>IF(AND($H$12&gt;=27, $H$12&lt;&gt;"Please Select"),"&lt;=== Hover for explanations","")</f>
        <v/>
      </c>
      <c r="MO38" s="207"/>
      <c r="MT38" s="208" t="str">
        <f>IF(AND($H$12&gt;=28, $H$12&lt;&gt;"Please Select"),"&lt;=== Hover for explanations","")</f>
        <v/>
      </c>
      <c r="NB38" s="207"/>
      <c r="NG38" s="208" t="str">
        <f>IF(AND($H$12&gt;=29, $H$12&lt;&gt;"Please Select"),"&lt;=== Hover for explanations","")</f>
        <v/>
      </c>
      <c r="NO38" s="207"/>
      <c r="NT38" s="208" t="str">
        <f>IF(AND($H$12&gt;=30, $H$12&lt;&gt;"Please Select"),"&lt;=== Hover for explanations","")</f>
        <v/>
      </c>
    </row>
    <row r="39" spans="2:400" s="41" customFormat="1" ht="44.45" customHeight="1" x14ac:dyDescent="0.2">
      <c r="B39" s="552" t="str">
        <f>IF(AND($H$12&gt;=1, $H$12&lt;&gt;"Please Select"),"Rotation","")</f>
        <v/>
      </c>
      <c r="C39" s="552" t="str">
        <f>IF(AND($H$12&gt;=1, $H$12&lt;&gt;"Please Select"),"Average # of Patient Visits per year","")</f>
        <v/>
      </c>
      <c r="D39" s="552" t="str">
        <f>IF(AND($H$12&gt;=1, $H$12&lt;&gt;"Please Select"),"Average Hours for EACH Student","")</f>
        <v/>
      </c>
      <c r="E39" s="552"/>
      <c r="F39" s="552" t="str">
        <f>IF(AND($H$12&gt;=1, $H$12&lt;&gt;"Please Select"),"# " &amp;'Program Info'!B3&amp;" students typically assigned simultaneously","")</f>
        <v/>
      </c>
      <c r="O39" s="552" t="str">
        <f>IF(AND($H$12&gt;=2, $H$12&lt;&gt;"Please Select"),"Rotation","")</f>
        <v/>
      </c>
      <c r="P39" s="552" t="str">
        <f>IF(AND($H$12&gt;=2, $H$12&lt;&gt;"Please Select"),"Average # of Patient Visits per year","")</f>
        <v/>
      </c>
      <c r="Q39" s="552" t="str">
        <f>IF(AND($H$12&gt;=2, $H$12&lt;&gt;"Please Select"),"Average Hours for EACH Student","")</f>
        <v/>
      </c>
      <c r="R39" s="552"/>
      <c r="S39" s="552" t="str">
        <f>IF(AND($H$12&gt;=2, $H$12&lt;&gt;"Please Select"),"# " &amp;'Program Info'!B3&amp;" students typically assigned simultaneously","")</f>
        <v/>
      </c>
      <c r="AB39" s="552" t="str">
        <f>IF(AND($H$12&gt;=3, $H$12&lt;&gt;"Please Select"),"Rotation","")</f>
        <v/>
      </c>
      <c r="AC39" s="552" t="str">
        <f>IF(AND($H$12&gt;=3, $H$12&lt;&gt;"Please Select"),"Average # of Patient Visits per year","")</f>
        <v/>
      </c>
      <c r="AD39" s="552" t="str">
        <f>IF(AND($H$12&gt;=3, $H$12&lt;&gt;"Please Select"),"Average Hours for EACH Student","")</f>
        <v/>
      </c>
      <c r="AE39" s="552"/>
      <c r="AF39" s="552" t="str">
        <f>IF(AND($H$12&gt;=3, $H$12&lt;&gt;"Please Select"),"# " &amp;'Program Info'!B3&amp;" students typically assigned simultaneously","")</f>
        <v/>
      </c>
      <c r="AO39" s="552" t="str">
        <f>IF(AND($H$12&gt;=4, $H$12&lt;&gt;"Please Select"),"Rotation","")</f>
        <v/>
      </c>
      <c r="AP39" s="552" t="str">
        <f>IF(AND($H$12&gt;=4, $H$12&lt;&gt;"Please Select"),"Average # of Patient Visits per year","")</f>
        <v/>
      </c>
      <c r="AQ39" s="552" t="str">
        <f>IF(AND($H$12&gt;=4, $H$12&lt;&gt;"Please Select"),"Average Hours for EACH Student","")</f>
        <v/>
      </c>
      <c r="AR39" s="552"/>
      <c r="AS39" s="552" t="str">
        <f>IF(AND($H$12&gt;=4, $H$12&lt;&gt;"Please Select"),"# " &amp;'Program Info'!B3&amp;" students typically assigned simultaneously","")</f>
        <v/>
      </c>
      <c r="BB39" s="552" t="str">
        <f>IF(AND($H$12&gt;=5, $H$12&lt;&gt;"Please Select"),"Rotation","")</f>
        <v/>
      </c>
      <c r="BC39" s="552" t="str">
        <f>IF(AND($H$12&gt;=5, $H$12&lt;&gt;"Please Select"),"Average # of Patient Visits per year","")</f>
        <v/>
      </c>
      <c r="BD39" s="552" t="str">
        <f>IF(AND($H$12&gt;=5, $H$12&lt;&gt;"Please Select"),"Average Hours for EACH Student","")</f>
        <v/>
      </c>
      <c r="BE39" s="552"/>
      <c r="BF39" s="552" t="str">
        <f>IF(AND($H$12&gt;=5, $H$12&lt;&gt;"Please Select"),"# " &amp;'Program Info'!B3&amp;" students typically assigned simultaneously","")</f>
        <v/>
      </c>
      <c r="BO39" s="552" t="str">
        <f>IF(AND($H$12&gt;=6, $H$12&lt;&gt;"Please Select"),"Rotation","")</f>
        <v/>
      </c>
      <c r="BP39" s="552" t="str">
        <f>IF(AND($H$12&gt;=6, $H$12&lt;&gt;"Please Select"),"Average # of Patient Visits per year","")</f>
        <v/>
      </c>
      <c r="BQ39" s="552" t="str">
        <f>IF(AND($H$12&gt;=6, $H$12&lt;&gt;"Please Select"),"Average Hours for EACH Student","")</f>
        <v/>
      </c>
      <c r="BR39" s="552"/>
      <c r="BS39" s="552" t="str">
        <f>IF(AND($H$12&gt;=6, $H$12&lt;&gt;"Please Select"),"# " &amp;'Program Info'!B3&amp;" students typically assigned simultaneously","")</f>
        <v/>
      </c>
      <c r="CB39" s="552" t="str">
        <f>IF(AND($H$12&gt;=7, $H$12&lt;&gt;"Please Select"),"Rotation","")</f>
        <v/>
      </c>
      <c r="CC39" s="552" t="str">
        <f>IF(AND($H$12&gt;=7, $H$12&lt;&gt;"Please Select"),"Average # of Patient Visits per year","")</f>
        <v/>
      </c>
      <c r="CD39" s="552" t="str">
        <f>IF(AND($H$12&gt;=7, $H$12&lt;&gt;"Please Select"),"Average Hours for EACH Student","")</f>
        <v/>
      </c>
      <c r="CE39" s="552"/>
      <c r="CF39" s="552" t="str">
        <f>IF(AND($H$12&gt;=7, $H$12&lt;&gt;"Please Select"),"# " &amp;'Program Info'!B3&amp;" students typically assigned simultaneously","")</f>
        <v/>
      </c>
      <c r="CO39" s="552" t="str">
        <f>IF(AND($H$12&gt;=8, $H$12&lt;&gt;"Please Select"),"Rotation","")</f>
        <v/>
      </c>
      <c r="CP39" s="552" t="str">
        <f>IF(AND($H$12&gt;=8, $H$12&lt;&gt;"Please Select"),"Average # of Patient Visits per year","")</f>
        <v/>
      </c>
      <c r="CQ39" s="552" t="str">
        <f>IF(AND($H$12&gt;=8, $H$12&lt;&gt;"Please Select"),"Average Hours for EACH Student","")</f>
        <v/>
      </c>
      <c r="CR39" s="552"/>
      <c r="CS39" s="552" t="str">
        <f>IF(AND($H$12&gt;=8, $H$12&lt;&gt;"Please Select"),"# " &amp;'Program Info'!B3&amp;" students typically assigned simultaneously","")</f>
        <v/>
      </c>
      <c r="DB39" s="552" t="str">
        <f>IF(AND($H$12&gt;=9, $H$12&lt;&gt;"Please Select"),"Rotation","")</f>
        <v/>
      </c>
      <c r="DC39" s="552" t="str">
        <f>IF(AND($H$12&gt;=9, $H$12&lt;&gt;"Please Select"),"Average # of Patient Visits per year","")</f>
        <v/>
      </c>
      <c r="DD39" s="552" t="str">
        <f>IF(AND($H$12&gt;=9, $H$12&lt;&gt;"Please Select"),"Average Hours for EACH Student","")</f>
        <v/>
      </c>
      <c r="DE39" s="552"/>
      <c r="DF39" s="552" t="str">
        <f>IF(AND($H$12&gt;=9, $H$12&lt;&gt;"Please Select"),"# " &amp;'Program Info'!B3&amp;" students typically assigned simultaneously","")</f>
        <v/>
      </c>
      <c r="DO39" s="552" t="str">
        <f>IF(AND($H$12&gt;=10, $H$12&lt;&gt;"Please Select"),"Rotation","")</f>
        <v/>
      </c>
      <c r="DP39" s="552" t="str">
        <f>IF(AND($H$12&gt;=10, $H$12&lt;&gt;"Please Select"),"Average # of Patient Visits per year","")</f>
        <v/>
      </c>
      <c r="DQ39" s="552" t="str">
        <f>IF(AND($H$12&gt;=10, $H$12&lt;&gt;"Please Select"),"Average Hours for EACH Student","")</f>
        <v/>
      </c>
      <c r="DR39" s="552"/>
      <c r="DS39" s="552" t="str">
        <f>IF(AND($H$12&gt;=10, $H$12&lt;&gt;"Please Select"),"# " &amp;'Program Info'!B3&amp;" students typically assigned simultaneously","")</f>
        <v/>
      </c>
      <c r="EB39" s="552" t="str">
        <f>IF(AND($H$12&gt;=11, $H$12&lt;&gt;"Please Select"),"Rotation","")</f>
        <v/>
      </c>
      <c r="EC39" s="552" t="str">
        <f>IF(AND($H$12&gt;=11, $H$12&lt;&gt;"Please Select"),"Average # of Patient Visits per year","")</f>
        <v/>
      </c>
      <c r="ED39" s="552" t="str">
        <f>IF(AND($H$12&gt;=11, $H$12&lt;&gt;"Please Select"),"Average Hours for EACH Student","")</f>
        <v/>
      </c>
      <c r="EE39" s="552"/>
      <c r="EF39" s="552" t="str">
        <f>IF(AND($H$12&gt;=11, $H$12&lt;&gt;"Please Select"),"# " &amp;'Program Info'!B3&amp;" students typically assigned simultaneously","")</f>
        <v/>
      </c>
      <c r="EO39" s="552" t="str">
        <f>IF(AND($H$12&gt;=12, $H$12&lt;&gt;"Please Select"),"Rotation","")</f>
        <v/>
      </c>
      <c r="EP39" s="552" t="str">
        <f>IF(AND($H$12&gt;=12, $H$12&lt;&gt;"Please Select"),"Average # of Patient Visits per year","")</f>
        <v/>
      </c>
      <c r="EQ39" s="552" t="str">
        <f>IF(AND($H$12&gt;=12, $H$12&lt;&gt;"Please Select"),"Average Hours for EACH Student","")</f>
        <v/>
      </c>
      <c r="ER39" s="552"/>
      <c r="ES39" s="552" t="str">
        <f>IF(AND($H$12&gt;=12, $H$12&lt;&gt;"Please Select"),"# " &amp;'Program Info'!B3&amp;" students typically assigned simultaneously","")</f>
        <v/>
      </c>
      <c r="FB39" s="552" t="str">
        <f>IF(AND($H$12&gt;=13, $H$12&lt;&gt;"Please Select"),"Rotation","")</f>
        <v/>
      </c>
      <c r="FC39" s="552" t="str">
        <f>IF(AND($H$12&gt;=13, $H$12&lt;&gt;"Please Select"),"Average # of Patient Visits per year","")</f>
        <v/>
      </c>
      <c r="FD39" s="552" t="str">
        <f>IF(AND($H$12&gt;=13, $H$12&lt;&gt;"Please Select"),"Average Hours for EACH Student","")</f>
        <v/>
      </c>
      <c r="FE39" s="552"/>
      <c r="FF39" s="552" t="str">
        <f>IF(AND($H$12&gt;=13, $H$12&lt;&gt;"Please Select"),"# " &amp;'Program Info'!B3&amp;" students typically assigned simultaneously","")</f>
        <v/>
      </c>
      <c r="FO39" s="552" t="str">
        <f>IF(AND($H$12&gt;=14, $H$12&lt;&gt;"Please Select"),"Rotation","")</f>
        <v/>
      </c>
      <c r="FP39" s="552" t="str">
        <f>IF(AND($H$12&gt;=14, $H$12&lt;&gt;"Please Select"),"Average # of Patient Visits per year","")</f>
        <v/>
      </c>
      <c r="FQ39" s="552" t="str">
        <f>IF(AND($H$12&gt;=14, $H$12&lt;&gt;"Please Select"),"Average Hours for EACH Student","")</f>
        <v/>
      </c>
      <c r="FR39" s="552"/>
      <c r="FS39" s="552" t="str">
        <f>IF(AND($H$12&gt;=14, $H$12&lt;&gt;"Please Select"),"# " &amp;'Program Info'!B3&amp;" students typically assigned simultaneously","")</f>
        <v/>
      </c>
      <c r="GB39" s="552" t="str">
        <f>IF(AND($H$12&gt;=15, $H$12&lt;&gt;"Please Select"),"Rotation","")</f>
        <v/>
      </c>
      <c r="GC39" s="552" t="str">
        <f>IF(AND($H$12&gt;=15, $H$12&lt;&gt;"Please Select"),"Average # of Patient Visits per year","")</f>
        <v/>
      </c>
      <c r="GD39" s="552" t="str">
        <f>IF(AND($H$12&gt;=15, $H$12&lt;&gt;"Please Select"),"Average Hours for EACH Student","")</f>
        <v/>
      </c>
      <c r="GE39" s="552"/>
      <c r="GF39" s="552" t="str">
        <f>IF(AND($H$12&gt;=15, $H$12&lt;&gt;"Please Select"),"# " &amp;'Program Info'!B3&amp;" students typically assigned simultaneously","")</f>
        <v/>
      </c>
      <c r="GO39" s="552" t="str">
        <f>IF(AND($H$12&gt;=16, $H$12&lt;&gt;"Please Select"),"Rotation","")</f>
        <v/>
      </c>
      <c r="GP39" s="552" t="str">
        <f>IF(AND($H$12&gt;=16, $H$12&lt;&gt;"Please Select"),"Average # of Patient Visits per year","")</f>
        <v/>
      </c>
      <c r="GQ39" s="552" t="str">
        <f>IF(AND($H$12&gt;=16, $H$12&lt;&gt;"Please Select"),"Average Hours for EACH Student","")</f>
        <v/>
      </c>
      <c r="GR39" s="552"/>
      <c r="GS39" s="552" t="str">
        <f>IF(AND($H$12&gt;=16, $H$12&lt;&gt;"Please Select"),"# " &amp;'Program Info'!B3&amp;" students typically assigned simultaneously","")</f>
        <v/>
      </c>
      <c r="HB39" s="552" t="str">
        <f>IF(AND($H$12&gt;=17, $H$12&lt;&gt;"Please Select"),"Rotation","")</f>
        <v/>
      </c>
      <c r="HC39" s="552" t="str">
        <f>IF(AND($H$12&gt;=17, $H$12&lt;&gt;"Please Select"),"Average # of Patient Visits per year","")</f>
        <v/>
      </c>
      <c r="HD39" s="552" t="str">
        <f>IF(AND($H$12&gt;=17, $H$12&lt;&gt;"Please Select"),"Average Hours for EACH Student","")</f>
        <v/>
      </c>
      <c r="HE39" s="552"/>
      <c r="HF39" s="552" t="str">
        <f>IF(AND($H$12&gt;=17, $H$12&lt;&gt;"Please Select"),"# " &amp;'Program Info'!B3&amp;" students typically assigned simultaneously","")</f>
        <v/>
      </c>
      <c r="HO39" s="552" t="str">
        <f>IF(AND($H$12&gt;=18, $H$12&lt;&gt;"Please Select"),"Rotation","")</f>
        <v/>
      </c>
      <c r="HP39" s="552" t="str">
        <f>IF(AND($H$12&gt;=18, $H$12&lt;&gt;"Please Select"),"Average # of Patient Visits per year","")</f>
        <v/>
      </c>
      <c r="HQ39" s="552" t="str">
        <f>IF(AND($H$12&gt;=18, $H$12&lt;&gt;"Please Select"),"Average Hours for EACH Student","")</f>
        <v/>
      </c>
      <c r="HR39" s="552"/>
      <c r="HS39" s="552" t="str">
        <f>IF(AND($H$12&gt;=18, $H$12&lt;&gt;"Please Select"),"# " &amp;'Program Info'!B3&amp;" students typically assigned simultaneously","")</f>
        <v/>
      </c>
      <c r="IB39" s="552" t="str">
        <f>IF(AND($H$12&gt;=19, $H$12&lt;&gt;"Please Select"),"Rotation","")</f>
        <v/>
      </c>
      <c r="IC39" s="552" t="str">
        <f>IF(AND($H$12&gt;=19, $H$12&lt;&gt;"Please Select"),"Average # of Patient Visits per year","")</f>
        <v/>
      </c>
      <c r="ID39" s="552" t="str">
        <f>IF(AND($H$12&gt;=19, $H$12&lt;&gt;"Please Select"),"Average Hours for EACH Student","")</f>
        <v/>
      </c>
      <c r="IE39" s="552"/>
      <c r="IF39" s="552" t="str">
        <f>IF(AND($H$12&gt;=19, $H$12&lt;&gt;"Please Select"),"# " &amp;'Program Info'!B3&amp;" students typically assigned simultaneously","")</f>
        <v/>
      </c>
      <c r="IO39" s="552" t="str">
        <f>IF(AND($H$12&gt;=20, $H$12&lt;&gt;"Please Select"),"Rotation","")</f>
        <v/>
      </c>
      <c r="IP39" s="552" t="str">
        <f>IF(AND($H$12&gt;=20, $H$12&lt;&gt;"Please Select"),"Average # of Patient Visits per year","")</f>
        <v/>
      </c>
      <c r="IQ39" s="552" t="str">
        <f>IF(AND($H$12&gt;=20, $H$12&lt;&gt;"Please Select"),"Average Hours for EACH Student","")</f>
        <v/>
      </c>
      <c r="IR39" s="552"/>
      <c r="IS39" s="552" t="str">
        <f>IF(AND($H$12&gt;=20, $H$12&lt;&gt;"Please Select"),"# " &amp;'Program Info'!B3&amp;" students typically assigned simultaneously","")</f>
        <v/>
      </c>
      <c r="JB39" s="552" t="str">
        <f>IF(AND($H$12&gt;=21, $H$12&lt;&gt;"Please Select"),"Rotation","")</f>
        <v/>
      </c>
      <c r="JC39" s="552" t="str">
        <f>IF(AND($H$12&gt;=21, $H$12&lt;&gt;"Please Select"),"Average # of Patient Visits per year","")</f>
        <v/>
      </c>
      <c r="JD39" s="552" t="str">
        <f>IF(AND($H$12&gt;=21, $H$12&lt;&gt;"Please Select"),"Average Hours for EACH Student","")</f>
        <v/>
      </c>
      <c r="JE39" s="552"/>
      <c r="JF39" s="552" t="str">
        <f>IF(AND($H$12&gt;=21, $H$12&lt;&gt;"Please Select"),"# " &amp;'Program Info'!B3&amp;" students typically assigned simultaneously","")</f>
        <v/>
      </c>
      <c r="JO39" s="552" t="str">
        <f>IF(AND($H$12&gt;=22, $H$12&lt;&gt;"Please Select"),"Rotation","")</f>
        <v/>
      </c>
      <c r="JP39" s="552" t="str">
        <f>IF(AND($H$12&gt;=22, $H$12&lt;&gt;"Please Select"),"Average # of Patient Visits per year","")</f>
        <v/>
      </c>
      <c r="JQ39" s="552" t="str">
        <f>IF(AND($H$12&gt;=22, $H$12&lt;&gt;"Please Select"),"Average Hours for EACH Student","")</f>
        <v/>
      </c>
      <c r="JR39" s="552"/>
      <c r="JS39" s="552" t="str">
        <f>IF(AND($H$12&gt;=22, $H$12&lt;&gt;"Please Select"),"# " &amp;'Program Info'!B3&amp;" students typically assigned simultaneously","")</f>
        <v/>
      </c>
      <c r="KB39" s="552" t="str">
        <f>IF(AND($H$12&gt;=23, $H$12&lt;&gt;"Please Select"),"Rotation","")</f>
        <v/>
      </c>
      <c r="KC39" s="552" t="str">
        <f>IF(AND($H$12&gt;=23, $H$12&lt;&gt;"Please Select"),"Average # of Patient Visits per year","")</f>
        <v/>
      </c>
      <c r="KD39" s="552" t="str">
        <f>IF(AND($H$12&gt;=23, $H$12&lt;&gt;"Please Select"),"Average Hours for EACH Student","")</f>
        <v/>
      </c>
      <c r="KE39" s="552"/>
      <c r="KF39" s="552" t="str">
        <f>IF(AND($H$12&gt;=23, $H$12&lt;&gt;"Please Select"),"# " &amp;'Program Info'!B3&amp;" students typically assigned simultaneously","")</f>
        <v/>
      </c>
      <c r="KO39" s="552" t="str">
        <f>IF(AND($H$12&gt;=24, $H$12&lt;&gt;"Please Select"),"Rotation","")</f>
        <v/>
      </c>
      <c r="KP39" s="552" t="str">
        <f>IF(AND($H$12&gt;=24, $H$12&lt;&gt;"Please Select"),"Average # of Patient Visits per year","")</f>
        <v/>
      </c>
      <c r="KQ39" s="552" t="str">
        <f>IF(AND($H$12&gt;=24, $H$12&lt;&gt;"Please Select"),"Average Hours for EACH Student","")</f>
        <v/>
      </c>
      <c r="KR39" s="552"/>
      <c r="KS39" s="552" t="str">
        <f>IF(AND($H$12&gt;=24, $H$12&lt;&gt;"Please Select"),"# " &amp;'Program Info'!B3&amp;" students typically assigned simultaneously","")</f>
        <v/>
      </c>
      <c r="LB39" s="552" t="str">
        <f>IF(AND($H$12&gt;=25, $H$12&lt;&gt;"Please Select"),"Rotation","")</f>
        <v/>
      </c>
      <c r="LC39" s="552" t="str">
        <f>IF(AND($H$12&gt;=25, $H$12&lt;&gt;"Please Select"),"Average # of Patient Visits per year","")</f>
        <v/>
      </c>
      <c r="LD39" s="552" t="str">
        <f>IF(AND($H$12&gt;=25, $H$12&lt;&gt;"Please Select"),"Average Hours for EACH Student","")</f>
        <v/>
      </c>
      <c r="LE39" s="552"/>
      <c r="LF39" s="552" t="str">
        <f>IF(AND($H$12&gt;=25, $H$12&lt;&gt;"Please Select"),"# " &amp;'Program Info'!B3&amp;" students typically assigned simultaneously","")</f>
        <v/>
      </c>
      <c r="LO39" s="552" t="str">
        <f>IF(AND($H$12&gt;=26, $H$12&lt;&gt;"Please Select"),"Rotation","")</f>
        <v/>
      </c>
      <c r="LP39" s="552" t="str">
        <f>IF(AND($H$12&gt;=26, $H$12&lt;&gt;"Please Select"),"Average # of Patient Visits per year","")</f>
        <v/>
      </c>
      <c r="LQ39" s="552" t="str">
        <f>IF(AND($H$12&gt;=26, $H$12&lt;&gt;"Please Select"),"Average Hours for EACH Student","")</f>
        <v/>
      </c>
      <c r="LR39" s="552"/>
      <c r="LS39" s="552" t="str">
        <f>IF(AND($H$12&gt;=26, $H$12&lt;&gt;"Please Select"),"# " &amp;'Program Info'!B3&amp;" students typically assigned simultaneously","")</f>
        <v/>
      </c>
      <c r="MB39" s="552" t="str">
        <f>IF(AND($H$12&gt;=27, $H$12&lt;&gt;"Please Select"),"Rotation","")</f>
        <v/>
      </c>
      <c r="MC39" s="552" t="str">
        <f>IF(AND($H$12&gt;=27, $H$12&lt;&gt;"Please Select"),"Average # of Patient Visits per year","")</f>
        <v/>
      </c>
      <c r="MD39" s="552" t="str">
        <f>IF(AND($H$12&gt;=27, $H$12&lt;&gt;"Please Select"),"Average Hours for EACH Student","")</f>
        <v/>
      </c>
      <c r="ME39" s="552"/>
      <c r="MF39" s="552" t="str">
        <f>IF(AND($H$12&gt;=27, $H$12&lt;&gt;"Please Select"),"# " &amp;'Program Info'!B3&amp;" students typically assigned simultaneously","")</f>
        <v/>
      </c>
      <c r="MO39" s="552" t="str">
        <f>IF(AND($H$12&gt;=28, $H$12&lt;&gt;"Please Select"),"Rotation","")</f>
        <v/>
      </c>
      <c r="MP39" s="552" t="str">
        <f>IF(AND($H$12&gt;=28, $H$12&lt;&gt;"Please Select"),"Average # of Patient Visits per year","")</f>
        <v/>
      </c>
      <c r="MQ39" s="552" t="str">
        <f>IF(AND($H$12&gt;=28, $H$12&lt;&gt;"Please Select"),"Average Hours for EACH Student","")</f>
        <v/>
      </c>
      <c r="MR39" s="552"/>
      <c r="MS39" s="552" t="str">
        <f>IF(AND($H$12&gt;=28, $H$12&lt;&gt;"Please Select"),"# " &amp;'Program Info'!B3&amp;" students typically assigned simultaneously","")</f>
        <v/>
      </c>
      <c r="NB39" s="552" t="str">
        <f>IF(AND($H$12&gt;=29, $H$12&lt;&gt;"Please Select"),"Rotation","")</f>
        <v/>
      </c>
      <c r="NC39" s="552" t="str">
        <f>IF(AND($H$12&gt;=29, $H$12&lt;&gt;"Please Select"),"Average # of Patient Visits per year","")</f>
        <v/>
      </c>
      <c r="ND39" s="552" t="str">
        <f>IF(AND($H$12&gt;=29, $H$12&lt;&gt;"Please Select"),"Average Hours for EACH Student","")</f>
        <v/>
      </c>
      <c r="NE39" s="552"/>
      <c r="NF39" s="552" t="str">
        <f>IF(AND($H$12&gt;=29, $H$12&lt;&gt;"Please Select"),"# " &amp;'Program Info'!B3&amp;" students typically assigned simultaneously","")</f>
        <v/>
      </c>
      <c r="NO39" s="552" t="str">
        <f>IF(AND($H$12&gt;=30, $H$12&lt;&gt;"Please Select"),"Rotation","")</f>
        <v/>
      </c>
      <c r="NP39" s="552" t="str">
        <f>IF(AND($H$12&gt;=30, $H$12&lt;&gt;"Please Select"),"Average # of Patient Visits per year","")</f>
        <v/>
      </c>
      <c r="NQ39" s="552" t="str">
        <f>IF(AND($H$12&gt;=30, $H$12&lt;&gt;"Please Select"),"Average Hours for EACH Student","")</f>
        <v/>
      </c>
      <c r="NR39" s="552"/>
      <c r="NS39" s="552" t="str">
        <f>IF(AND($H$12&gt;=30, $H$12&lt;&gt;"Please Select"),"# " &amp;'Program Info'!B3&amp;" students typically assigned simultaneously","")</f>
        <v/>
      </c>
    </row>
    <row r="40" spans="2:400" s="41" customFormat="1" ht="14.25" x14ac:dyDescent="0.2">
      <c r="B40" s="552"/>
      <c r="C40" s="552"/>
      <c r="D40" s="552"/>
      <c r="E40" s="552"/>
      <c r="F40" s="552"/>
      <c r="O40" s="552"/>
      <c r="P40" s="552"/>
      <c r="Q40" s="552"/>
      <c r="R40" s="552"/>
      <c r="S40" s="552"/>
      <c r="AB40" s="552"/>
      <c r="AC40" s="552"/>
      <c r="AD40" s="552"/>
      <c r="AE40" s="552"/>
      <c r="AF40" s="552"/>
      <c r="AO40" s="552"/>
      <c r="AP40" s="552"/>
      <c r="AQ40" s="552"/>
      <c r="AR40" s="552"/>
      <c r="AS40" s="552"/>
      <c r="BB40" s="552"/>
      <c r="BC40" s="552"/>
      <c r="BD40" s="552"/>
      <c r="BE40" s="552"/>
      <c r="BF40" s="552"/>
      <c r="BO40" s="552"/>
      <c r="BP40" s="552"/>
      <c r="BQ40" s="552"/>
      <c r="BR40" s="552"/>
      <c r="BS40" s="552"/>
      <c r="CB40" s="552"/>
      <c r="CC40" s="552"/>
      <c r="CD40" s="552"/>
      <c r="CE40" s="552"/>
      <c r="CF40" s="552"/>
      <c r="CO40" s="552"/>
      <c r="CP40" s="552"/>
      <c r="CQ40" s="552"/>
      <c r="CR40" s="552"/>
      <c r="CS40" s="552"/>
      <c r="DB40" s="552"/>
      <c r="DC40" s="552"/>
      <c r="DD40" s="552"/>
      <c r="DE40" s="552"/>
      <c r="DF40" s="552"/>
      <c r="DO40" s="552"/>
      <c r="DP40" s="552"/>
      <c r="DQ40" s="552"/>
      <c r="DR40" s="552"/>
      <c r="DS40" s="552"/>
      <c r="EB40" s="552"/>
      <c r="EC40" s="552"/>
      <c r="ED40" s="552"/>
      <c r="EE40" s="552"/>
      <c r="EF40" s="552"/>
      <c r="EO40" s="552"/>
      <c r="EP40" s="552"/>
      <c r="EQ40" s="552"/>
      <c r="ER40" s="552"/>
      <c r="ES40" s="552"/>
      <c r="FB40" s="552"/>
      <c r="FC40" s="552"/>
      <c r="FD40" s="552"/>
      <c r="FE40" s="552"/>
      <c r="FF40" s="552"/>
      <c r="FO40" s="552"/>
      <c r="FP40" s="552"/>
      <c r="FQ40" s="552"/>
      <c r="FR40" s="552"/>
      <c r="FS40" s="552"/>
      <c r="GB40" s="552"/>
      <c r="GC40" s="552"/>
      <c r="GD40" s="552"/>
      <c r="GE40" s="552"/>
      <c r="GF40" s="552"/>
      <c r="GO40" s="552"/>
      <c r="GP40" s="552"/>
      <c r="GQ40" s="552"/>
      <c r="GR40" s="552"/>
      <c r="GS40" s="552"/>
      <c r="HB40" s="552"/>
      <c r="HC40" s="552"/>
      <c r="HD40" s="552"/>
      <c r="HE40" s="552"/>
      <c r="HF40" s="552"/>
      <c r="HO40" s="552"/>
      <c r="HP40" s="552"/>
      <c r="HQ40" s="552"/>
      <c r="HR40" s="552"/>
      <c r="HS40" s="552"/>
      <c r="IB40" s="552"/>
      <c r="IC40" s="552"/>
      <c r="ID40" s="552"/>
      <c r="IE40" s="552"/>
      <c r="IF40" s="552"/>
      <c r="IO40" s="552"/>
      <c r="IP40" s="552"/>
      <c r="IQ40" s="552"/>
      <c r="IR40" s="552"/>
      <c r="IS40" s="552"/>
      <c r="JB40" s="552"/>
      <c r="JC40" s="552"/>
      <c r="JD40" s="552"/>
      <c r="JE40" s="552"/>
      <c r="JF40" s="552"/>
      <c r="JO40" s="552"/>
      <c r="JP40" s="552"/>
      <c r="JQ40" s="552"/>
      <c r="JR40" s="552"/>
      <c r="JS40" s="552"/>
      <c r="KB40" s="552"/>
      <c r="KC40" s="552"/>
      <c r="KD40" s="552"/>
      <c r="KE40" s="552"/>
      <c r="KF40" s="552"/>
      <c r="KO40" s="552"/>
      <c r="KP40" s="552"/>
      <c r="KQ40" s="552"/>
      <c r="KR40" s="552"/>
      <c r="KS40" s="552"/>
      <c r="LB40" s="552"/>
      <c r="LC40" s="552"/>
      <c r="LD40" s="552"/>
      <c r="LE40" s="552"/>
      <c r="LF40" s="552"/>
      <c r="LO40" s="552"/>
      <c r="LP40" s="552"/>
      <c r="LQ40" s="552"/>
      <c r="LR40" s="552"/>
      <c r="LS40" s="552"/>
      <c r="MB40" s="552"/>
      <c r="MC40" s="552"/>
      <c r="MD40" s="552"/>
      <c r="ME40" s="552"/>
      <c r="MF40" s="552"/>
      <c r="MO40" s="552"/>
      <c r="MP40" s="552"/>
      <c r="MQ40" s="552"/>
      <c r="MR40" s="552"/>
      <c r="MS40" s="552"/>
      <c r="NB40" s="552"/>
      <c r="NC40" s="552"/>
      <c r="ND40" s="552"/>
      <c r="NE40" s="552"/>
      <c r="NF40" s="552"/>
      <c r="NO40" s="552"/>
      <c r="NP40" s="552"/>
      <c r="NQ40" s="552"/>
      <c r="NR40" s="552"/>
      <c r="NS40" s="552"/>
    </row>
    <row r="41" spans="2:400" s="41" customFormat="1" ht="33.75" customHeight="1" x14ac:dyDescent="0.2">
      <c r="B41" s="32" t="str">
        <f>IF(AND($H$12&gt;=1, $H$12&lt;&gt;"Please Select"),"Emergency Dept.","")</f>
        <v/>
      </c>
      <c r="C41" s="205"/>
      <c r="D41" s="534"/>
      <c r="E41" s="534"/>
      <c r="F41" s="205"/>
      <c r="O41" s="32" t="str">
        <f>IF(AND($H$12&gt;=2, $H$12&lt;&gt;"Please Select"),"Emergency Dept.","")</f>
        <v/>
      </c>
      <c r="P41" s="205"/>
      <c r="Q41" s="534"/>
      <c r="R41" s="534"/>
      <c r="S41" s="205"/>
      <c r="AB41" s="32" t="str">
        <f>IF(AND($H$12&gt;=3, $H$12&lt;&gt;"Please Select"),"Emergency Dept.","")</f>
        <v/>
      </c>
      <c r="AC41" s="205"/>
      <c r="AD41" s="534"/>
      <c r="AE41" s="534"/>
      <c r="AF41" s="205"/>
      <c r="AO41" s="32" t="str">
        <f>IF(AND($H$12&gt;=4, $H$12&lt;&gt;"Please Select"),"Emergency Dept.","")</f>
        <v/>
      </c>
      <c r="AP41" s="205"/>
      <c r="AQ41" s="534"/>
      <c r="AR41" s="534"/>
      <c r="AS41" s="205"/>
      <c r="BB41" s="32" t="str">
        <f>IF(AND($H$12&gt;=5, $H$12&lt;&gt;"Please Select"),"Emergency Dept.","")</f>
        <v/>
      </c>
      <c r="BC41" s="205"/>
      <c r="BD41" s="534"/>
      <c r="BE41" s="534"/>
      <c r="BF41" s="205"/>
      <c r="BO41" s="32" t="str">
        <f>IF(AND($H$12&gt;=6, $H$12&lt;&gt;"Please Select"),"Emergency Dept.","")</f>
        <v/>
      </c>
      <c r="BP41" s="205"/>
      <c r="BQ41" s="534"/>
      <c r="BR41" s="534"/>
      <c r="BS41" s="205"/>
      <c r="CB41" s="32" t="str">
        <f>IF(AND($H$12&gt;=7, $H$12&lt;&gt;"Please Select"),"Emergency Dept.","")</f>
        <v/>
      </c>
      <c r="CC41" s="205"/>
      <c r="CD41" s="534"/>
      <c r="CE41" s="534"/>
      <c r="CF41" s="205"/>
      <c r="CO41" s="32" t="str">
        <f>IF(AND($H$12&gt;=8, $H$12&lt;&gt;"Please Select"),"Emergency Dept.","")</f>
        <v/>
      </c>
      <c r="CP41" s="205"/>
      <c r="CQ41" s="534"/>
      <c r="CR41" s="534"/>
      <c r="CS41" s="205"/>
      <c r="DB41" s="32" t="str">
        <f>IF(AND($H$12&gt;=9, $H$12&lt;&gt;"Please Select"),"Emergency Dept.","")</f>
        <v/>
      </c>
      <c r="DC41" s="205"/>
      <c r="DD41" s="534"/>
      <c r="DE41" s="534"/>
      <c r="DF41" s="205"/>
      <c r="DO41" s="32" t="str">
        <f>IF(AND($H$12&gt;=10, $H$12&lt;&gt;"Please Select"),"Emergency Dept.","")</f>
        <v/>
      </c>
      <c r="DP41" s="205"/>
      <c r="DQ41" s="534"/>
      <c r="DR41" s="534"/>
      <c r="DS41" s="205"/>
      <c r="EB41" s="32" t="str">
        <f>IF(AND($H$12&gt;=11, $H$12&lt;&gt;"Please Select"),"Emergency Dept.","")</f>
        <v/>
      </c>
      <c r="EC41" s="205"/>
      <c r="ED41" s="534"/>
      <c r="EE41" s="534"/>
      <c r="EF41" s="205"/>
      <c r="EO41" s="32" t="str">
        <f>IF(AND($H$12&gt;=12, $H$12&lt;&gt;"Please Select"),"Emergency Dept.","")</f>
        <v/>
      </c>
      <c r="EP41" s="205"/>
      <c r="EQ41" s="534"/>
      <c r="ER41" s="534"/>
      <c r="ES41" s="205"/>
      <c r="FB41" s="32" t="str">
        <f>IF(AND($H$12&gt;=13, $H$12&lt;&gt;"Please Select"),"Emergency Dept.","")</f>
        <v/>
      </c>
      <c r="FC41" s="205"/>
      <c r="FD41" s="534"/>
      <c r="FE41" s="534"/>
      <c r="FF41" s="205"/>
      <c r="FO41" s="32" t="str">
        <f>IF(AND($H$12&gt;=14, $H$12&lt;&gt;"Please Select"),"Emergency Dept.","")</f>
        <v/>
      </c>
      <c r="FP41" s="205"/>
      <c r="FQ41" s="534"/>
      <c r="FR41" s="534"/>
      <c r="FS41" s="205"/>
      <c r="GB41" s="32" t="str">
        <f>IF(AND($H$12&gt;=15, $H$12&lt;&gt;"Please Select"),"Emergency Dept.","")</f>
        <v/>
      </c>
      <c r="GC41" s="205"/>
      <c r="GD41" s="534"/>
      <c r="GE41" s="534"/>
      <c r="GF41" s="205"/>
      <c r="GO41" s="32" t="str">
        <f>IF(AND($H$12&gt;=16, $H$12&lt;&gt;"Please Select"),"Emergency Dept.","")</f>
        <v/>
      </c>
      <c r="GP41" s="205"/>
      <c r="GQ41" s="534"/>
      <c r="GR41" s="534"/>
      <c r="GS41" s="205"/>
      <c r="HB41" s="32" t="str">
        <f>IF(AND($H$12&gt;=17, $H$12&lt;&gt;"Please Select"),"Emergency Dept.","")</f>
        <v/>
      </c>
      <c r="HC41" s="205"/>
      <c r="HD41" s="534"/>
      <c r="HE41" s="534"/>
      <c r="HF41" s="205"/>
      <c r="HO41" s="32" t="str">
        <f>IF(AND($H$12&gt;=18, $H$12&lt;&gt;"Please Select"),"Emergency Dept.","")</f>
        <v/>
      </c>
      <c r="HP41" s="205"/>
      <c r="HQ41" s="534"/>
      <c r="HR41" s="534"/>
      <c r="HS41" s="205"/>
      <c r="IB41" s="32" t="str">
        <f>IF(AND($H$12&gt;=19, $H$12&lt;&gt;"Please Select"),"Emergency Dept.","")</f>
        <v/>
      </c>
      <c r="IC41" s="205"/>
      <c r="ID41" s="534"/>
      <c r="IE41" s="534"/>
      <c r="IF41" s="205"/>
      <c r="IO41" s="32" t="str">
        <f>IF(AND($H$12&gt;=20, $H$12&lt;&gt;"Please Select"),"Emergency Dept.","")</f>
        <v/>
      </c>
      <c r="IP41" s="205"/>
      <c r="IQ41" s="534"/>
      <c r="IR41" s="534"/>
      <c r="IS41" s="205"/>
      <c r="JB41" s="32" t="str">
        <f>IF(AND($H$12&gt;=21, $H$12&lt;&gt;"Please Select"),"Emergency Dept.","")</f>
        <v/>
      </c>
      <c r="JC41" s="205"/>
      <c r="JD41" s="534"/>
      <c r="JE41" s="534"/>
      <c r="JF41" s="205"/>
      <c r="JO41" s="32" t="str">
        <f>IF(AND($H$12&gt;=22, $H$12&lt;&gt;"Please Select"),"Emergency Dept.","")</f>
        <v/>
      </c>
      <c r="JP41" s="205"/>
      <c r="JQ41" s="534"/>
      <c r="JR41" s="534"/>
      <c r="JS41" s="205"/>
      <c r="KB41" s="32" t="str">
        <f>IF(AND($H$12&gt;=23, $H$12&lt;&gt;"Please Select"),"Emergency Dept.","")</f>
        <v/>
      </c>
      <c r="KC41" s="205"/>
      <c r="KD41" s="534"/>
      <c r="KE41" s="534"/>
      <c r="KF41" s="205"/>
      <c r="KO41" s="32" t="str">
        <f>IF(AND($H$12&gt;=24, $H$12&lt;&gt;"Please Select"),"Emergency Dept.","")</f>
        <v/>
      </c>
      <c r="KP41" s="205"/>
      <c r="KQ41" s="534"/>
      <c r="KR41" s="534"/>
      <c r="KS41" s="205"/>
      <c r="LB41" s="32" t="str">
        <f>IF(AND($H$12&gt;=25, $H$12&lt;&gt;"Please Select"),"Emergency Dept.","")</f>
        <v/>
      </c>
      <c r="LC41" s="205"/>
      <c r="LD41" s="534"/>
      <c r="LE41" s="534"/>
      <c r="LF41" s="205"/>
      <c r="LO41" s="32" t="str">
        <f>IF(AND($H$12&gt;=26, $H$12&lt;&gt;"Please Select"),"Emergency Dept.","")</f>
        <v/>
      </c>
      <c r="LP41" s="205"/>
      <c r="LQ41" s="534"/>
      <c r="LR41" s="534"/>
      <c r="LS41" s="205"/>
      <c r="MB41" s="32" t="str">
        <f>IF(AND($H$12&gt;=27, $H$12&lt;&gt;"Please Select"),"Emergency Dept.","")</f>
        <v/>
      </c>
      <c r="MC41" s="205"/>
      <c r="MD41" s="534"/>
      <c r="ME41" s="534"/>
      <c r="MF41" s="205"/>
      <c r="MO41" s="32" t="str">
        <f>IF(AND($H$12&gt;=28, $H$12&lt;&gt;"Please Select"),"Emergency Dept.","")</f>
        <v/>
      </c>
      <c r="MP41" s="205"/>
      <c r="MQ41" s="534"/>
      <c r="MR41" s="534"/>
      <c r="MS41" s="205"/>
      <c r="NB41" s="32" t="str">
        <f>IF(AND($H$12&gt;=29, $H$12&lt;&gt;"Please Select"),"Emergency Dept.","")</f>
        <v/>
      </c>
      <c r="NC41" s="205"/>
      <c r="ND41" s="534"/>
      <c r="NE41" s="534"/>
      <c r="NF41" s="205"/>
      <c r="NO41" s="32" t="str">
        <f>IF(AND($H$12&gt;=30, $H$12&lt;&gt;"Please Select"),"Emergency Dept.","")</f>
        <v/>
      </c>
      <c r="NP41" s="205"/>
      <c r="NQ41" s="534"/>
      <c r="NR41" s="534"/>
      <c r="NS41" s="205"/>
    </row>
    <row r="42" spans="2:400" s="41" customFormat="1" ht="43.5" customHeight="1" x14ac:dyDescent="0.2">
      <c r="B42" s="32"/>
      <c r="C42" s="32"/>
      <c r="D42" s="536"/>
      <c r="E42" s="536"/>
      <c r="F42" s="32"/>
      <c r="O42" s="32"/>
      <c r="P42" s="32"/>
      <c r="Q42" s="536"/>
      <c r="R42" s="536"/>
      <c r="S42" s="32"/>
      <c r="AB42" s="32"/>
      <c r="AC42" s="32"/>
      <c r="AD42" s="536"/>
      <c r="AE42" s="536"/>
      <c r="AF42" s="32"/>
      <c r="AO42" s="32"/>
      <c r="AP42" s="32"/>
      <c r="AQ42" s="536"/>
      <c r="AR42" s="536"/>
      <c r="AS42" s="32"/>
      <c r="BB42" s="32"/>
      <c r="BC42" s="32"/>
      <c r="BD42" s="536"/>
      <c r="BE42" s="536"/>
      <c r="BF42" s="32"/>
      <c r="BO42" s="32"/>
      <c r="BP42" s="32"/>
      <c r="BQ42" s="536"/>
      <c r="BR42" s="536"/>
      <c r="BS42" s="32"/>
      <c r="CB42" s="32"/>
      <c r="CC42" s="32"/>
      <c r="CD42" s="536"/>
      <c r="CE42" s="536"/>
      <c r="CF42" s="32"/>
      <c r="CO42" s="32"/>
      <c r="CP42" s="32"/>
      <c r="CQ42" s="536"/>
      <c r="CR42" s="536"/>
      <c r="CS42" s="32"/>
      <c r="DB42" s="32"/>
      <c r="DC42" s="32"/>
      <c r="DD42" s="536"/>
      <c r="DE42" s="536"/>
      <c r="DF42" s="32"/>
      <c r="DO42" s="32"/>
      <c r="DP42" s="32"/>
      <c r="DQ42" s="536"/>
      <c r="DR42" s="536"/>
      <c r="DS42" s="32"/>
      <c r="EB42" s="32"/>
      <c r="EC42" s="32"/>
      <c r="ED42" s="536"/>
      <c r="EE42" s="536"/>
      <c r="EF42" s="32"/>
      <c r="EO42" s="32"/>
      <c r="EP42" s="32"/>
      <c r="EQ42" s="536"/>
      <c r="ER42" s="536"/>
      <c r="ES42" s="32"/>
      <c r="FB42" s="32"/>
      <c r="FC42" s="32"/>
      <c r="FD42" s="536"/>
      <c r="FE42" s="536"/>
      <c r="FF42" s="32"/>
      <c r="FO42" s="32"/>
      <c r="FP42" s="32"/>
      <c r="FQ42" s="536"/>
      <c r="FR42" s="536"/>
      <c r="FS42" s="32"/>
      <c r="GB42" s="32"/>
      <c r="GC42" s="32"/>
      <c r="GD42" s="536"/>
      <c r="GE42" s="536"/>
      <c r="GF42" s="32"/>
      <c r="GO42" s="32"/>
      <c r="GP42" s="32"/>
      <c r="GQ42" s="536"/>
      <c r="GR42" s="536"/>
      <c r="GS42" s="32"/>
      <c r="HB42" s="32"/>
      <c r="HC42" s="32"/>
      <c r="HD42" s="536"/>
      <c r="HE42" s="536"/>
      <c r="HF42" s="32"/>
      <c r="HO42" s="32"/>
      <c r="HP42" s="32"/>
      <c r="HQ42" s="536"/>
      <c r="HR42" s="536"/>
      <c r="HS42" s="32"/>
      <c r="IB42" s="32"/>
      <c r="IC42" s="32"/>
      <c r="ID42" s="536"/>
      <c r="IE42" s="536"/>
      <c r="IF42" s="32"/>
      <c r="IO42" s="32"/>
      <c r="IP42" s="32"/>
      <c r="IQ42" s="536"/>
      <c r="IR42" s="536"/>
      <c r="IS42" s="32"/>
      <c r="JB42" s="32"/>
      <c r="JC42" s="32"/>
      <c r="JD42" s="536"/>
      <c r="JE42" s="536"/>
      <c r="JF42" s="32"/>
      <c r="JO42" s="32"/>
      <c r="JP42" s="32"/>
      <c r="JQ42" s="536"/>
      <c r="JR42" s="536"/>
      <c r="JS42" s="32"/>
      <c r="KB42" s="32"/>
      <c r="KC42" s="32"/>
      <c r="KD42" s="536"/>
      <c r="KE42" s="536"/>
      <c r="KF42" s="32"/>
      <c r="KO42" s="32"/>
      <c r="KP42" s="32"/>
      <c r="KQ42" s="536"/>
      <c r="KR42" s="536"/>
      <c r="KS42" s="32"/>
      <c r="LB42" s="32"/>
      <c r="LC42" s="32"/>
      <c r="LD42" s="536"/>
      <c r="LE42" s="536"/>
      <c r="LF42" s="32"/>
      <c r="LO42" s="32"/>
      <c r="LP42" s="32"/>
      <c r="LQ42" s="536"/>
      <c r="LR42" s="536"/>
      <c r="LS42" s="32"/>
      <c r="MB42" s="32"/>
      <c r="MC42" s="32"/>
      <c r="MD42" s="536"/>
      <c r="ME42" s="536"/>
      <c r="MF42" s="32"/>
      <c r="MO42" s="32"/>
      <c r="MP42" s="32"/>
      <c r="MQ42" s="536"/>
      <c r="MR42" s="536"/>
      <c r="MS42" s="32"/>
      <c r="NB42" s="32"/>
      <c r="NC42" s="32"/>
      <c r="ND42" s="536"/>
      <c r="NE42" s="536"/>
      <c r="NF42" s="32"/>
      <c r="NO42" s="32"/>
      <c r="NP42" s="32"/>
      <c r="NQ42" s="536"/>
      <c r="NR42" s="536"/>
      <c r="NS42" s="32"/>
    </row>
    <row r="43" spans="2:400" s="41" customFormat="1" ht="62.25" customHeight="1" x14ac:dyDescent="0.2">
      <c r="B43" s="35" t="str">
        <f>IF(AND($H$12&gt;=1, $H$12&lt;&gt;"Please Select"),"Other Clinical Units Utilized","")</f>
        <v/>
      </c>
      <c r="C43" s="209" t="str">
        <f>IF(AND($H$12&gt;=1, $H$12&lt;&gt;"Please Select"),"Average # of Patient Visits per year","")</f>
        <v/>
      </c>
      <c r="D43" s="539" t="str">
        <f>IF(AND($H$12&gt;=1, $H$12&lt;&gt;"Please Select"),"Average Hours for EACH Student","")</f>
        <v/>
      </c>
      <c r="E43" s="539"/>
      <c r="O43" s="35" t="str">
        <f>IF(AND($H$12&gt;=2, $H$12&lt;&gt;"Please Select"),"Other Clinical Units Utilized","")</f>
        <v/>
      </c>
      <c r="P43" s="209" t="str">
        <f>IF(AND($H$12&gt;=2, $H$12&lt;&gt;"Please Select"),"Average # of Patient Visits per year","")</f>
        <v/>
      </c>
      <c r="Q43" s="539" t="str">
        <f>IF(AND($H$12&gt;=2, $H$12&lt;&gt;"Please Select"),"Average Hours for EACH Student","")</f>
        <v/>
      </c>
      <c r="R43" s="539"/>
      <c r="AB43" s="35" t="str">
        <f>IF(AND($H$12&gt;=3, $H$12&lt;&gt;"Please Select"),"Other Clinical Units Utilized","")</f>
        <v/>
      </c>
      <c r="AC43" s="209" t="str">
        <f>IF(AND($H$12&gt;=3, $H$12&lt;&gt;"Please Select"),"Average # of Patient Visits per year","")</f>
        <v/>
      </c>
      <c r="AD43" s="539" t="str">
        <f>IF(AND($H$12&gt;=3, $H$12&lt;&gt;"Please Select"),"Average Hours for EACH Student","")</f>
        <v/>
      </c>
      <c r="AE43" s="539"/>
      <c r="AO43" s="35" t="str">
        <f>IF(AND($H$12&gt;=4, $H$12&lt;&gt;"Please Select"),"Other Clinical Units Utilized","")</f>
        <v/>
      </c>
      <c r="AP43" s="209" t="str">
        <f>IF(AND($H$12&gt;=4, $H$12&lt;&gt;"Please Select"),"Average # of Patient Visits per year","")</f>
        <v/>
      </c>
      <c r="AQ43" s="539" t="str">
        <f>IF(AND($H$12&gt;=4, $H$12&lt;&gt;"Please Select"),"Average Hours for EACH Student","")</f>
        <v/>
      </c>
      <c r="AR43" s="539"/>
      <c r="BB43" s="35" t="str">
        <f>IF(AND($H$12&gt;=5, $H$12&lt;&gt;"Please Select"),"Other Clinical Units Utilized","")</f>
        <v/>
      </c>
      <c r="BC43" s="209" t="str">
        <f>IF(AND($H$12&gt;=5, $H$12&lt;&gt;"Please Select"),"Average # of Patient Visits per year","")</f>
        <v/>
      </c>
      <c r="BD43" s="539" t="str">
        <f>IF(AND($H$12&gt;=5, $H$12&lt;&gt;"Please Select"),"Average Hours for EACH Student","")</f>
        <v/>
      </c>
      <c r="BE43" s="539"/>
      <c r="BO43" s="35" t="str">
        <f>IF(AND($H$12&gt;=6, $H$12&lt;&gt;"Please Select"),"Other Clinical Units Utilized","")</f>
        <v/>
      </c>
      <c r="BP43" s="209" t="str">
        <f>IF(AND($H$12&gt;=6, $H$12&lt;&gt;"Please Select"),"Average # of Patient Visits per year","")</f>
        <v/>
      </c>
      <c r="BQ43" s="539" t="str">
        <f>IF(AND($H$12&gt;=6, $H$12&lt;&gt;"Please Select"),"Average Hours for EACH Student","")</f>
        <v/>
      </c>
      <c r="BR43" s="539"/>
      <c r="CB43" s="35" t="str">
        <f>IF(AND($H$12&gt;=7, $H$12&lt;&gt;"Please Select"),"Other Clinical Units Utilized","")</f>
        <v/>
      </c>
      <c r="CC43" s="209" t="str">
        <f>IF(AND($H$12&gt;=7, $H$12&lt;&gt;"Please Select"),"Average # of Patient Visits per year","")</f>
        <v/>
      </c>
      <c r="CD43" s="539" t="str">
        <f>IF(AND($H$12&gt;=7, $H$12&lt;&gt;"Please Select"),"Average Hours for EACH Student","")</f>
        <v/>
      </c>
      <c r="CE43" s="539"/>
      <c r="CO43" s="35" t="str">
        <f>IF(AND($H$12&gt;=8, $H$12&lt;&gt;"Please Select"),"Other Clinical Units Utilized","")</f>
        <v/>
      </c>
      <c r="CP43" s="209" t="str">
        <f>IF(AND($H$12&gt;=8, $H$12&lt;&gt;"Please Select"),"Average # of Patient Visits per year","")</f>
        <v/>
      </c>
      <c r="CQ43" s="539" t="str">
        <f>IF(AND($H$12&gt;=8, $H$12&lt;&gt;"Please Select"),"Average Hours for EACH Student","")</f>
        <v/>
      </c>
      <c r="CR43" s="539"/>
      <c r="DB43" s="35" t="str">
        <f>IF(AND($H$12&gt;=9, $H$12&lt;&gt;"Please Select"),"Other Clinical Units Utilized","")</f>
        <v/>
      </c>
      <c r="DC43" s="209" t="str">
        <f>IF(AND($H$12&gt;=9, $H$12&lt;&gt;"Please Select"),"Average # of Patient Visits per year","")</f>
        <v/>
      </c>
      <c r="DD43" s="539" t="str">
        <f>IF(AND($H$12&gt;=9, $H$12&lt;&gt;"Please Select"),"Average Hours for EACH Student","")</f>
        <v/>
      </c>
      <c r="DE43" s="539"/>
      <c r="DO43" s="35" t="str">
        <f>IF(AND($H$12&gt;=10, $H$12&lt;&gt;"Please Select"),"Other Clinical Units Utilized","")</f>
        <v/>
      </c>
      <c r="DP43" s="209" t="str">
        <f>IF(AND($H$12&gt;=10, $H$12&lt;&gt;"Please Select"),"Average # of Patient Visits per year","")</f>
        <v/>
      </c>
      <c r="DQ43" s="539" t="str">
        <f>IF(AND($H$12&gt;=10, $H$12&lt;&gt;"Please Select"),"Average Hours for EACH Student","")</f>
        <v/>
      </c>
      <c r="DR43" s="539"/>
      <c r="EB43" s="35" t="str">
        <f>IF(AND($H$12&gt;=11, $H$12&lt;&gt;"Please Select"),"Other Clinical Units Utilized","")</f>
        <v/>
      </c>
      <c r="EC43" s="209" t="str">
        <f>IF(AND($H$12&gt;=11, $H$12&lt;&gt;"Please Select"),"Average # of Patient Visits per year","")</f>
        <v/>
      </c>
      <c r="ED43" s="539" t="str">
        <f>IF(AND($H$12&gt;=11, $H$12&lt;&gt;"Please Select"),"Average Hours for EACH Student","")</f>
        <v/>
      </c>
      <c r="EE43" s="539"/>
      <c r="EO43" s="35" t="str">
        <f>IF(AND($H$12&gt;=12, $H$12&lt;&gt;"Please Select"),"Other Clinical Units Utilized","")</f>
        <v/>
      </c>
      <c r="EP43" s="209" t="str">
        <f>IF(AND($H$12&gt;=12, $H$12&lt;&gt;"Please Select"),"Average # of Patient Visits per year","")</f>
        <v/>
      </c>
      <c r="EQ43" s="539" t="str">
        <f>IF(AND($H$12&gt;=12, $H$12&lt;&gt;"Please Select"),"Average Hours for EACH Student","")</f>
        <v/>
      </c>
      <c r="ER43" s="539"/>
      <c r="FB43" s="35" t="str">
        <f>IF(AND($H$12&gt;=13, $H$12&lt;&gt;"Please Select"),"Other Clinical Units Utilized","")</f>
        <v/>
      </c>
      <c r="FC43" s="209" t="str">
        <f>IF(AND($H$12&gt;=13, $H$12&lt;&gt;"Please Select"),"Average # of Patient Visits per year","")</f>
        <v/>
      </c>
      <c r="FD43" s="539" t="str">
        <f>IF(AND($H$12&gt;=13, $H$12&lt;&gt;"Please Select"),"Average Hours for EACH Student","")</f>
        <v/>
      </c>
      <c r="FE43" s="539"/>
      <c r="FO43" s="35" t="str">
        <f>IF(AND($H$12&gt;=14, $H$12&lt;&gt;"Please Select"),"Other Clinical Units Utilized","")</f>
        <v/>
      </c>
      <c r="FP43" s="209" t="str">
        <f>IF(AND($H$12&gt;=14, $H$12&lt;&gt;"Please Select"),"Average # of Patient Visits per year","")</f>
        <v/>
      </c>
      <c r="FQ43" s="539" t="str">
        <f>IF(AND($H$12&gt;=14, $H$12&lt;&gt;"Please Select"),"Average Hours for EACH Student","")</f>
        <v/>
      </c>
      <c r="FR43" s="539"/>
      <c r="GB43" s="35" t="str">
        <f>IF(AND($H$12&gt;=15, $H$12&lt;&gt;"Please Select"),"Other Clinical Units Utilized","")</f>
        <v/>
      </c>
      <c r="GC43" s="209" t="str">
        <f>IF(AND($H$12&gt;=15, $H$12&lt;&gt;"Please Select"),"Average # of Patient Visits per year","")</f>
        <v/>
      </c>
      <c r="GD43" s="539" t="str">
        <f>IF(AND($H$12&gt;=15, $H$12&lt;&gt;"Please Select"),"Average Hours for EACH Student","")</f>
        <v/>
      </c>
      <c r="GE43" s="539"/>
      <c r="GO43" s="35" t="str">
        <f>IF(AND($H$12&gt;=16, $H$12&lt;&gt;"Please Select"),"Other Clinical Units Utilized","")</f>
        <v/>
      </c>
      <c r="GP43" s="209" t="str">
        <f>IF(AND($H$12&gt;=16, $H$12&lt;&gt;"Please Select"),"Average # of Patient Visits per year","")</f>
        <v/>
      </c>
      <c r="GQ43" s="539" t="str">
        <f>IF(AND($H$12&gt;=16, $H$12&lt;&gt;"Please Select"),"Average Hours for EACH Student","")</f>
        <v/>
      </c>
      <c r="GR43" s="539"/>
      <c r="HB43" s="35" t="str">
        <f>IF(AND($H$12&gt;=17, $H$12&lt;&gt;"Please Select"),"Other Clinical Units Utilized","")</f>
        <v/>
      </c>
      <c r="HC43" s="209" t="str">
        <f>IF(AND($H$12&gt;=17, $H$12&lt;&gt;"Please Select"),"Average # of Patient Visits per year","")</f>
        <v/>
      </c>
      <c r="HD43" s="539" t="str">
        <f>IF(AND($H$12&gt;=17, $H$12&lt;&gt;"Please Select"),"Average Hours for EACH Student","")</f>
        <v/>
      </c>
      <c r="HE43" s="539"/>
      <c r="HO43" s="35" t="str">
        <f>IF(AND($H$12&gt;=18, $H$12&lt;&gt;"Please Select"),"Other Clinical Units Utilized","")</f>
        <v/>
      </c>
      <c r="HP43" s="209" t="str">
        <f>IF(AND($H$12&gt;=18, $H$12&lt;&gt;"Please Select"),"Average # of Patient Visits per year","")</f>
        <v/>
      </c>
      <c r="HQ43" s="539" t="str">
        <f>IF(AND($H$12&gt;=18, $H$12&lt;&gt;"Please Select"),"Average Hours for EACH Student","")</f>
        <v/>
      </c>
      <c r="HR43" s="539"/>
      <c r="IB43" s="35" t="str">
        <f>IF(AND($H$12&gt;=19, $H$12&lt;&gt;"Please Select"),"Other Clinical Units Utilized","")</f>
        <v/>
      </c>
      <c r="IC43" s="209" t="str">
        <f>IF(AND($H$12&gt;=19, $H$12&lt;&gt;"Please Select"),"Average # of Patient Visits per year","")</f>
        <v/>
      </c>
      <c r="ID43" s="539" t="str">
        <f>IF(AND($H$12&gt;=19, $H$12&lt;&gt;"Please Select"),"Average Hours for EACH Student","")</f>
        <v/>
      </c>
      <c r="IE43" s="539"/>
      <c r="IO43" s="35" t="str">
        <f>IF(AND($H$12&gt;=20, $H$12&lt;&gt;"Please Select"),"Other Clinical Units Utilized","")</f>
        <v/>
      </c>
      <c r="IP43" s="209" t="str">
        <f>IF(AND($H$12&gt;=20, $H$12&lt;&gt;"Please Select"),"Average # of Patient Visits per year","")</f>
        <v/>
      </c>
      <c r="IQ43" s="539" t="str">
        <f>IF(AND($H$12&gt;=20, $H$12&lt;&gt;"Please Select"),"Average Hours for EACH Student","")</f>
        <v/>
      </c>
      <c r="IR43" s="539"/>
      <c r="JB43" s="35" t="str">
        <f>IF(AND($H$12&gt;=21, $H$12&lt;&gt;"Please Select"),"Other Clinical Units Utilized","")</f>
        <v/>
      </c>
      <c r="JC43" s="209" t="str">
        <f>IF(AND($H$12&gt;=21, $H$12&lt;&gt;"Please Select"),"Average # of Patient Visits per year","")</f>
        <v/>
      </c>
      <c r="JD43" s="539" t="str">
        <f>IF(AND($H$12&gt;=21, $H$12&lt;&gt;"Please Select"),"Average Hours for EACH Student","")</f>
        <v/>
      </c>
      <c r="JE43" s="539"/>
      <c r="JO43" s="35" t="str">
        <f>IF(AND($H$12&gt;=22, $H$12&lt;&gt;"Please Select"),"Other Clinical Units Utilized","")</f>
        <v/>
      </c>
      <c r="JP43" s="209" t="str">
        <f>IF(AND($H$12&gt;=22, $H$12&lt;&gt;"Please Select"),"Average # of Patient Visits per year","")</f>
        <v/>
      </c>
      <c r="JQ43" s="539" t="str">
        <f>IF(AND($H$12&gt;=22, $H$12&lt;&gt;"Please Select"),"Average Hours for EACH Student","")</f>
        <v/>
      </c>
      <c r="JR43" s="539"/>
      <c r="KB43" s="35" t="str">
        <f>IF(AND($H$12&gt;=23, $H$12&lt;&gt;"Please Select"),"Other Clinical Units Utilized","")</f>
        <v/>
      </c>
      <c r="KC43" s="209" t="str">
        <f>IF(AND($H$12&gt;=23, $H$12&lt;&gt;"Please Select"),"Average # of Patient Visits per year","")</f>
        <v/>
      </c>
      <c r="KD43" s="539" t="str">
        <f>IF(AND($H$12&gt;=23, $H$12&lt;&gt;"Please Select"),"Average Hours for EACH Student","")</f>
        <v/>
      </c>
      <c r="KE43" s="539"/>
      <c r="KO43" s="35" t="str">
        <f>IF(AND($H$12&gt;=24, $H$12&lt;&gt;"Please Select"),"Other Clinical Units Utilized","")</f>
        <v/>
      </c>
      <c r="KP43" s="209" t="str">
        <f>IF(AND($H$12&gt;=24, $H$12&lt;&gt;"Please Select"),"Average # of Patient Visits per year","")</f>
        <v/>
      </c>
      <c r="KQ43" s="539" t="str">
        <f>IF(AND($H$12&gt;=24, $H$12&lt;&gt;"Please Select"),"Average Hours for EACH Student","")</f>
        <v/>
      </c>
      <c r="KR43" s="539"/>
      <c r="LB43" s="35" t="str">
        <f>IF(AND($H$12&gt;=25, $H$12&lt;&gt;"Please Select"),"Other Clinical Units Utilized","")</f>
        <v/>
      </c>
      <c r="LC43" s="209" t="str">
        <f>IF(AND($H$12&gt;=25, $H$12&lt;&gt;"Please Select"),"Average # of Patient Visits per year","")</f>
        <v/>
      </c>
      <c r="LD43" s="539" t="str">
        <f>IF(AND($H$12&gt;=25, $H$12&lt;&gt;"Please Select"),"Average Hours for EACH Student","")</f>
        <v/>
      </c>
      <c r="LE43" s="539"/>
      <c r="LO43" s="35" t="str">
        <f>IF(AND($H$12&gt;=26, $H$12&lt;&gt;"Please Select"),"Other Clinical Units Utilized","")</f>
        <v/>
      </c>
      <c r="LP43" s="209" t="str">
        <f>IF(AND($H$12&gt;=26, $H$12&lt;&gt;"Please Select"),"Average # of Patient Visits per year","")</f>
        <v/>
      </c>
      <c r="LQ43" s="539" t="str">
        <f>IF(AND($H$12&gt;=26, $H$12&lt;&gt;"Please Select"),"Average Hours for EACH Student","")</f>
        <v/>
      </c>
      <c r="LR43" s="539"/>
      <c r="MB43" s="35" t="str">
        <f>IF(AND($H$12&gt;=27, $H$12&lt;&gt;"Please Select"),"Other Clinical Units Utilized","")</f>
        <v/>
      </c>
      <c r="MC43" s="209" t="str">
        <f>IF(AND($H$12&gt;=27, $H$12&lt;&gt;"Please Select"),"Average # of Patient Visits per year","")</f>
        <v/>
      </c>
      <c r="MD43" s="539" t="str">
        <f>IF(AND($H$12&gt;=27, $H$12&lt;&gt;"Please Select"),"Average Hours for EACH Student","")</f>
        <v/>
      </c>
      <c r="ME43" s="539"/>
      <c r="MO43" s="35" t="str">
        <f>IF(AND($H$12&gt;=28, $H$12&lt;&gt;"Please Select"),"Other Clinical Units Utilized","")</f>
        <v/>
      </c>
      <c r="MP43" s="209" t="str">
        <f>IF(AND($H$12&gt;=28, $H$12&lt;&gt;"Please Select"),"Average # of Patient Visits per year","")</f>
        <v/>
      </c>
      <c r="MQ43" s="539" t="str">
        <f>IF(AND($H$12&gt;=28, $H$12&lt;&gt;"Please Select"),"Average Hours for EACH Student","")</f>
        <v/>
      </c>
      <c r="MR43" s="539"/>
      <c r="NB43" s="35" t="str">
        <f>IF(AND($H$12&gt;=29, $H$12&lt;&gt;"Please Select"),"Other Clinical Units Utilized","")</f>
        <v/>
      </c>
      <c r="NC43" s="209" t="str">
        <f>IF(AND($H$12&gt;=29, $H$12&lt;&gt;"Please Select"),"Average # of Patient Visits per year","")</f>
        <v/>
      </c>
      <c r="ND43" s="539" t="str">
        <f>IF(AND($H$12&gt;=29, $H$12&lt;&gt;"Please Select"),"Average Hours for EACH Student","")</f>
        <v/>
      </c>
      <c r="NE43" s="539"/>
      <c r="NO43" s="35" t="str">
        <f>IF(AND($H$12&gt;=30, $H$12&lt;&gt;"Please Select"),"Other Clinical Units Utilized","")</f>
        <v/>
      </c>
      <c r="NP43" s="209" t="str">
        <f>IF(AND($H$12&gt;=30, $H$12&lt;&gt;"Please Select"),"Average # of Patient Visits per year","")</f>
        <v/>
      </c>
      <c r="NQ43" s="539" t="str">
        <f>IF(AND($H$12&gt;=30, $H$12&lt;&gt;"Please Select"),"Average Hours for EACH Student","")</f>
        <v/>
      </c>
      <c r="NR43" s="539"/>
    </row>
    <row r="44" spans="2:400" s="41" customFormat="1" x14ac:dyDescent="0.2">
      <c r="B44" s="49"/>
      <c r="C44" s="210"/>
      <c r="D44" s="534"/>
      <c r="E44" s="534"/>
      <c r="O44" s="49"/>
      <c r="P44" s="210"/>
      <c r="Q44" s="534"/>
      <c r="R44" s="534"/>
      <c r="AB44" s="49"/>
      <c r="AC44" s="210"/>
      <c r="AD44" s="534"/>
      <c r="AE44" s="534"/>
      <c r="AO44" s="49"/>
      <c r="AP44" s="210"/>
      <c r="AQ44" s="534"/>
      <c r="AR44" s="534"/>
      <c r="BB44" s="49"/>
      <c r="BC44" s="210"/>
      <c r="BD44" s="534"/>
      <c r="BE44" s="534"/>
      <c r="BO44" s="49"/>
      <c r="BP44" s="210"/>
      <c r="BQ44" s="534"/>
      <c r="BR44" s="534"/>
      <c r="CB44" s="49"/>
      <c r="CC44" s="210"/>
      <c r="CD44" s="534"/>
      <c r="CE44" s="534"/>
      <c r="CO44" s="49"/>
      <c r="CP44" s="210"/>
      <c r="CQ44" s="534"/>
      <c r="CR44" s="534"/>
      <c r="DB44" s="49"/>
      <c r="DC44" s="210"/>
      <c r="DD44" s="534"/>
      <c r="DE44" s="534"/>
      <c r="DO44" s="49"/>
      <c r="DP44" s="210"/>
      <c r="DQ44" s="534"/>
      <c r="DR44" s="534"/>
      <c r="EB44" s="49"/>
      <c r="EC44" s="210"/>
      <c r="ED44" s="534"/>
      <c r="EE44" s="534"/>
      <c r="EO44" s="49"/>
      <c r="EP44" s="210"/>
      <c r="EQ44" s="534"/>
      <c r="ER44" s="534"/>
      <c r="FB44" s="49"/>
      <c r="FC44" s="210"/>
      <c r="FD44" s="534"/>
      <c r="FE44" s="534"/>
      <c r="FO44" s="49"/>
      <c r="FP44" s="210"/>
      <c r="FQ44" s="534"/>
      <c r="FR44" s="534"/>
      <c r="GB44" s="49"/>
      <c r="GC44" s="210"/>
      <c r="GD44" s="534"/>
      <c r="GE44" s="534"/>
      <c r="GO44" s="49"/>
      <c r="GP44" s="210"/>
      <c r="GQ44" s="534"/>
      <c r="GR44" s="534"/>
      <c r="HB44" s="49"/>
      <c r="HC44" s="210"/>
      <c r="HD44" s="534"/>
      <c r="HE44" s="534"/>
      <c r="HO44" s="49"/>
      <c r="HP44" s="210"/>
      <c r="HQ44" s="534"/>
      <c r="HR44" s="534"/>
      <c r="IB44" s="49"/>
      <c r="IC44" s="210"/>
      <c r="ID44" s="534"/>
      <c r="IE44" s="534"/>
      <c r="IO44" s="49"/>
      <c r="IP44" s="210"/>
      <c r="IQ44" s="534"/>
      <c r="IR44" s="534"/>
      <c r="JB44" s="49"/>
      <c r="JC44" s="210"/>
      <c r="JD44" s="534"/>
      <c r="JE44" s="534"/>
      <c r="JO44" s="49"/>
      <c r="JP44" s="210"/>
      <c r="JQ44" s="534"/>
      <c r="JR44" s="534"/>
      <c r="KB44" s="49"/>
      <c r="KC44" s="210"/>
      <c r="KD44" s="534"/>
      <c r="KE44" s="534"/>
      <c r="KO44" s="49"/>
      <c r="KP44" s="210"/>
      <c r="KQ44" s="534"/>
      <c r="KR44" s="534"/>
      <c r="LB44" s="49"/>
      <c r="LC44" s="210"/>
      <c r="LD44" s="534"/>
      <c r="LE44" s="534"/>
      <c r="LO44" s="49"/>
      <c r="LP44" s="210"/>
      <c r="LQ44" s="534"/>
      <c r="LR44" s="534"/>
      <c r="MB44" s="49"/>
      <c r="MC44" s="210"/>
      <c r="MD44" s="534"/>
      <c r="ME44" s="534"/>
      <c r="MO44" s="49"/>
      <c r="MP44" s="210"/>
      <c r="MQ44" s="534"/>
      <c r="MR44" s="534"/>
      <c r="NB44" s="49"/>
      <c r="NC44" s="210"/>
      <c r="ND44" s="534"/>
      <c r="NE44" s="534"/>
      <c r="NO44" s="49"/>
      <c r="NP44" s="210"/>
      <c r="NQ44" s="534"/>
      <c r="NR44" s="534"/>
    </row>
    <row r="45" spans="2:400" s="41" customFormat="1" x14ac:dyDescent="0.2">
      <c r="B45" s="49"/>
      <c r="C45" s="210"/>
      <c r="D45" s="534"/>
      <c r="E45" s="534"/>
      <c r="O45" s="49"/>
      <c r="P45" s="210"/>
      <c r="Q45" s="534"/>
      <c r="R45" s="534"/>
      <c r="AB45" s="49"/>
      <c r="AC45" s="210"/>
      <c r="AD45" s="534"/>
      <c r="AE45" s="534"/>
      <c r="AO45" s="49"/>
      <c r="AP45" s="210"/>
      <c r="AQ45" s="534"/>
      <c r="AR45" s="534"/>
      <c r="BB45" s="49"/>
      <c r="BC45" s="210"/>
      <c r="BD45" s="534"/>
      <c r="BE45" s="534"/>
      <c r="BO45" s="49"/>
      <c r="BP45" s="210"/>
      <c r="BQ45" s="534"/>
      <c r="BR45" s="534"/>
      <c r="CB45" s="49"/>
      <c r="CC45" s="210"/>
      <c r="CD45" s="534"/>
      <c r="CE45" s="534"/>
      <c r="CO45" s="49"/>
      <c r="CP45" s="210"/>
      <c r="CQ45" s="534"/>
      <c r="CR45" s="534"/>
      <c r="DB45" s="49"/>
      <c r="DC45" s="210"/>
      <c r="DD45" s="534"/>
      <c r="DE45" s="534"/>
      <c r="DO45" s="49"/>
      <c r="DP45" s="210"/>
      <c r="DQ45" s="534"/>
      <c r="DR45" s="534"/>
      <c r="EB45" s="49"/>
      <c r="EC45" s="210"/>
      <c r="ED45" s="534"/>
      <c r="EE45" s="534"/>
      <c r="EO45" s="49"/>
      <c r="EP45" s="210"/>
      <c r="EQ45" s="534"/>
      <c r="ER45" s="534"/>
      <c r="FB45" s="49"/>
      <c r="FC45" s="210"/>
      <c r="FD45" s="534"/>
      <c r="FE45" s="534"/>
      <c r="FO45" s="49"/>
      <c r="FP45" s="210"/>
      <c r="FQ45" s="534"/>
      <c r="FR45" s="534"/>
      <c r="GB45" s="49"/>
      <c r="GC45" s="210"/>
      <c r="GD45" s="534"/>
      <c r="GE45" s="534"/>
      <c r="GO45" s="49"/>
      <c r="GP45" s="210"/>
      <c r="GQ45" s="534"/>
      <c r="GR45" s="534"/>
      <c r="HB45" s="49"/>
      <c r="HC45" s="210"/>
      <c r="HD45" s="534"/>
      <c r="HE45" s="534"/>
      <c r="HO45" s="49"/>
      <c r="HP45" s="210"/>
      <c r="HQ45" s="534"/>
      <c r="HR45" s="534"/>
      <c r="IB45" s="49"/>
      <c r="IC45" s="210"/>
      <c r="ID45" s="534"/>
      <c r="IE45" s="534"/>
      <c r="IO45" s="49"/>
      <c r="IP45" s="210"/>
      <c r="IQ45" s="534"/>
      <c r="IR45" s="534"/>
      <c r="JB45" s="49"/>
      <c r="JC45" s="210"/>
      <c r="JD45" s="534"/>
      <c r="JE45" s="534"/>
      <c r="JO45" s="49"/>
      <c r="JP45" s="210"/>
      <c r="JQ45" s="534"/>
      <c r="JR45" s="534"/>
      <c r="KB45" s="49"/>
      <c r="KC45" s="210"/>
      <c r="KD45" s="534"/>
      <c r="KE45" s="534"/>
      <c r="KO45" s="49"/>
      <c r="KP45" s="210"/>
      <c r="KQ45" s="534"/>
      <c r="KR45" s="534"/>
      <c r="LB45" s="49"/>
      <c r="LC45" s="210"/>
      <c r="LD45" s="534"/>
      <c r="LE45" s="534"/>
      <c r="LO45" s="49"/>
      <c r="LP45" s="210"/>
      <c r="LQ45" s="534"/>
      <c r="LR45" s="534"/>
      <c r="MB45" s="49"/>
      <c r="MC45" s="210"/>
      <c r="MD45" s="534"/>
      <c r="ME45" s="534"/>
      <c r="MO45" s="49"/>
      <c r="MP45" s="210"/>
      <c r="MQ45" s="534"/>
      <c r="MR45" s="534"/>
      <c r="NB45" s="49"/>
      <c r="NC45" s="210"/>
      <c r="ND45" s="534"/>
      <c r="NE45" s="534"/>
      <c r="NO45" s="49"/>
      <c r="NP45" s="210"/>
      <c r="NQ45" s="534"/>
      <c r="NR45" s="534"/>
    </row>
    <row r="46" spans="2:400" s="41" customFormat="1" x14ac:dyDescent="0.2">
      <c r="B46" s="49"/>
      <c r="C46" s="210"/>
      <c r="D46" s="534"/>
      <c r="E46" s="534"/>
      <c r="O46" s="49"/>
      <c r="P46" s="210"/>
      <c r="Q46" s="534"/>
      <c r="R46" s="534"/>
      <c r="AB46" s="49"/>
      <c r="AC46" s="210"/>
      <c r="AD46" s="534"/>
      <c r="AE46" s="534"/>
      <c r="AO46" s="49"/>
      <c r="AP46" s="210"/>
      <c r="AQ46" s="534"/>
      <c r="AR46" s="534"/>
      <c r="BB46" s="49"/>
      <c r="BC46" s="210"/>
      <c r="BD46" s="534"/>
      <c r="BE46" s="534"/>
      <c r="BO46" s="49"/>
      <c r="BP46" s="210"/>
      <c r="BQ46" s="534"/>
      <c r="BR46" s="534"/>
      <c r="CB46" s="49"/>
      <c r="CC46" s="210"/>
      <c r="CD46" s="534"/>
      <c r="CE46" s="534"/>
      <c r="CO46" s="49"/>
      <c r="CP46" s="210"/>
      <c r="CQ46" s="534"/>
      <c r="CR46" s="534"/>
      <c r="DB46" s="49"/>
      <c r="DC46" s="210"/>
      <c r="DD46" s="534"/>
      <c r="DE46" s="534"/>
      <c r="DO46" s="49"/>
      <c r="DP46" s="210"/>
      <c r="DQ46" s="534"/>
      <c r="DR46" s="534"/>
      <c r="EB46" s="49"/>
      <c r="EC46" s="210"/>
      <c r="ED46" s="534"/>
      <c r="EE46" s="534"/>
      <c r="EO46" s="49"/>
      <c r="EP46" s="210"/>
      <c r="EQ46" s="534"/>
      <c r="ER46" s="534"/>
      <c r="FB46" s="49"/>
      <c r="FC46" s="210"/>
      <c r="FD46" s="534"/>
      <c r="FE46" s="534"/>
      <c r="FO46" s="49"/>
      <c r="FP46" s="210"/>
      <c r="FQ46" s="534"/>
      <c r="FR46" s="534"/>
      <c r="GB46" s="49"/>
      <c r="GC46" s="210"/>
      <c r="GD46" s="534"/>
      <c r="GE46" s="534"/>
      <c r="GO46" s="49"/>
      <c r="GP46" s="210"/>
      <c r="GQ46" s="534"/>
      <c r="GR46" s="534"/>
      <c r="HB46" s="49"/>
      <c r="HC46" s="210"/>
      <c r="HD46" s="534"/>
      <c r="HE46" s="534"/>
      <c r="HO46" s="49"/>
      <c r="HP46" s="210"/>
      <c r="HQ46" s="534"/>
      <c r="HR46" s="534"/>
      <c r="IB46" s="49"/>
      <c r="IC46" s="210"/>
      <c r="ID46" s="534"/>
      <c r="IE46" s="534"/>
      <c r="IO46" s="49"/>
      <c r="IP46" s="210"/>
      <c r="IQ46" s="534"/>
      <c r="IR46" s="534"/>
      <c r="JB46" s="49"/>
      <c r="JC46" s="210"/>
      <c r="JD46" s="534"/>
      <c r="JE46" s="534"/>
      <c r="JO46" s="49"/>
      <c r="JP46" s="210"/>
      <c r="JQ46" s="534"/>
      <c r="JR46" s="534"/>
      <c r="KB46" s="49"/>
      <c r="KC46" s="210"/>
      <c r="KD46" s="534"/>
      <c r="KE46" s="534"/>
      <c r="KO46" s="49"/>
      <c r="KP46" s="210"/>
      <c r="KQ46" s="534"/>
      <c r="KR46" s="534"/>
      <c r="LB46" s="49"/>
      <c r="LC46" s="210"/>
      <c r="LD46" s="534"/>
      <c r="LE46" s="534"/>
      <c r="LO46" s="49"/>
      <c r="LP46" s="210"/>
      <c r="LQ46" s="534"/>
      <c r="LR46" s="534"/>
      <c r="MB46" s="49"/>
      <c r="MC46" s="210"/>
      <c r="MD46" s="534"/>
      <c r="ME46" s="534"/>
      <c r="MO46" s="49"/>
      <c r="MP46" s="210"/>
      <c r="MQ46" s="534"/>
      <c r="MR46" s="534"/>
      <c r="NB46" s="49"/>
      <c r="NC46" s="210"/>
      <c r="ND46" s="534"/>
      <c r="NE46" s="534"/>
      <c r="NO46" s="49"/>
      <c r="NP46" s="210"/>
      <c r="NQ46" s="534"/>
      <c r="NR46" s="534"/>
    </row>
    <row r="47" spans="2:400" s="41" customFormat="1" x14ac:dyDescent="0.2">
      <c r="B47" s="49"/>
      <c r="C47" s="210"/>
      <c r="D47" s="534"/>
      <c r="E47" s="534"/>
      <c r="O47" s="49"/>
      <c r="P47" s="210"/>
      <c r="Q47" s="534"/>
      <c r="R47" s="534"/>
      <c r="AB47" s="49"/>
      <c r="AC47" s="210"/>
      <c r="AD47" s="534"/>
      <c r="AE47" s="534"/>
      <c r="AO47" s="49"/>
      <c r="AP47" s="210"/>
      <c r="AQ47" s="534"/>
      <c r="AR47" s="534"/>
      <c r="BB47" s="49"/>
      <c r="BC47" s="210"/>
      <c r="BD47" s="534"/>
      <c r="BE47" s="534"/>
      <c r="BO47" s="49"/>
      <c r="BP47" s="210"/>
      <c r="BQ47" s="534"/>
      <c r="BR47" s="534"/>
      <c r="CB47" s="49"/>
      <c r="CC47" s="210"/>
      <c r="CD47" s="534"/>
      <c r="CE47" s="534"/>
      <c r="CO47" s="49"/>
      <c r="CP47" s="210"/>
      <c r="CQ47" s="534"/>
      <c r="CR47" s="534"/>
      <c r="DB47" s="49"/>
      <c r="DC47" s="210"/>
      <c r="DD47" s="534"/>
      <c r="DE47" s="534"/>
      <c r="DO47" s="49"/>
      <c r="DP47" s="210"/>
      <c r="DQ47" s="534"/>
      <c r="DR47" s="534"/>
      <c r="EB47" s="49"/>
      <c r="EC47" s="210"/>
      <c r="ED47" s="534"/>
      <c r="EE47" s="534"/>
      <c r="EO47" s="49"/>
      <c r="EP47" s="210"/>
      <c r="EQ47" s="534"/>
      <c r="ER47" s="534"/>
      <c r="FB47" s="49"/>
      <c r="FC47" s="210"/>
      <c r="FD47" s="534"/>
      <c r="FE47" s="534"/>
      <c r="FO47" s="49"/>
      <c r="FP47" s="210"/>
      <c r="FQ47" s="534"/>
      <c r="FR47" s="534"/>
      <c r="GB47" s="49"/>
      <c r="GC47" s="210"/>
      <c r="GD47" s="534"/>
      <c r="GE47" s="534"/>
      <c r="GO47" s="49"/>
      <c r="GP47" s="210"/>
      <c r="GQ47" s="534"/>
      <c r="GR47" s="534"/>
      <c r="HB47" s="49"/>
      <c r="HC47" s="210"/>
      <c r="HD47" s="534"/>
      <c r="HE47" s="534"/>
      <c r="HO47" s="49"/>
      <c r="HP47" s="210"/>
      <c r="HQ47" s="534"/>
      <c r="HR47" s="534"/>
      <c r="IB47" s="49"/>
      <c r="IC47" s="210"/>
      <c r="ID47" s="534"/>
      <c r="IE47" s="534"/>
      <c r="IO47" s="49"/>
      <c r="IP47" s="210"/>
      <c r="IQ47" s="534"/>
      <c r="IR47" s="534"/>
      <c r="JB47" s="49"/>
      <c r="JC47" s="210"/>
      <c r="JD47" s="534"/>
      <c r="JE47" s="534"/>
      <c r="JO47" s="49"/>
      <c r="JP47" s="210"/>
      <c r="JQ47" s="534"/>
      <c r="JR47" s="534"/>
      <c r="KB47" s="49"/>
      <c r="KC47" s="210"/>
      <c r="KD47" s="534"/>
      <c r="KE47" s="534"/>
      <c r="KO47" s="49"/>
      <c r="KP47" s="210"/>
      <c r="KQ47" s="534"/>
      <c r="KR47" s="534"/>
      <c r="LB47" s="49"/>
      <c r="LC47" s="210"/>
      <c r="LD47" s="534"/>
      <c r="LE47" s="534"/>
      <c r="LO47" s="49"/>
      <c r="LP47" s="210"/>
      <c r="LQ47" s="534"/>
      <c r="LR47" s="534"/>
      <c r="MB47" s="49"/>
      <c r="MC47" s="210"/>
      <c r="MD47" s="534"/>
      <c r="ME47" s="534"/>
      <c r="MO47" s="49"/>
      <c r="MP47" s="210"/>
      <c r="MQ47" s="534"/>
      <c r="MR47" s="534"/>
      <c r="NB47" s="49"/>
      <c r="NC47" s="210"/>
      <c r="ND47" s="534"/>
      <c r="NE47" s="534"/>
      <c r="NO47" s="49"/>
      <c r="NP47" s="210"/>
      <c r="NQ47" s="534"/>
      <c r="NR47" s="534"/>
    </row>
    <row r="48" spans="2:400" s="41" customFormat="1" x14ac:dyDescent="0.2">
      <c r="B48" s="49"/>
      <c r="C48" s="210"/>
      <c r="D48" s="534"/>
      <c r="E48" s="534"/>
      <c r="O48" s="49"/>
      <c r="P48" s="210"/>
      <c r="Q48" s="534"/>
      <c r="R48" s="534"/>
      <c r="AB48" s="49"/>
      <c r="AC48" s="210"/>
      <c r="AD48" s="534"/>
      <c r="AE48" s="534"/>
      <c r="AO48" s="49"/>
      <c r="AP48" s="210"/>
      <c r="AQ48" s="534"/>
      <c r="AR48" s="534"/>
      <c r="BB48" s="49"/>
      <c r="BC48" s="210"/>
      <c r="BD48" s="534"/>
      <c r="BE48" s="534"/>
      <c r="BO48" s="49"/>
      <c r="BP48" s="210"/>
      <c r="BQ48" s="534"/>
      <c r="BR48" s="534"/>
      <c r="CB48" s="49"/>
      <c r="CC48" s="210"/>
      <c r="CD48" s="534"/>
      <c r="CE48" s="534"/>
      <c r="CO48" s="49"/>
      <c r="CP48" s="210"/>
      <c r="CQ48" s="534"/>
      <c r="CR48" s="534"/>
      <c r="DB48" s="49"/>
      <c r="DC48" s="210"/>
      <c r="DD48" s="534"/>
      <c r="DE48" s="534"/>
      <c r="DO48" s="49"/>
      <c r="DP48" s="210"/>
      <c r="DQ48" s="534"/>
      <c r="DR48" s="534"/>
      <c r="EB48" s="49"/>
      <c r="EC48" s="210"/>
      <c r="ED48" s="534"/>
      <c r="EE48" s="534"/>
      <c r="EO48" s="49"/>
      <c r="EP48" s="210"/>
      <c r="EQ48" s="534"/>
      <c r="ER48" s="534"/>
      <c r="FB48" s="49"/>
      <c r="FC48" s="210"/>
      <c r="FD48" s="534"/>
      <c r="FE48" s="534"/>
      <c r="FO48" s="49"/>
      <c r="FP48" s="210"/>
      <c r="FQ48" s="534"/>
      <c r="FR48" s="534"/>
      <c r="GB48" s="49"/>
      <c r="GC48" s="210"/>
      <c r="GD48" s="534"/>
      <c r="GE48" s="534"/>
      <c r="GO48" s="49"/>
      <c r="GP48" s="210"/>
      <c r="GQ48" s="534"/>
      <c r="GR48" s="534"/>
      <c r="HB48" s="49"/>
      <c r="HC48" s="210"/>
      <c r="HD48" s="534"/>
      <c r="HE48" s="534"/>
      <c r="HO48" s="49"/>
      <c r="HP48" s="210"/>
      <c r="HQ48" s="534"/>
      <c r="HR48" s="534"/>
      <c r="IB48" s="49"/>
      <c r="IC48" s="210"/>
      <c r="ID48" s="534"/>
      <c r="IE48" s="534"/>
      <c r="IO48" s="49"/>
      <c r="IP48" s="210"/>
      <c r="IQ48" s="534"/>
      <c r="IR48" s="534"/>
      <c r="JB48" s="49"/>
      <c r="JC48" s="210"/>
      <c r="JD48" s="534"/>
      <c r="JE48" s="534"/>
      <c r="JO48" s="49"/>
      <c r="JP48" s="210"/>
      <c r="JQ48" s="534"/>
      <c r="JR48" s="534"/>
      <c r="KB48" s="49"/>
      <c r="KC48" s="210"/>
      <c r="KD48" s="534"/>
      <c r="KE48" s="534"/>
      <c r="KO48" s="49"/>
      <c r="KP48" s="210"/>
      <c r="KQ48" s="534"/>
      <c r="KR48" s="534"/>
      <c r="LB48" s="49"/>
      <c r="LC48" s="210"/>
      <c r="LD48" s="534"/>
      <c r="LE48" s="534"/>
      <c r="LO48" s="49"/>
      <c r="LP48" s="210"/>
      <c r="LQ48" s="534"/>
      <c r="LR48" s="534"/>
      <c r="MB48" s="49"/>
      <c r="MC48" s="210"/>
      <c r="MD48" s="534"/>
      <c r="ME48" s="534"/>
      <c r="MO48" s="49"/>
      <c r="MP48" s="210"/>
      <c r="MQ48" s="534"/>
      <c r="MR48" s="534"/>
      <c r="NB48" s="49"/>
      <c r="NC48" s="210"/>
      <c r="ND48" s="534"/>
      <c r="NE48" s="534"/>
      <c r="NO48" s="49"/>
      <c r="NP48" s="210"/>
      <c r="NQ48" s="534"/>
      <c r="NR48" s="534"/>
    </row>
    <row r="49" spans="1:393" s="41" customFormat="1" ht="14.25" x14ac:dyDescent="0.2">
      <c r="B49" s="32"/>
      <c r="O49" s="32"/>
      <c r="AB49" s="32"/>
      <c r="AO49" s="32"/>
      <c r="BB49" s="32"/>
      <c r="BO49" s="32"/>
      <c r="CB49" s="32"/>
      <c r="CO49" s="32"/>
      <c r="DB49" s="32"/>
      <c r="DO49" s="32"/>
      <c r="EB49" s="32"/>
      <c r="EO49" s="32"/>
      <c r="FB49" s="32"/>
      <c r="FO49" s="32"/>
      <c r="GB49" s="32"/>
      <c r="GO49" s="32"/>
      <c r="HB49" s="32"/>
      <c r="HO49" s="32"/>
      <c r="IB49" s="32"/>
      <c r="IO49" s="32"/>
      <c r="JB49" s="32"/>
      <c r="JO49" s="32"/>
      <c r="KB49" s="32"/>
      <c r="KO49" s="32"/>
      <c r="LB49" s="32"/>
      <c r="LO49" s="32"/>
      <c r="MB49" s="32"/>
      <c r="MO49" s="32"/>
      <c r="NB49" s="32"/>
      <c r="NO49" s="32"/>
    </row>
    <row r="50" spans="1:393" s="41" customFormat="1" ht="14.25" x14ac:dyDescent="0.2">
      <c r="B50" s="32"/>
      <c r="O50" s="32"/>
      <c r="AB50" s="32"/>
      <c r="AO50" s="32"/>
      <c r="BB50" s="32"/>
      <c r="BO50" s="32"/>
      <c r="CB50" s="32"/>
      <c r="CO50" s="32"/>
      <c r="DB50" s="32"/>
      <c r="DO50" s="32"/>
      <c r="EB50" s="32"/>
      <c r="EO50" s="32"/>
      <c r="FB50" s="32"/>
      <c r="FO50" s="32"/>
      <c r="GB50" s="32"/>
      <c r="GO50" s="32"/>
      <c r="HB50" s="32"/>
      <c r="HO50" s="32"/>
      <c r="IB50" s="32"/>
      <c r="IO50" s="32"/>
      <c r="JB50" s="32"/>
      <c r="JO50" s="32"/>
      <c r="KB50" s="32"/>
      <c r="KO50" s="32"/>
      <c r="LB50" s="32"/>
      <c r="LO50" s="32"/>
      <c r="MB50" s="32"/>
      <c r="MO50" s="32"/>
      <c r="NB50" s="32"/>
      <c r="NO50" s="32"/>
    </row>
    <row r="51" spans="1:393" s="41" customFormat="1" ht="74.25" customHeight="1" x14ac:dyDescent="0.2">
      <c r="B51" s="341" t="str">
        <f>IF(AND($H$12&gt;=1,$H$12&lt;&gt;"Please Select",I27=""),"Place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[.xlsx]).",IF(AND($H$12&gt;=1,$H$12&lt;&gt;"Please Select",I27&lt;&gt;""),"Place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51" s="341"/>
      <c r="D51" s="341"/>
      <c r="E51" s="341"/>
      <c r="F51" s="341"/>
      <c r="G51" s="341"/>
      <c r="H51" s="341"/>
      <c r="I51" s="341"/>
      <c r="J51" s="341"/>
      <c r="O51" s="341" t="str">
        <f>IF(AND($H$12&gt;=2,$H$12&lt;&gt;"Please Select",V27=""),"Place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[.xlsx]).",IF(AND($H$12&gt;=2,$H$12&lt;&gt;"Please Select",V27&lt;&gt;""),"Place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P51" s="341"/>
      <c r="Q51" s="341"/>
      <c r="R51" s="341"/>
      <c r="S51" s="341"/>
      <c r="T51" s="341"/>
      <c r="U51" s="341"/>
      <c r="V51" s="341"/>
      <c r="W51" s="341"/>
      <c r="AB51" s="341" t="str">
        <f>IF(AND($H$12&gt;=3,$H$12&lt;&gt;"Please Select",AI27=""),"Place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[.xlsx]).",IF(AND($H$12&gt;=3,$H$12&lt;&gt;"Please Select",AI27&lt;&gt;""),"Place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AC51" s="341"/>
      <c r="AD51" s="341"/>
      <c r="AE51" s="341"/>
      <c r="AF51" s="341"/>
      <c r="AG51" s="341"/>
      <c r="AH51" s="341"/>
      <c r="AI51" s="341"/>
      <c r="AJ51" s="341"/>
      <c r="AO51" s="341" t="str">
        <f>IF(AND($H$12&gt;=4,$H$12&lt;&gt;"Please Select",AV27=""),"Place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[.xlsx]).",IF(AND($H$12&gt;=4,$H$12&lt;&gt;"Please Select",AV27&lt;&gt;""),"Place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AP51" s="341"/>
      <c r="AQ51" s="341"/>
      <c r="AR51" s="341"/>
      <c r="AS51" s="341"/>
      <c r="AT51" s="341"/>
      <c r="AU51" s="341"/>
      <c r="AV51" s="341"/>
      <c r="AW51" s="341"/>
      <c r="BB51" s="341" t="str">
        <f>IF(AND($H$12&gt;=5,$H$12&lt;&gt;"Please Select",BI27=""),"Place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[.xlsx]).",IF(AND($H$12&gt;=5,$H$12&lt;&gt;"Please Select",BI27&lt;&gt;""),"Place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BC51" s="341"/>
      <c r="BD51" s="341"/>
      <c r="BE51" s="341"/>
      <c r="BF51" s="341"/>
      <c r="BG51" s="341"/>
      <c r="BH51" s="341"/>
      <c r="BI51" s="341"/>
      <c r="BJ51" s="341"/>
      <c r="BO51" s="341" t="str">
        <f>IF(AND($H$12&gt;=6,$H$12&lt;&gt;"Please Select",BV27=""),"Place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[.xlsx]).",IF(AND($H$12&gt;=6,$H$12&lt;&gt;"Please Select",BV27&lt;&gt;""),"Place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BP51" s="341"/>
      <c r="BQ51" s="341"/>
      <c r="BR51" s="341"/>
      <c r="BS51" s="341"/>
      <c r="BT51" s="341"/>
      <c r="BU51" s="341"/>
      <c r="BV51" s="341"/>
      <c r="BW51" s="341"/>
      <c r="CB51" s="341" t="str">
        <f>IF(AND($H$12&gt;=7,$H$12&lt;&gt;"Please Select",CI27=""),"Place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[.xlsx]).",IF(AND($H$12&gt;=7,$H$12&lt;&gt;"Please Select",CI27&lt;&gt;""),"Place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C51" s="341"/>
      <c r="CD51" s="341"/>
      <c r="CE51" s="341"/>
      <c r="CF51" s="341"/>
      <c r="CG51" s="341"/>
      <c r="CH51" s="341"/>
      <c r="CI51" s="341"/>
      <c r="CJ51" s="341"/>
      <c r="CO51" s="341" t="str">
        <f>IF(AND($H$12&gt;=8,$H$12&lt;&gt;"Please Select",CV27=""),"Place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[.xlsx]).",IF(AND($H$12&gt;=8,$H$12&lt;&gt;"Please Select",CV27&lt;&gt;""),"Place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P51" s="341"/>
      <c r="CQ51" s="341"/>
      <c r="CR51" s="341"/>
      <c r="CS51" s="341"/>
      <c r="CT51" s="341"/>
      <c r="CU51" s="341"/>
      <c r="CV51" s="341"/>
      <c r="CW51" s="341"/>
      <c r="DB51" s="341" t="str">
        <f>IF(AND($H$12&gt;=9,$H$12&lt;&gt;"Please Select",DI27=""),"Place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[.xlsx]).",IF(AND($H$12&gt;=9,$H$12&lt;&gt;"Please Select",DI27&lt;&gt;""),"Place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DC51" s="341"/>
      <c r="DD51" s="341"/>
      <c r="DE51" s="341"/>
      <c r="DF51" s="341"/>
      <c r="DG51" s="341"/>
      <c r="DH51" s="341"/>
      <c r="DI51" s="341"/>
      <c r="DJ51" s="341"/>
      <c r="DO51" s="341" t="str">
        <f>IF(AND($H$12&gt;=10,$H$12&lt;&gt;"Please Select",DV27=""),"Place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[.xlsx]).",IF(AND($H$12&gt;=10,$H$12&lt;&gt;"Please Select",DV27&lt;&gt;""),"Place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DP51" s="341"/>
      <c r="DQ51" s="341"/>
      <c r="DR51" s="341"/>
      <c r="DS51" s="341"/>
      <c r="DT51" s="341"/>
      <c r="DU51" s="341"/>
      <c r="DV51" s="341"/>
      <c r="DW51" s="341"/>
      <c r="EB51" s="341" t="str">
        <f>IF(AND($H$12&gt;=11,$H$12&lt;&gt;"Please Select",EI27=""),"Place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[.xlsx]).",IF(AND($H$12&gt;=11,$H$12&lt;&gt;"Please Select",EI27&lt;&gt;""),"Place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EC51" s="341"/>
      <c r="ED51" s="341"/>
      <c r="EE51" s="341"/>
      <c r="EF51" s="341"/>
      <c r="EG51" s="341"/>
      <c r="EH51" s="341"/>
      <c r="EI51" s="341"/>
      <c r="EJ51" s="341"/>
      <c r="EO51" s="341" t="str">
        <f>IF(AND($H$12&gt;=12,$H$12&lt;&gt;"Please Select",EV27=""),"Place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[.xlsx]).",IF(AND($H$12&gt;=12,$H$12&lt;&gt;"Please Select",EV27&lt;&gt;""),"Place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EP51" s="341"/>
      <c r="EQ51" s="341"/>
      <c r="ER51" s="341"/>
      <c r="ES51" s="341"/>
      <c r="ET51" s="341"/>
      <c r="EU51" s="341"/>
      <c r="EV51" s="341"/>
      <c r="EW51" s="341"/>
      <c r="FB51" s="341" t="str">
        <f>IF(AND($H$12&gt;=13,$H$12&lt;&gt;"Please Select",FI27=""),"Place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[.xlsx]).",IF(AND($H$12&gt;=13,$H$12&lt;&gt;"Please Select",FI27&lt;&gt;""),"Place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FC51" s="341"/>
      <c r="FD51" s="341"/>
      <c r="FE51" s="341"/>
      <c r="FF51" s="341"/>
      <c r="FG51" s="341"/>
      <c r="FH51" s="341"/>
      <c r="FI51" s="341"/>
      <c r="FJ51" s="341"/>
      <c r="FO51" s="341" t="str">
        <f>IF(AND($H$12&gt;=14,$H$12&lt;&gt;"Please Select",FV27=""),"Place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[.xlsx]).",IF(AND($H$12&gt;=14,$H$12&lt;&gt;"Please Select",FV27&lt;&gt;""),"Place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FP51" s="341"/>
      <c r="FQ51" s="341"/>
      <c r="FR51" s="341"/>
      <c r="FS51" s="341"/>
      <c r="FT51" s="341"/>
      <c r="FU51" s="341"/>
      <c r="FV51" s="341"/>
      <c r="FW51" s="341"/>
      <c r="GB51" s="341" t="str">
        <f>IF(AND($H$12&gt;=15,$H$12&lt;&gt;"Please Select",GI27=""),"Place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[.xlsx]).",IF(AND($H$12&gt;=15,$H$12&lt;&gt;"Please Select",GI27&lt;&gt;""),"Place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GC51" s="341"/>
      <c r="GD51" s="341"/>
      <c r="GE51" s="341"/>
      <c r="GF51" s="341"/>
      <c r="GG51" s="341"/>
      <c r="GH51" s="341"/>
      <c r="GI51" s="341"/>
      <c r="GJ51" s="341"/>
      <c r="GO51" s="341" t="str">
        <f>IF(AND($H$12&gt;=16,$H$12&lt;&gt;"Please Select",GV27=""),"Place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[.xlsx]).",IF(AND($H$12&gt;=16,$H$12&lt;&gt;"Please Select",GV27&lt;&gt;""),"Place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GP51" s="341"/>
      <c r="GQ51" s="341"/>
      <c r="GR51" s="341"/>
      <c r="GS51" s="341"/>
      <c r="GT51" s="341"/>
      <c r="GU51" s="341"/>
      <c r="GV51" s="341"/>
      <c r="GW51" s="341"/>
      <c r="HB51" s="341" t="str">
        <f>IF(AND($H$12&gt;=17,$H$12&lt;&gt;"Please Select",HI27=""),"Place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[.xlsx]).",IF(AND($H$12&gt;=17,$H$12&lt;&gt;"Please Select",HI27&lt;&gt;""),"Place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HC51" s="341"/>
      <c r="HD51" s="341"/>
      <c r="HE51" s="341"/>
      <c r="HF51" s="341"/>
      <c r="HG51" s="341"/>
      <c r="HH51" s="341"/>
      <c r="HI51" s="341"/>
      <c r="HJ51" s="341"/>
      <c r="HO51" s="341" t="str">
        <f>IF(AND($H$12&gt;=18,$H$12&lt;&gt;"Please Select",HV27=""),"Place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[.xlsx]).",IF(AND($H$12&gt;=18,$H$12&lt;&gt;"Please Select",HV27&lt;&gt;""),"Place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HP51" s="341"/>
      <c r="HQ51" s="341"/>
      <c r="HR51" s="341"/>
      <c r="HS51" s="341"/>
      <c r="HT51" s="341"/>
      <c r="HU51" s="341"/>
      <c r="HV51" s="341"/>
      <c r="HW51" s="341"/>
      <c r="IB51" s="341" t="str">
        <f>IF(AND($H$12&gt;=19,$H$12&lt;&gt;"Please Select",II27=""),"Place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[.xlsx]).",IF(AND($H$12&gt;=19,$H$12&lt;&gt;"Please Select",II27&lt;&gt;""),"Place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IC51" s="341"/>
      <c r="ID51" s="341"/>
      <c r="IE51" s="341"/>
      <c r="IF51" s="341"/>
      <c r="IG51" s="341"/>
      <c r="IH51" s="341"/>
      <c r="II51" s="341"/>
      <c r="IJ51" s="341"/>
      <c r="IO51" s="341" t="str">
        <f>IF(AND($H$12&gt;=20,$H$12&lt;&gt;"Please Select",IV27=""),"Place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[.xlsx]).",IF(AND($H$12&gt;=20,$H$12&lt;&gt;"Please Select",IV27&lt;&gt;""),"Place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IP51" s="341"/>
      <c r="IQ51" s="341"/>
      <c r="IR51" s="341"/>
      <c r="IS51" s="341"/>
      <c r="IT51" s="341"/>
      <c r="IU51" s="341"/>
      <c r="IV51" s="341"/>
      <c r="IW51" s="341"/>
      <c r="JB51" s="341" t="str">
        <f>IF(AND($H$12&gt;=21,$H$12&lt;&gt;"Please Select",JI27=""),"Place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[.xlsx]).",IF(AND($H$12&gt;=21,$H$12&lt;&gt;"Please Select",JI27&lt;&gt;""),"Place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JC51" s="341"/>
      <c r="JD51" s="341"/>
      <c r="JE51" s="341"/>
      <c r="JF51" s="341"/>
      <c r="JG51" s="341"/>
      <c r="JH51" s="341"/>
      <c r="JI51" s="341"/>
      <c r="JJ51" s="341"/>
      <c r="JO51" s="341" t="str">
        <f>IF(AND($H$12&gt;=22,$H$12&lt;&gt;"Please Select",JV27=""),"Place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[.xlsx]).",IF(AND($H$12&gt;=22,$H$12&lt;&gt;"Please Select",JV27&lt;&gt;""),"Place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JP51" s="341"/>
      <c r="JQ51" s="341"/>
      <c r="JR51" s="341"/>
      <c r="JS51" s="341"/>
      <c r="JT51" s="341"/>
      <c r="JU51" s="341"/>
      <c r="JV51" s="341"/>
      <c r="JW51" s="341"/>
      <c r="KB51" s="341" t="str">
        <f>IF(AND($H$12&gt;=23,$H$12&lt;&gt;"Please Select",KI27=""),"Place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[.xlsx]).",IF(AND($H$12&gt;=23,$H$12&lt;&gt;"Please Select",KI27&lt;&gt;""),"Place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KC51" s="341"/>
      <c r="KD51" s="341"/>
      <c r="KE51" s="341"/>
      <c r="KF51" s="341"/>
      <c r="KG51" s="341"/>
      <c r="KH51" s="341"/>
      <c r="KI51" s="341"/>
      <c r="KJ51" s="341"/>
      <c r="KO51" s="341" t="str">
        <f>IF(AND($H$12&gt;=24,$H$12&lt;&gt;"Please Select",KV27=""),"Place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[.xlsx]).",IF(AND($H$12&gt;=24,$H$12&lt;&gt;"Please Select",KV27&lt;&gt;""),"Place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KP51" s="341"/>
      <c r="KQ51" s="341"/>
      <c r="KR51" s="341"/>
      <c r="KS51" s="341"/>
      <c r="KT51" s="341"/>
      <c r="KU51" s="341"/>
      <c r="KV51" s="341"/>
      <c r="KW51" s="341"/>
      <c r="LB51" s="341" t="str">
        <f>IF(AND($H$12&gt;=25,$H$12&lt;&gt;"Please Select",LI27=""),"Place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[.xlsx]).",IF(AND($H$12&gt;=25,$H$12&lt;&gt;"Please Select",LI27&lt;&gt;""),"Place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LC51" s="341"/>
      <c r="LD51" s="341"/>
      <c r="LE51" s="341"/>
      <c r="LF51" s="341"/>
      <c r="LG51" s="341"/>
      <c r="LH51" s="341"/>
      <c r="LI51" s="341"/>
      <c r="LJ51" s="341"/>
      <c r="LO51" s="341" t="str">
        <f>IF(AND($H$12&gt;=26,$H$12&lt;&gt;"Please Select",LV27=""),"Place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[.xlsx]).",IF(AND($H$12&gt;=26,$H$12&lt;&gt;"Please Select",LV27&lt;&gt;""),"Place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LP51" s="341"/>
      <c r="LQ51" s="341"/>
      <c r="LR51" s="341"/>
      <c r="LS51" s="341"/>
      <c r="LT51" s="341"/>
      <c r="LU51" s="341"/>
      <c r="LV51" s="341"/>
      <c r="LW51" s="341"/>
      <c r="MB51" s="341" t="str">
        <f>IF(AND($H$12&gt;=27,$H$12&lt;&gt;"Please Select",MI27=""),"Place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[.xlsx]).",IF(AND($H$12&gt;=27,$H$12&lt;&gt;"Please Select",MI27&lt;&gt;""),"Place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MC51" s="341"/>
      <c r="MD51" s="341"/>
      <c r="ME51" s="341"/>
      <c r="MF51" s="341"/>
      <c r="MG51" s="341"/>
      <c r="MH51" s="341"/>
      <c r="MI51" s="341"/>
      <c r="MJ51" s="341"/>
      <c r="MO51" s="341" t="str">
        <f>IF(AND($H$12&gt;=28,$H$12&lt;&gt;"Please Select",MV27=""),"Place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[.xlsx]).",IF(AND($H$12&gt;=28,$H$12&lt;&gt;"Please Select",MV27&lt;&gt;""),"Place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MP51" s="341"/>
      <c r="MQ51" s="341"/>
      <c r="MR51" s="341"/>
      <c r="MS51" s="341"/>
      <c r="MT51" s="341"/>
      <c r="MU51" s="341"/>
      <c r="MV51" s="341"/>
      <c r="MW51" s="341"/>
      <c r="NB51" s="341" t="str">
        <f>IF(AND($H$12&gt;=29,$H$12&lt;&gt;"Please Select",NI27=""),"Place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[.xlsx]).",IF(AND($H$12&gt;=29,$H$12&lt;&gt;"Please Select",NI27&lt;&gt;""),"Place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NC51" s="341"/>
      <c r="ND51" s="341"/>
      <c r="NE51" s="341"/>
      <c r="NF51" s="341"/>
      <c r="NG51" s="341"/>
      <c r="NH51" s="341"/>
      <c r="NI51" s="341"/>
      <c r="NJ51" s="341"/>
      <c r="NO51" s="341" t="str">
        <f>IF(AND($H$12&gt;=30,$H$12&lt;&gt;"Please Select",NV27=""),"Place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[.xlsx]).",IF(AND($H$12&gt;=30,$H$12&lt;&gt;"Please Select",NV27&lt;&gt;""),"Place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NP51" s="341"/>
      <c r="NQ51" s="341"/>
      <c r="NR51" s="341"/>
      <c r="NS51" s="341"/>
      <c r="NT51" s="341"/>
      <c r="NU51" s="341"/>
      <c r="NV51" s="341"/>
      <c r="NW51" s="341"/>
    </row>
    <row r="52" spans="1:393" s="41" customFormat="1" ht="27" customHeight="1" x14ac:dyDescent="0.2">
      <c r="C52" s="88"/>
      <c r="E52" s="342" t="str">
        <f>IF(AND($H$12&gt;=1, $H$12&lt;&gt;"Please Select"),"            Exact Document Name:","")</f>
        <v/>
      </c>
      <c r="F52" s="342"/>
      <c r="G52" s="342"/>
      <c r="H52" s="342"/>
      <c r="I52" s="342"/>
      <c r="J52" s="342"/>
      <c r="P52" s="88"/>
      <c r="R52" s="342" t="str">
        <f>IF(AND($H$12&gt;=2, $H$12&lt;&gt;"Please Select"),"            Exact Document Name:","")</f>
        <v/>
      </c>
      <c r="S52" s="342"/>
      <c r="T52" s="342"/>
      <c r="U52" s="342"/>
      <c r="V52" s="342"/>
      <c r="W52" s="342"/>
      <c r="AC52" s="88"/>
      <c r="AE52" s="342" t="str">
        <f>IF(AND($H$12&gt;=3, $H$12&lt;&gt;"Please Select"),"            Exact Document Name:","")</f>
        <v/>
      </c>
      <c r="AF52" s="342"/>
      <c r="AG52" s="342"/>
      <c r="AH52" s="342"/>
      <c r="AI52" s="342"/>
      <c r="AJ52" s="342"/>
      <c r="AP52" s="88"/>
      <c r="AR52" s="342" t="str">
        <f>IF(AND($H$12&gt;=4, $H$12&lt;&gt;"Please Select"),"            Exact Document Name:","")</f>
        <v/>
      </c>
      <c r="AS52" s="342"/>
      <c r="AT52" s="342"/>
      <c r="AU52" s="342"/>
      <c r="AV52" s="342"/>
      <c r="AW52" s="342"/>
      <c r="BC52" s="88"/>
      <c r="BE52" s="342" t="str">
        <f>IF(AND($H$12&gt;=5, $H$12&lt;&gt;"Please Select"),"            Exact Document Name:","")</f>
        <v/>
      </c>
      <c r="BF52" s="342"/>
      <c r="BG52" s="342"/>
      <c r="BH52" s="342"/>
      <c r="BI52" s="342"/>
      <c r="BJ52" s="342"/>
      <c r="BP52" s="88"/>
      <c r="BR52" s="342" t="str">
        <f>IF(AND($H$12&gt;=6, $H$12&lt;&gt;"Please Select"),"            Exact Document Name:","")</f>
        <v/>
      </c>
      <c r="BS52" s="342"/>
      <c r="BT52" s="342"/>
      <c r="BU52" s="342"/>
      <c r="BV52" s="342"/>
      <c r="BW52" s="342"/>
      <c r="CC52" s="88"/>
      <c r="CE52" s="342" t="str">
        <f>IF(AND($H$12&gt;=7, $H$12&lt;&gt;"Please Select"),"            Exact Document Name:","")</f>
        <v/>
      </c>
      <c r="CF52" s="342"/>
      <c r="CG52" s="342"/>
      <c r="CH52" s="342"/>
      <c r="CI52" s="342"/>
      <c r="CJ52" s="342"/>
      <c r="CP52" s="88"/>
      <c r="CR52" s="342" t="str">
        <f>IF(AND($H$12&gt;=8, $H$12&lt;&gt;"Please Select"),"            Exact Document Name:","")</f>
        <v/>
      </c>
      <c r="CS52" s="342"/>
      <c r="CT52" s="342"/>
      <c r="CU52" s="342"/>
      <c r="CV52" s="342"/>
      <c r="CW52" s="342"/>
      <c r="DC52" s="88"/>
      <c r="DE52" s="342" t="str">
        <f>IF(AND($H$12&gt;=9, $H$12&lt;&gt;"Please Select"),"            Exact Document Name:","")</f>
        <v/>
      </c>
      <c r="DF52" s="342"/>
      <c r="DG52" s="342"/>
      <c r="DH52" s="342"/>
      <c r="DI52" s="342"/>
      <c r="DJ52" s="342"/>
      <c r="DP52" s="88"/>
      <c r="DR52" s="342" t="str">
        <f>IF(AND($H$12&gt;=10, $H$12&lt;&gt;"Please Select"),"            Exact Document Name:","")</f>
        <v/>
      </c>
      <c r="DS52" s="342"/>
      <c r="DT52" s="342"/>
      <c r="DU52" s="342"/>
      <c r="DV52" s="342"/>
      <c r="DW52" s="342"/>
      <c r="EC52" s="88"/>
      <c r="EE52" s="342" t="str">
        <f>IF(AND($H$12&gt;=11, $H$12&lt;&gt;"Please Select"),"            Exact Document Name:","")</f>
        <v/>
      </c>
      <c r="EF52" s="342"/>
      <c r="EG52" s="342"/>
      <c r="EH52" s="342"/>
      <c r="EI52" s="342"/>
      <c r="EJ52" s="342"/>
      <c r="EP52" s="88"/>
      <c r="ER52" s="342" t="str">
        <f>IF(AND($H$12&gt;=12, $H$12&lt;&gt;"Please Select"),"            Exact Document Name:","")</f>
        <v/>
      </c>
      <c r="ES52" s="342"/>
      <c r="ET52" s="342"/>
      <c r="EU52" s="342"/>
      <c r="EV52" s="342"/>
      <c r="EW52" s="342"/>
      <c r="FC52" s="88"/>
      <c r="FE52" s="342" t="str">
        <f>IF(AND($H$12&gt;=13, $H$12&lt;&gt;"Please Select"),"            Exact Document Name:","")</f>
        <v/>
      </c>
      <c r="FF52" s="342"/>
      <c r="FG52" s="342"/>
      <c r="FH52" s="342"/>
      <c r="FI52" s="342"/>
      <c r="FJ52" s="342"/>
      <c r="FP52" s="88"/>
      <c r="FR52" s="342" t="str">
        <f>IF(AND($H$12&gt;=14, $H$12&lt;&gt;"Please Select"),"            Exact Document Name:","")</f>
        <v/>
      </c>
      <c r="FS52" s="342"/>
      <c r="FT52" s="342"/>
      <c r="FU52" s="342"/>
      <c r="FV52" s="342"/>
      <c r="FW52" s="342"/>
      <c r="GC52" s="88"/>
      <c r="GE52" s="342" t="str">
        <f>IF(AND($H$12&gt;=15, $H$12&lt;&gt;"Please Select"),"            Exact Document Name:","")</f>
        <v/>
      </c>
      <c r="GF52" s="342"/>
      <c r="GG52" s="342"/>
      <c r="GH52" s="342"/>
      <c r="GI52" s="342"/>
      <c r="GJ52" s="342"/>
      <c r="GP52" s="88"/>
      <c r="GR52" s="342" t="str">
        <f>IF(AND($H$12&gt;=16, $H$12&lt;&gt;"Please Select"),"            Exact Document Name:","")</f>
        <v/>
      </c>
      <c r="GS52" s="342"/>
      <c r="GT52" s="342"/>
      <c r="GU52" s="342"/>
      <c r="GV52" s="342"/>
      <c r="GW52" s="342"/>
      <c r="HC52" s="88"/>
      <c r="HE52" s="342" t="str">
        <f>IF(AND($H$12&gt;=17, $H$12&lt;&gt;"Please Select"),"            Exact Document Name:","")</f>
        <v/>
      </c>
      <c r="HF52" s="342"/>
      <c r="HG52" s="342"/>
      <c r="HH52" s="342"/>
      <c r="HI52" s="342"/>
      <c r="HJ52" s="342"/>
      <c r="HP52" s="88"/>
      <c r="HR52" s="342" t="str">
        <f>IF(AND($H$12&gt;=18, $H$12&lt;&gt;"Please Select"),"            Exact Document Name:","")</f>
        <v/>
      </c>
      <c r="HS52" s="342"/>
      <c r="HT52" s="342"/>
      <c r="HU52" s="342"/>
      <c r="HV52" s="342"/>
      <c r="HW52" s="342"/>
      <c r="IC52" s="88"/>
      <c r="IE52" s="342" t="str">
        <f>IF(AND($H$12&gt;=19, $H$12&lt;&gt;"Please Select"),"            Exact Document Name:","")</f>
        <v/>
      </c>
      <c r="IF52" s="342"/>
      <c r="IG52" s="342"/>
      <c r="IH52" s="342"/>
      <c r="II52" s="342"/>
      <c r="IJ52" s="342"/>
      <c r="IP52" s="88"/>
      <c r="IR52" s="342" t="str">
        <f>IF(AND($H$12&gt;=20, $H$12&lt;&gt;"Please Select"),"            Exact Document Name:","")</f>
        <v/>
      </c>
      <c r="IS52" s="342"/>
      <c r="IT52" s="342"/>
      <c r="IU52" s="342"/>
      <c r="IV52" s="342"/>
      <c r="IW52" s="342"/>
      <c r="JC52" s="88"/>
      <c r="JE52" s="342" t="str">
        <f>IF(AND($H$12&gt;=21, $H$12&lt;&gt;"Please Select"),"            Exact Document Name:","")</f>
        <v/>
      </c>
      <c r="JF52" s="342"/>
      <c r="JG52" s="342"/>
      <c r="JH52" s="342"/>
      <c r="JI52" s="342"/>
      <c r="JJ52" s="342"/>
      <c r="JP52" s="88"/>
      <c r="JR52" s="342" t="str">
        <f>IF(AND($H$12&gt;=22, $H$12&lt;&gt;"Please Select"),"            Exact Document Name:","")</f>
        <v/>
      </c>
      <c r="JS52" s="342"/>
      <c r="JT52" s="342"/>
      <c r="JU52" s="342"/>
      <c r="JV52" s="342"/>
      <c r="JW52" s="342"/>
      <c r="KC52" s="88"/>
      <c r="KE52" s="342" t="str">
        <f>IF(AND($H$12&gt;=23, $H$12&lt;&gt;"Please Select"),"            Exact Document Name:","")</f>
        <v/>
      </c>
      <c r="KF52" s="342"/>
      <c r="KG52" s="342"/>
      <c r="KH52" s="342"/>
      <c r="KI52" s="342"/>
      <c r="KJ52" s="342"/>
      <c r="KP52" s="88"/>
      <c r="KR52" s="342" t="str">
        <f>IF(AND($H$12&gt;=24, $H$12&lt;&gt;"Please Select"),"            Exact Document Name:","")</f>
        <v/>
      </c>
      <c r="KS52" s="342"/>
      <c r="KT52" s="342"/>
      <c r="KU52" s="342"/>
      <c r="KV52" s="342"/>
      <c r="KW52" s="342"/>
      <c r="LC52" s="88"/>
      <c r="LE52" s="342" t="str">
        <f>IF(AND($H$12&gt;=25, $H$12&lt;&gt;"Please Select"),"            Exact Document Name:","")</f>
        <v/>
      </c>
      <c r="LF52" s="342"/>
      <c r="LG52" s="342"/>
      <c r="LH52" s="342"/>
      <c r="LI52" s="342"/>
      <c r="LJ52" s="342"/>
      <c r="LP52" s="88"/>
      <c r="LR52" s="342" t="str">
        <f>IF(AND($H$12&gt;=26, $H$12&lt;&gt;"Please Select"),"            Exact Document Name:","")</f>
        <v/>
      </c>
      <c r="LS52" s="342"/>
      <c r="LT52" s="342"/>
      <c r="LU52" s="342"/>
      <c r="LV52" s="342"/>
      <c r="LW52" s="342"/>
      <c r="MC52" s="88"/>
      <c r="ME52" s="342" t="str">
        <f>IF(AND($H$12&gt;=27, $H$12&lt;&gt;"Please Select"),"            Exact Document Name:","")</f>
        <v/>
      </c>
      <c r="MF52" s="342"/>
      <c r="MG52" s="342"/>
      <c r="MH52" s="342"/>
      <c r="MI52" s="342"/>
      <c r="MJ52" s="342"/>
      <c r="MP52" s="88"/>
      <c r="MR52" s="342" t="str">
        <f>IF(AND($H$12&gt;=28, $H$12&lt;&gt;"Please Select"),"            Exact Document Name:","")</f>
        <v/>
      </c>
      <c r="MS52" s="342"/>
      <c r="MT52" s="342"/>
      <c r="MU52" s="342"/>
      <c r="MV52" s="342"/>
      <c r="MW52" s="342"/>
      <c r="NC52" s="88"/>
      <c r="NE52" s="342" t="str">
        <f>IF(AND($H$12&gt;=29, $H$12&lt;&gt;"Please Select"),"            Exact Document Name:","")</f>
        <v/>
      </c>
      <c r="NF52" s="342"/>
      <c r="NG52" s="342"/>
      <c r="NH52" s="342"/>
      <c r="NI52" s="342"/>
      <c r="NJ52" s="342"/>
      <c r="NP52" s="88"/>
      <c r="NR52" s="342" t="str">
        <f>IF(AND($H$12&gt;=30, $H$12&lt;&gt;"Please Select"),"            Exact Document Name:","")</f>
        <v/>
      </c>
      <c r="NS52" s="342"/>
      <c r="NT52" s="342"/>
      <c r="NU52" s="342"/>
      <c r="NV52" s="342"/>
      <c r="NW52" s="342"/>
    </row>
    <row r="53" spans="1:393" s="41" customFormat="1" ht="29.25" customHeight="1" x14ac:dyDescent="0.2">
      <c r="B53" s="430" t="str">
        <f>IF(AND(E53&lt;&gt;"",E54&lt;&gt;""),"Automatic Links ====&gt;",IF(E53&lt;&gt;"","Automatic Link ====&gt;",""))</f>
        <v/>
      </c>
      <c r="C53" s="430"/>
      <c r="E53" s="342" t="str">
        <f>IF(AND($H$12&gt;=1, $H$12&lt;&gt;"Please Select"),"                                            21 Clinical Affiliate 01","")</f>
        <v/>
      </c>
      <c r="F53" s="342"/>
      <c r="G53" s="342"/>
      <c r="H53" s="342"/>
      <c r="I53" s="342"/>
      <c r="J53" s="342"/>
      <c r="O53" s="430" t="str">
        <f>IF(AND(R53&lt;&gt;"",R54&lt;&gt;""),"Automatic Links ====&gt;",IF(R53&lt;&gt;"","Automatic Link ====&gt;",""))</f>
        <v/>
      </c>
      <c r="P53" s="430"/>
      <c r="R53" s="342" t="str">
        <f>IF(AND($H$12&gt;=2, $H$12&lt;&gt;"Please Select"),"                                            21 Clinical Affiliate 02","")</f>
        <v/>
      </c>
      <c r="S53" s="342"/>
      <c r="T53" s="342"/>
      <c r="U53" s="342"/>
      <c r="V53" s="342"/>
      <c r="W53" s="342"/>
      <c r="AB53" s="430" t="str">
        <f>IF(AND(AE53&lt;&gt;"",AE54&lt;&gt;""),"Automatic Links ====&gt;",IF(AND(AE53&lt;&gt;"",AE54=""),"Automatic Link ====&gt;",""))</f>
        <v/>
      </c>
      <c r="AC53" s="430"/>
      <c r="AE53" s="342" t="str">
        <f>IF(AND($H$12&gt;=3, $H$12&lt;&gt;"Please Select"),"                                            21 Clinical Affiliate 03","")</f>
        <v/>
      </c>
      <c r="AF53" s="342"/>
      <c r="AG53" s="342"/>
      <c r="AH53" s="342"/>
      <c r="AI53" s="342"/>
      <c r="AJ53" s="342"/>
      <c r="AO53" s="430" t="str">
        <f>IF(AND(AR53&lt;&gt;"",AR54&lt;&gt;""),"Automatic Links ====&gt;",IF(AND(AR53&lt;&gt;"",AR54=""),"Automatic Link ====&gt;",""))</f>
        <v/>
      </c>
      <c r="AP53" s="430"/>
      <c r="AR53" s="342" t="str">
        <f>IF(AND($H$12&gt;=4, $H$12&lt;&gt;"Please Select"),"                                            21 Clinical Affiliate 04","")</f>
        <v/>
      </c>
      <c r="AS53" s="342"/>
      <c r="AT53" s="342"/>
      <c r="AU53" s="342"/>
      <c r="AV53" s="342"/>
      <c r="AW53" s="342"/>
      <c r="BB53" s="430" t="str">
        <f>IF(AND(BE53&lt;&gt;"",BE54&lt;&gt;""),"Automatic Links ====&gt;",IF(AND(BE53&lt;&gt;"",BE54=""),"Automatic Link ====&gt;",""))</f>
        <v/>
      </c>
      <c r="BC53" s="430"/>
      <c r="BE53" s="342" t="str">
        <f>IF(AND($H$12&gt;=5, $H$12&lt;&gt;"Please Select"),"                                            21 Clinical Affiliate 05","")</f>
        <v/>
      </c>
      <c r="BF53" s="342"/>
      <c r="BG53" s="342"/>
      <c r="BH53" s="342"/>
      <c r="BI53" s="342"/>
      <c r="BJ53" s="342"/>
      <c r="BO53" s="430" t="str">
        <f>IF(AND(BR53&lt;&gt;"",BR54&lt;&gt;""),"Automatic Links ====&gt;",IF(AND(BR53&lt;&gt;"",BR54=""),"Automatic Link ====&gt;",""))</f>
        <v/>
      </c>
      <c r="BP53" s="430"/>
      <c r="BR53" s="342" t="str">
        <f>IF(AND($H$12&gt;=6, $H$12&lt;&gt;"Please Select"),"                                            21 Clinical Affiliate 06","")</f>
        <v/>
      </c>
      <c r="BS53" s="342"/>
      <c r="BT53" s="342"/>
      <c r="BU53" s="342"/>
      <c r="BV53" s="342"/>
      <c r="BW53" s="342"/>
      <c r="CB53" s="430" t="str">
        <f>IF(AND(CE53&lt;&gt;"",CE54&lt;&gt;""),"Automatic Links ====&gt;",IF(AND(CE53&lt;&gt;"",CE54=""),"Automatic Link ====&gt;",""))</f>
        <v/>
      </c>
      <c r="CC53" s="430"/>
      <c r="CE53" s="342" t="str">
        <f>IF(AND($H$12&gt;=7, $H$12&lt;&gt;"Please Select"),"                                            21 Clinical Affiliate 07","")</f>
        <v/>
      </c>
      <c r="CF53" s="342"/>
      <c r="CG53" s="342"/>
      <c r="CH53" s="342"/>
      <c r="CI53" s="342"/>
      <c r="CJ53" s="342"/>
      <c r="CO53" s="430" t="str">
        <f>IF(AND(CR53&lt;&gt;"",CR54&lt;&gt;""),"Automatic Links ====&gt;",IF(AND(CR53&lt;&gt;"",CR54=""),"Automatic Link ====&gt;",""))</f>
        <v/>
      </c>
      <c r="CP53" s="430"/>
      <c r="CR53" s="342" t="str">
        <f>IF(AND($H$12&gt;=8, $H$12&lt;&gt;"Please Select"),"                                            21 Clinical Affiliate 08","")</f>
        <v/>
      </c>
      <c r="CS53" s="342"/>
      <c r="CT53" s="342"/>
      <c r="CU53" s="342"/>
      <c r="CV53" s="342"/>
      <c r="CW53" s="342"/>
      <c r="DB53" s="430" t="str">
        <f>IF(AND(DE53&lt;&gt;"",DE54&lt;&gt;""),"Automatic Links ====&gt;",IF(AND(DE53&lt;&gt;"",DE54=""),"Automatic Link ====&gt;",""))</f>
        <v/>
      </c>
      <c r="DC53" s="430"/>
      <c r="DE53" s="342" t="str">
        <f>IF(AND($H$12&gt;=9, $H$12&lt;&gt;"Please Select"),"                                            21 Clinical Affiliate 09","")</f>
        <v/>
      </c>
      <c r="DF53" s="342"/>
      <c r="DG53" s="342"/>
      <c r="DH53" s="342"/>
      <c r="DI53" s="342"/>
      <c r="DJ53" s="342"/>
      <c r="DO53" s="430" t="str">
        <f>IF(AND(DR53&lt;&gt;"",DR54&lt;&gt;""),"Automatic Links ====&gt;",IF(AND(DR53&lt;&gt;"",DR54=""),"Automatic Link ====&gt;",""))</f>
        <v/>
      </c>
      <c r="DP53" s="430"/>
      <c r="DR53" s="342" t="str">
        <f>IF(AND($H$12&gt;=10, $H$12&lt;&gt;"Please Select"),"                                            21 Clinical Affiliate 10","")</f>
        <v/>
      </c>
      <c r="DS53" s="342"/>
      <c r="DT53" s="342"/>
      <c r="DU53" s="342"/>
      <c r="DV53" s="342"/>
      <c r="DW53" s="342"/>
      <c r="EB53" s="430" t="str">
        <f>IF(AND(EE53&lt;&gt;"",EE54&lt;&gt;""),"Automatic Links ====&gt;",IF(AND(EE53&lt;&gt;"",EE54=""),"Automatic Link ====&gt;",""))</f>
        <v/>
      </c>
      <c r="EC53" s="430"/>
      <c r="EE53" s="342" t="str">
        <f>IF(AND($H$12&gt;=11, $H$12&lt;&gt;"Please Select"),"                                            21 Clinical Affiliate 11","")</f>
        <v/>
      </c>
      <c r="EF53" s="342"/>
      <c r="EG53" s="342"/>
      <c r="EH53" s="342"/>
      <c r="EI53" s="342"/>
      <c r="EJ53" s="342"/>
      <c r="EO53" s="430" t="str">
        <f>IF(AND(ER53&lt;&gt;"",ER54&lt;&gt;""),"Automatic Links ====&gt;",IF(AND(ER53&lt;&gt;"",ER54=""),"Automatic Link ====&gt;",""))</f>
        <v/>
      </c>
      <c r="EP53" s="430"/>
      <c r="ER53" s="342" t="str">
        <f>IF(AND($H$12&gt;=12, $H$12&lt;&gt;"Please Select"),"                                            21 Clinical Affiliate 12","")</f>
        <v/>
      </c>
      <c r="ES53" s="342"/>
      <c r="ET53" s="342"/>
      <c r="EU53" s="342"/>
      <c r="EV53" s="342"/>
      <c r="EW53" s="342"/>
      <c r="FB53" s="430" t="str">
        <f>IF(AND(FE53&lt;&gt;"",FE54&lt;&gt;""),"Automatic Links ====&gt;",IF(AND(FE53&lt;&gt;"",FE54=""),"Automatic Link ====&gt;",""))</f>
        <v/>
      </c>
      <c r="FC53" s="430"/>
      <c r="FE53" s="342" t="str">
        <f>IF(AND($H$12&gt;=13, $H$12&lt;&gt;"Please Select"),"                                            21 Clinical Affiliate 13","")</f>
        <v/>
      </c>
      <c r="FF53" s="342"/>
      <c r="FG53" s="342"/>
      <c r="FH53" s="342"/>
      <c r="FI53" s="342"/>
      <c r="FJ53" s="342"/>
      <c r="FO53" s="430" t="str">
        <f>IF(AND(FR53&lt;&gt;"",FR54&lt;&gt;""),"Automatic Links ====&gt;",IF(AND(FR53&lt;&gt;"",FR54=""),"Automatic Link ====&gt;",""))</f>
        <v/>
      </c>
      <c r="FP53" s="430"/>
      <c r="FR53" s="342" t="str">
        <f>IF(AND($H$12&gt;=14, $H$12&lt;&gt;"Please Select"),"                                            21 Clinical Affiliate 14","")</f>
        <v/>
      </c>
      <c r="FS53" s="342"/>
      <c r="FT53" s="342"/>
      <c r="FU53" s="342"/>
      <c r="FV53" s="342"/>
      <c r="FW53" s="342"/>
      <c r="GB53" s="430" t="str">
        <f>IF(AND(GE53&lt;&gt;"",GE54&lt;&gt;""),"Automatic Links ====&gt;",IF(AND(GE53&lt;&gt;"",GE54=""),"Automatic Link ====&gt;",""))</f>
        <v/>
      </c>
      <c r="GC53" s="430"/>
      <c r="GE53" s="342" t="str">
        <f>IF(AND($H$12&gt;=15, $H$12&lt;&gt;"Please Select"),"                                            21 Clinical Affiliate 15","")</f>
        <v/>
      </c>
      <c r="GF53" s="342"/>
      <c r="GG53" s="342"/>
      <c r="GH53" s="342"/>
      <c r="GI53" s="342"/>
      <c r="GJ53" s="342"/>
      <c r="GO53" s="430" t="str">
        <f>IF(AND(GR53&lt;&gt;"",GR54&lt;&gt;""),"Automatic Links ====&gt;",IF(AND(GR53&lt;&gt;"",GR54=""),"Automatic Link ====&gt;",""))</f>
        <v/>
      </c>
      <c r="GP53" s="430"/>
      <c r="GR53" s="342" t="str">
        <f>IF(AND($H$12&gt;=16, $H$12&lt;&gt;"Please Select"),"                                            21 Clinical Affiliate 16","")</f>
        <v/>
      </c>
      <c r="GS53" s="342"/>
      <c r="GT53" s="342"/>
      <c r="GU53" s="342"/>
      <c r="GV53" s="342"/>
      <c r="GW53" s="342"/>
      <c r="HB53" s="430" t="str">
        <f>IF(AND(HE53&lt;&gt;"",HE54&lt;&gt;""),"Automatic Links ====&gt;",IF(AND(HE53&lt;&gt;"",HE54=""),"Automatic Link ====&gt;",""))</f>
        <v/>
      </c>
      <c r="HC53" s="430"/>
      <c r="HE53" s="342" t="str">
        <f>IF(AND($H$12&gt;=17, $H$12&lt;&gt;"Please Select"),"                                            21 Clinical Affiliate 17","")</f>
        <v/>
      </c>
      <c r="HF53" s="342"/>
      <c r="HG53" s="342"/>
      <c r="HH53" s="342"/>
      <c r="HI53" s="342"/>
      <c r="HJ53" s="342"/>
      <c r="HO53" s="430" t="str">
        <f>IF(AND(HR53&lt;&gt;"",HR54&lt;&gt;""),"Automatic Links ====&gt;",IF(AND(HR53&lt;&gt;"",HR54=""),"Automatic Link ====&gt;",""))</f>
        <v/>
      </c>
      <c r="HP53" s="430"/>
      <c r="HR53" s="342" t="str">
        <f>IF(AND($H$12&gt;=18, $H$12&lt;&gt;"Please Select"),"                                            21 Clinical Affiliate 18","")</f>
        <v/>
      </c>
      <c r="HS53" s="342"/>
      <c r="HT53" s="342"/>
      <c r="HU53" s="342"/>
      <c r="HV53" s="342"/>
      <c r="HW53" s="342"/>
      <c r="IB53" s="430" t="str">
        <f>IF(AND(IE53&lt;&gt;"",IE54&lt;&gt;""),"Automatic Links ====&gt;",IF(AND(IE53&lt;&gt;"",IE54=""),"Automatic Link ====&gt;",""))</f>
        <v/>
      </c>
      <c r="IC53" s="430"/>
      <c r="IE53" s="342" t="str">
        <f>IF(AND($H$12&gt;=19, $H$12&lt;&gt;"Please Select"),"                                            21 Clinical Affiliate 19","")</f>
        <v/>
      </c>
      <c r="IF53" s="342"/>
      <c r="IG53" s="342"/>
      <c r="IH53" s="342"/>
      <c r="II53" s="342"/>
      <c r="IJ53" s="342"/>
      <c r="IO53" s="430" t="str">
        <f>IF(AND(IR53&lt;&gt;"",IR54&lt;&gt;""),"Automatic Links ====&gt;",IF(AND(IR53&lt;&gt;"",IR54=""),"Automatic Link ====&gt;",""))</f>
        <v/>
      </c>
      <c r="IP53" s="430"/>
      <c r="IR53" s="342" t="str">
        <f>IF(AND($H$12&gt;=20, $H$12&lt;&gt;"Please Select"),"                                            21 Clinical Affiliate 20","")</f>
        <v/>
      </c>
      <c r="IS53" s="342"/>
      <c r="IT53" s="342"/>
      <c r="IU53" s="342"/>
      <c r="IV53" s="342"/>
      <c r="IW53" s="342"/>
      <c r="JB53" s="430" t="str">
        <f>IF(AND(JE53&lt;&gt;"",JE54&lt;&gt;""),"Automatic Links ====&gt;",IF(AND(JE53&lt;&gt;"",JE54=""),"Automatic Link ====&gt;",""))</f>
        <v/>
      </c>
      <c r="JC53" s="430"/>
      <c r="JE53" s="342" t="str">
        <f>IF(AND($H$12&gt;=21, $H$12&lt;&gt;"Please Select"),"                                            21 Clinical Affiliate 21","")</f>
        <v/>
      </c>
      <c r="JF53" s="342"/>
      <c r="JG53" s="342"/>
      <c r="JH53" s="342"/>
      <c r="JI53" s="342"/>
      <c r="JJ53" s="342"/>
      <c r="JO53" s="430" t="str">
        <f>IF(AND(JR53&lt;&gt;"",JR54&lt;&gt;""),"Automatic Links ====&gt;",IF(AND(JR53&lt;&gt;"",JR54=""),"Automatic Link ====&gt;",""))</f>
        <v/>
      </c>
      <c r="JP53" s="430"/>
      <c r="JR53" s="342" t="str">
        <f>IF(AND($H$12&gt;=22, $H$12&lt;&gt;"Please Select"),"                                            21 Clinical Affiliate 22","")</f>
        <v/>
      </c>
      <c r="JS53" s="342"/>
      <c r="JT53" s="342"/>
      <c r="JU53" s="342"/>
      <c r="JV53" s="342"/>
      <c r="JW53" s="342"/>
      <c r="KB53" s="430" t="str">
        <f>IF(AND(KE53&lt;&gt;"",KE54&lt;&gt;""),"Automatic Links ====&gt;",IF(AND(KE53&lt;&gt;"",KE54=""),"Automatic Link ====&gt;",""))</f>
        <v/>
      </c>
      <c r="KC53" s="430"/>
      <c r="KE53" s="342" t="str">
        <f>IF(AND($H$12&gt;=23, $H$12&lt;&gt;"Please Select"),"                                            21 Clinical Affiliate 23","")</f>
        <v/>
      </c>
      <c r="KF53" s="342"/>
      <c r="KG53" s="342"/>
      <c r="KH53" s="342"/>
      <c r="KI53" s="342"/>
      <c r="KJ53" s="342"/>
      <c r="KO53" s="430" t="str">
        <f>IF(AND(KR53&lt;&gt;"",KR54&lt;&gt;""),"Automatic Links ====&gt;",IF(AND(KR53&lt;&gt;"",KR54=""),"Automatic Link ====&gt;",""))</f>
        <v/>
      </c>
      <c r="KP53" s="430"/>
      <c r="KR53" s="342" t="str">
        <f>IF(AND($H$12&gt;=24, $H$12&lt;&gt;"Please Select"),"                                            21 Clinical Affiliate 24","")</f>
        <v/>
      </c>
      <c r="KS53" s="342"/>
      <c r="KT53" s="342"/>
      <c r="KU53" s="342"/>
      <c r="KV53" s="342"/>
      <c r="KW53" s="342"/>
      <c r="LB53" s="430" t="str">
        <f>IF(AND(LE53&lt;&gt;"",LE54&lt;&gt;""),"Automatic Links ====&gt;",IF(AND(LE53&lt;&gt;"",LE54=""),"Automatic Link ====&gt;",""))</f>
        <v/>
      </c>
      <c r="LC53" s="430"/>
      <c r="LE53" s="342" t="str">
        <f>IF(AND($H$12&gt;=25, $H$12&lt;&gt;"Please Select"),"                                            21 Clinical Affiliate 25","")</f>
        <v/>
      </c>
      <c r="LF53" s="342"/>
      <c r="LG53" s="342"/>
      <c r="LH53" s="342"/>
      <c r="LI53" s="342"/>
      <c r="LJ53" s="342"/>
      <c r="LO53" s="430" t="str">
        <f>IF(AND(LR53&lt;&gt;"",LR54&lt;&gt;""),"Automatic Links ====&gt;",IF(AND(LR53&lt;&gt;"",LR54=""),"Automatic Link ====&gt;",""))</f>
        <v/>
      </c>
      <c r="LP53" s="430"/>
      <c r="LR53" s="342" t="str">
        <f>IF(AND($H$12&gt;=26, $H$12&lt;&gt;"Please Select"),"                                            21 Clinical Affiliate 26","")</f>
        <v/>
      </c>
      <c r="LS53" s="342"/>
      <c r="LT53" s="342"/>
      <c r="LU53" s="342"/>
      <c r="LV53" s="342"/>
      <c r="LW53" s="342"/>
      <c r="MB53" s="430" t="str">
        <f>IF(AND(ME53&lt;&gt;"",ME54&lt;&gt;""),"Automatic Links ====&gt;",IF(AND(ME53&lt;&gt;"",ME54=""),"Automatic Link ====&gt;",""))</f>
        <v/>
      </c>
      <c r="MC53" s="430"/>
      <c r="ME53" s="342" t="str">
        <f>IF(AND($H$12&gt;=27, $H$12&lt;&gt;"Please Select"),"                                            21 Clinical Affiliate 27","")</f>
        <v/>
      </c>
      <c r="MF53" s="342"/>
      <c r="MG53" s="342"/>
      <c r="MH53" s="342"/>
      <c r="MI53" s="342"/>
      <c r="MJ53" s="342"/>
      <c r="MO53" s="430" t="str">
        <f>IF(AND(MR53&lt;&gt;"",MR54&lt;&gt;""),"Automatic Links ====&gt;",IF(AND(MR53&lt;&gt;"",MR54=""),"Automatic Link ====&gt;",""))</f>
        <v/>
      </c>
      <c r="MP53" s="430"/>
      <c r="MR53" s="342" t="str">
        <f>IF(AND($H$12&gt;=28, $H$12&lt;&gt;"Please Select"),"                                            21 Clinical Affiliate 28","")</f>
        <v/>
      </c>
      <c r="MS53" s="342"/>
      <c r="MT53" s="342"/>
      <c r="MU53" s="342"/>
      <c r="MV53" s="342"/>
      <c r="MW53" s="342"/>
      <c r="NB53" s="430" t="str">
        <f>IF(AND(NE53&lt;&gt;"",NE54&lt;&gt;""),"Automatic Links ====&gt;",IF(AND(NE53&lt;&gt;"",NE54=""),"Automatic Link ====&gt;",""))</f>
        <v/>
      </c>
      <c r="NC53" s="430"/>
      <c r="NE53" s="342" t="str">
        <f>IF(AND($H$12&gt;=29, $H$12&lt;&gt;"Please Select"),"                                            21 Clinical Affiliate 29","")</f>
        <v/>
      </c>
      <c r="NF53" s="342"/>
      <c r="NG53" s="342"/>
      <c r="NH53" s="342"/>
      <c r="NI53" s="342"/>
      <c r="NJ53" s="342"/>
      <c r="NO53" s="430" t="str">
        <f>IF(AND(NR53&lt;&gt;"",NR54&lt;&gt;""),"Automatic Links ====&gt;",IF(AND(NR53&lt;&gt;"",NR54=""),"Automatic Link ====&gt;",""))</f>
        <v/>
      </c>
      <c r="NP53" s="430"/>
      <c r="NR53" s="342" t="str">
        <f>IF(AND($H$12&gt;=30, $H$12&lt;&gt;"Please Select"),"                                            21 Clinical Affiliate 30","")</f>
        <v/>
      </c>
      <c r="NS53" s="342"/>
      <c r="NT53" s="342"/>
      <c r="NU53" s="342"/>
      <c r="NV53" s="342"/>
      <c r="NW53" s="342"/>
    </row>
    <row r="54" spans="1:393" s="41" customFormat="1" ht="29.25" customHeight="1" x14ac:dyDescent="0.2">
      <c r="B54" s="343"/>
      <c r="C54" s="343"/>
      <c r="E54" s="342" t="str">
        <f>IF(AND($H$12&gt;=1, $H$12&lt;&gt;"Please Select",I27&lt;&gt;""),"                                            21 State Approval 01","")</f>
        <v/>
      </c>
      <c r="F54" s="342"/>
      <c r="G54" s="342"/>
      <c r="H54" s="342"/>
      <c r="I54" s="342"/>
      <c r="J54" s="342"/>
      <c r="O54" s="343"/>
      <c r="P54" s="343"/>
      <c r="R54" s="342" t="str">
        <f>IF(AND($H$12&gt;=2, $H$12&lt;&gt;"Please Select",V27&lt;&gt;""),"                                            21 State Approval 02","")</f>
        <v/>
      </c>
      <c r="S54" s="342"/>
      <c r="T54" s="342"/>
      <c r="U54" s="342"/>
      <c r="V54" s="342"/>
      <c r="W54" s="342"/>
      <c r="AB54" s="343"/>
      <c r="AC54" s="343"/>
      <c r="AE54" s="342" t="str">
        <f>IF(AND($H$12&gt;=3, $H$12&lt;&gt;"Please Select",AI27&lt;&gt;""),"                                            21 State Approval 03","")</f>
        <v/>
      </c>
      <c r="AF54" s="342"/>
      <c r="AG54" s="342"/>
      <c r="AH54" s="342"/>
      <c r="AI54" s="342"/>
      <c r="AJ54" s="342"/>
      <c r="AO54" s="343"/>
      <c r="AP54" s="343"/>
      <c r="AR54" s="342" t="str">
        <f>IF(AND($H$12&gt;=4, $H$12&lt;&gt;"Please Select",AV27&lt;&gt;""),"                                            21 State Approval 04","")</f>
        <v/>
      </c>
      <c r="AS54" s="342"/>
      <c r="AT54" s="342"/>
      <c r="AU54" s="342"/>
      <c r="AV54" s="342"/>
      <c r="AW54" s="342"/>
      <c r="BB54" s="343"/>
      <c r="BC54" s="343"/>
      <c r="BE54" s="342" t="str">
        <f>IF(AND($H$12&gt;=5, $H$12&lt;&gt;"Please Select",BI27&lt;&gt;""),"                                            21 State Approval 05","")</f>
        <v/>
      </c>
      <c r="BF54" s="342"/>
      <c r="BG54" s="342"/>
      <c r="BH54" s="342"/>
      <c r="BI54" s="342"/>
      <c r="BJ54" s="342"/>
      <c r="BO54" s="343"/>
      <c r="BP54" s="343"/>
      <c r="BR54" s="342" t="str">
        <f>IF(AND($H$12&gt;=6, $H$12&lt;&gt;"Please Select",BV27&lt;&gt;""),"                                            21 State Approval 06","")</f>
        <v/>
      </c>
      <c r="BS54" s="342"/>
      <c r="BT54" s="342"/>
      <c r="BU54" s="342"/>
      <c r="BV54" s="342"/>
      <c r="BW54" s="342"/>
      <c r="CB54" s="343"/>
      <c r="CC54" s="343"/>
      <c r="CE54" s="342" t="str">
        <f>IF(AND($H$12&gt;=7, $H$12&lt;&gt;"Please Select",CI27&lt;&gt;""),"                                            21 State Approval 07","")</f>
        <v/>
      </c>
      <c r="CF54" s="342"/>
      <c r="CG54" s="342"/>
      <c r="CH54" s="342"/>
      <c r="CI54" s="342"/>
      <c r="CJ54" s="342"/>
      <c r="CO54" s="343"/>
      <c r="CP54" s="343"/>
      <c r="CR54" s="342" t="str">
        <f>IF(AND($H$12&gt;=8, $H$12&lt;&gt;"Please Select",CV27&lt;&gt;""),"                                            21 State Approval 08","")</f>
        <v/>
      </c>
      <c r="CS54" s="342"/>
      <c r="CT54" s="342"/>
      <c r="CU54" s="342"/>
      <c r="CV54" s="342"/>
      <c r="CW54" s="342"/>
      <c r="DB54" s="343"/>
      <c r="DC54" s="343"/>
      <c r="DE54" s="342" t="str">
        <f>IF(AND($H$12&gt;=9, $H$12&lt;&gt;"Please Select",DI27&lt;&gt;""),"                                            21 State Approval 09","")</f>
        <v/>
      </c>
      <c r="DF54" s="342"/>
      <c r="DG54" s="342"/>
      <c r="DH54" s="342"/>
      <c r="DI54" s="342"/>
      <c r="DJ54" s="342"/>
      <c r="DO54" s="343"/>
      <c r="DP54" s="343"/>
      <c r="DR54" s="342" t="str">
        <f>IF(AND($H$12&gt;=10, $H$12&lt;&gt;"Please Select",DV27&lt;&gt;""),"                                            21 State Approval 10","")</f>
        <v/>
      </c>
      <c r="DS54" s="342"/>
      <c r="DT54" s="342"/>
      <c r="DU54" s="342"/>
      <c r="DV54" s="342"/>
      <c r="DW54" s="342"/>
      <c r="EB54" s="343"/>
      <c r="EC54" s="343"/>
      <c r="EE54" s="342" t="str">
        <f>IF(AND($H$12&gt;=11, $H$12&lt;&gt;"Please Select",EI27&lt;&gt;""),"                                            21 State Approval 11","")</f>
        <v/>
      </c>
      <c r="EF54" s="342"/>
      <c r="EG54" s="342"/>
      <c r="EH54" s="342"/>
      <c r="EI54" s="342"/>
      <c r="EJ54" s="342"/>
      <c r="EO54" s="343"/>
      <c r="EP54" s="343"/>
      <c r="ER54" s="342" t="str">
        <f>IF(AND($H$12&gt;=12, $H$12&lt;&gt;"Please Select",EV27&lt;&gt;""),"                                            21 State Approval 12","")</f>
        <v/>
      </c>
      <c r="ES54" s="342"/>
      <c r="ET54" s="342"/>
      <c r="EU54" s="342"/>
      <c r="EV54" s="342"/>
      <c r="EW54" s="342"/>
      <c r="FB54" s="343"/>
      <c r="FC54" s="343"/>
      <c r="FE54" s="342" t="str">
        <f>IF(AND($H$12&gt;=13, $H$12&lt;&gt;"Please Select",FI27&lt;&gt;""),"                                            21 State Approval 13","")</f>
        <v/>
      </c>
      <c r="FF54" s="342"/>
      <c r="FG54" s="342"/>
      <c r="FH54" s="342"/>
      <c r="FI54" s="342"/>
      <c r="FJ54" s="342"/>
      <c r="FO54" s="343"/>
      <c r="FP54" s="343"/>
      <c r="FR54" s="342" t="str">
        <f>IF(AND($H$12&gt;=14, $H$12&lt;&gt;"Please Select",FV27&lt;&gt;""),"                                            21 State Approval 14","")</f>
        <v/>
      </c>
      <c r="FS54" s="342"/>
      <c r="FT54" s="342"/>
      <c r="FU54" s="342"/>
      <c r="FV54" s="342"/>
      <c r="FW54" s="342"/>
      <c r="GB54" s="343"/>
      <c r="GC54" s="343"/>
      <c r="GE54" s="342" t="str">
        <f>IF(AND($H$12&gt;=15, $H$12&lt;&gt;"Please Select",GI27&lt;&gt;""),"                                            21 State Approval 15","")</f>
        <v/>
      </c>
      <c r="GF54" s="342"/>
      <c r="GG54" s="342"/>
      <c r="GH54" s="342"/>
      <c r="GI54" s="342"/>
      <c r="GJ54" s="342"/>
      <c r="GO54" s="343"/>
      <c r="GP54" s="343"/>
      <c r="GR54" s="342" t="str">
        <f>IF(AND($H$12&gt;=16, $H$12&lt;&gt;"Please Select",GV27&lt;&gt;""),"                                            21 State Approval 16","")</f>
        <v/>
      </c>
      <c r="GS54" s="342"/>
      <c r="GT54" s="342"/>
      <c r="GU54" s="342"/>
      <c r="GV54" s="342"/>
      <c r="GW54" s="342"/>
      <c r="HB54" s="343"/>
      <c r="HC54" s="343"/>
      <c r="HE54" s="342" t="str">
        <f>IF(AND($H$12&gt;=17, $H$12&lt;&gt;"Please Select",HI27&lt;&gt;""),"                                            21 State Approval 17","")</f>
        <v/>
      </c>
      <c r="HF54" s="342"/>
      <c r="HG54" s="342"/>
      <c r="HH54" s="342"/>
      <c r="HI54" s="342"/>
      <c r="HJ54" s="342"/>
      <c r="HO54" s="343"/>
      <c r="HP54" s="343"/>
      <c r="HR54" s="342" t="str">
        <f>IF(AND($H$12&gt;=18, $H$12&lt;&gt;"Please Select",HV27&lt;&gt;""),"                                            21 State Approval 18","")</f>
        <v/>
      </c>
      <c r="HS54" s="342"/>
      <c r="HT54" s="342"/>
      <c r="HU54" s="342"/>
      <c r="HV54" s="342"/>
      <c r="HW54" s="342"/>
      <c r="IB54" s="343"/>
      <c r="IC54" s="343"/>
      <c r="IE54" s="342" t="str">
        <f>IF(AND($H$12&gt;=19, $H$12&lt;&gt;"Please Select",II27&lt;&gt;""),"                                            21 State Approval 19","")</f>
        <v/>
      </c>
      <c r="IF54" s="342"/>
      <c r="IG54" s="342"/>
      <c r="IH54" s="342"/>
      <c r="II54" s="342"/>
      <c r="IJ54" s="342"/>
      <c r="IO54" s="343"/>
      <c r="IP54" s="343"/>
      <c r="IR54" s="342" t="str">
        <f>IF(AND($H$12&gt;=20, $H$12&lt;&gt;"Please Select",IV27&lt;&gt;""),"                                            21 State Approval 20","")</f>
        <v/>
      </c>
      <c r="IS54" s="342"/>
      <c r="IT54" s="342"/>
      <c r="IU54" s="342"/>
      <c r="IV54" s="342"/>
      <c r="IW54" s="342"/>
      <c r="JB54" s="343"/>
      <c r="JC54" s="343"/>
      <c r="JE54" s="342" t="str">
        <f>IF(AND($H$12&gt;=21, $H$12&lt;&gt;"Please Select",JI27&lt;&gt;""),"                                            21 State Approval 21","")</f>
        <v/>
      </c>
      <c r="JF54" s="342"/>
      <c r="JG54" s="342"/>
      <c r="JH54" s="342"/>
      <c r="JI54" s="342"/>
      <c r="JJ54" s="342"/>
      <c r="JO54" s="343"/>
      <c r="JP54" s="343"/>
      <c r="JR54" s="342" t="str">
        <f>IF(AND($H$12&gt;=22, $H$12&lt;&gt;"Please Select",JV27&lt;&gt;""),"                                            21 State Approval 22","")</f>
        <v/>
      </c>
      <c r="JS54" s="342"/>
      <c r="JT54" s="342"/>
      <c r="JU54" s="342"/>
      <c r="JV54" s="342"/>
      <c r="JW54" s="342"/>
      <c r="KB54" s="343"/>
      <c r="KC54" s="343"/>
      <c r="KE54" s="342" t="str">
        <f>IF(AND($H$12&gt;=23, $H$12&lt;&gt;"Please Select",KI27&lt;&gt;""),"                                            21 State Approval 23","")</f>
        <v/>
      </c>
      <c r="KF54" s="342"/>
      <c r="KG54" s="342"/>
      <c r="KH54" s="342"/>
      <c r="KI54" s="342"/>
      <c r="KJ54" s="342"/>
      <c r="KO54" s="343"/>
      <c r="KP54" s="343"/>
      <c r="KR54" s="342" t="str">
        <f>IF(AND($H$12&gt;=24, $H$12&lt;&gt;"Please Select",KV27&lt;&gt;""),"                                            21 State Approval 24","")</f>
        <v/>
      </c>
      <c r="KS54" s="342"/>
      <c r="KT54" s="342"/>
      <c r="KU54" s="342"/>
      <c r="KV54" s="342"/>
      <c r="KW54" s="342"/>
      <c r="LB54" s="343"/>
      <c r="LC54" s="343"/>
      <c r="LE54" s="342" t="str">
        <f>IF(AND($H$12&gt;=25, $H$12&lt;&gt;"Please Select",LI27&lt;&gt;""),"                                            21 State Approval 25","")</f>
        <v/>
      </c>
      <c r="LF54" s="342"/>
      <c r="LG54" s="342"/>
      <c r="LH54" s="342"/>
      <c r="LI54" s="342"/>
      <c r="LJ54" s="342"/>
      <c r="LO54" s="343"/>
      <c r="LP54" s="343"/>
      <c r="LR54" s="342" t="str">
        <f>IF(AND($H$12&gt;=26, $H$12&lt;&gt;"Please Select",LV27&lt;&gt;""),"                                            21 State Approval 26","")</f>
        <v/>
      </c>
      <c r="LS54" s="342"/>
      <c r="LT54" s="342"/>
      <c r="LU54" s="342"/>
      <c r="LV54" s="342"/>
      <c r="LW54" s="342"/>
      <c r="MB54" s="343"/>
      <c r="MC54" s="343"/>
      <c r="ME54" s="342" t="str">
        <f>IF(AND($H$12&gt;=27, $H$12&lt;&gt;"Please Select",MI27&lt;&gt;""),"                                            21 State Approval 27","")</f>
        <v/>
      </c>
      <c r="MF54" s="342"/>
      <c r="MG54" s="342"/>
      <c r="MH54" s="342"/>
      <c r="MI54" s="342"/>
      <c r="MJ54" s="342"/>
      <c r="MO54" s="343"/>
      <c r="MP54" s="343"/>
      <c r="MR54" s="342" t="str">
        <f>IF(AND($H$12&gt;=28, $H$12&lt;&gt;"Please Select",MV27&lt;&gt;""),"                                            21 State Approval 28","")</f>
        <v/>
      </c>
      <c r="MS54" s="342"/>
      <c r="MT54" s="342"/>
      <c r="MU54" s="342"/>
      <c r="MV54" s="342"/>
      <c r="MW54" s="342"/>
      <c r="NB54" s="343"/>
      <c r="NC54" s="343"/>
      <c r="NE54" s="342" t="str">
        <f>IF(AND($H$12&gt;=29, $H$12&lt;&gt;"Please Select",NI27&lt;&gt;""),"                                            21 State Approval 29","")</f>
        <v/>
      </c>
      <c r="NF54" s="342"/>
      <c r="NG54" s="342"/>
      <c r="NH54" s="342"/>
      <c r="NI54" s="342"/>
      <c r="NJ54" s="342"/>
      <c r="NO54" s="343"/>
      <c r="NP54" s="343"/>
      <c r="NR54" s="342" t="str">
        <f>IF(AND($H$12&gt;=30, $H$12&lt;&gt;"Please Select",NV27&lt;&gt;""),"                                            21 State Approval 30","")</f>
        <v/>
      </c>
      <c r="NS54" s="342"/>
      <c r="NT54" s="342"/>
      <c r="NU54" s="342"/>
      <c r="NV54" s="342"/>
      <c r="NW54" s="342"/>
    </row>
    <row r="55" spans="1:393" s="41" customFormat="1" ht="27.75" customHeight="1" x14ac:dyDescent="0.2">
      <c r="C55" s="88"/>
      <c r="E55" s="345" t="str">
        <f>IF(AND($H$12&gt;=1, $H$12&lt;&gt;"Please Select"),"                   Type of File:     Adobe Portable Document (.pdf)","")</f>
        <v/>
      </c>
      <c r="F55" s="345"/>
      <c r="G55" s="345"/>
      <c r="H55" s="345"/>
      <c r="I55" s="345"/>
      <c r="J55" s="345"/>
      <c r="K55" s="521" t="str">
        <f>IF(AND($H$12&gt;1,$H$12&lt;&gt;"Please Select"),"Complete the next 
affiliate form to the right ==&gt;","")</f>
        <v/>
      </c>
      <c r="L55" s="521"/>
      <c r="M55" s="521"/>
      <c r="N55" s="521"/>
      <c r="P55" s="88"/>
      <c r="R55" s="345" t="str">
        <f>IF(AND($H$12&gt;=2, $H$12&lt;&gt;"Please Select"),"                   Type of File:     Adobe Portable Document (.pdf)","")</f>
        <v/>
      </c>
      <c r="S55" s="345"/>
      <c r="T55" s="345"/>
      <c r="U55" s="345"/>
      <c r="V55" s="345"/>
      <c r="W55" s="345"/>
      <c r="X55" s="553" t="str">
        <f>IF(AND($H$12=2,$H$12&lt;3),"Click here when finished to go
 to the next section below",IF(AND($H$12&gt;2,$H$12&lt;&gt;"Please Select"),"Complete the next 
affiliate form to the right ==&gt;",""))</f>
        <v/>
      </c>
      <c r="Y55" s="553"/>
      <c r="Z55" s="553"/>
      <c r="AA55" s="553"/>
      <c r="AC55" s="88"/>
      <c r="AE55" s="345" t="str">
        <f>IF(AND($H$12&gt;=3, $H$12&lt;&gt;"Please Select"),"                   Type of File:     Adobe Portable Document (.pdf)","")</f>
        <v/>
      </c>
      <c r="AF55" s="345"/>
      <c r="AG55" s="345"/>
      <c r="AH55" s="345"/>
      <c r="AI55" s="345"/>
      <c r="AJ55" s="345"/>
      <c r="AK55" s="553" t="str">
        <f>IF(AND($H$12=3,$H$12&lt;4),"Click here when finished to go
 to the next section below",IF(AND($H$12&gt;3,$H$12&lt;&gt;"Please Select"),"Complete the next 
affiliate form to the right ==&gt;",""))</f>
        <v/>
      </c>
      <c r="AL55" s="553"/>
      <c r="AM55" s="553"/>
      <c r="AN55" s="553"/>
      <c r="AP55" s="88"/>
      <c r="AR55" s="345" t="str">
        <f>IF(AND($H$12&gt;=4, $H$12&lt;&gt;"Please Select"),"                   Type of File:     Adobe Portable Document (.pdf)","")</f>
        <v/>
      </c>
      <c r="AS55" s="345"/>
      <c r="AT55" s="345"/>
      <c r="AU55" s="345"/>
      <c r="AV55" s="345"/>
      <c r="AW55" s="345"/>
      <c r="AX55" s="553" t="str">
        <f>IF(AND($H$12=4,$H$12&lt;5),"Click here when finished to go
 to the next section below",IF(AND($H$12&gt;4,$H$12&lt;&gt;"Please Select"),"Complete the next 
affiliate form to the right ==&gt;",""))</f>
        <v/>
      </c>
      <c r="AY55" s="553"/>
      <c r="AZ55" s="553"/>
      <c r="BA55" s="553"/>
      <c r="BC55" s="88"/>
      <c r="BE55" s="345" t="str">
        <f>IF(AND($H$12&gt;=5, $H$12&lt;&gt;"Please Select"),"                   Type of File:     Adobe Portable Document (.pdf)","")</f>
        <v/>
      </c>
      <c r="BF55" s="345"/>
      <c r="BG55" s="345"/>
      <c r="BH55" s="345"/>
      <c r="BI55" s="345"/>
      <c r="BJ55" s="345"/>
      <c r="BK55" s="553" t="str">
        <f>IF(AND($H$12=5,$H$12&lt;6),"Click here when finished to go
 to the next section below",IF(AND($H$12&gt;5,$H$12&lt;&gt;"Please Select"),"Complete the next 
affiliate form to the right ==&gt;",""))</f>
        <v/>
      </c>
      <c r="BL55" s="553"/>
      <c r="BM55" s="553"/>
      <c r="BN55" s="553"/>
      <c r="BP55" s="88"/>
      <c r="BR55" s="345" t="str">
        <f>IF(AND($H$12&gt;=6, $H$12&lt;&gt;"Please Select"),"                   Type of File:     Adobe Portable Document (.pdf)","")</f>
        <v/>
      </c>
      <c r="BS55" s="345"/>
      <c r="BT55" s="345"/>
      <c r="BU55" s="345"/>
      <c r="BV55" s="345"/>
      <c r="BW55" s="345"/>
      <c r="BX55" s="553" t="str">
        <f>IF(AND($H$12=6,$H$12&lt;7),"Click here when finished to go
 to the next section below",IF(AND($H$12&gt;6,$H$12&lt;&gt;"Please Select"),"Complete the next 
affiliate form to the right ==&gt;",""))</f>
        <v/>
      </c>
      <c r="BY55" s="553"/>
      <c r="BZ55" s="553"/>
      <c r="CA55" s="553"/>
      <c r="CC55" s="88"/>
      <c r="CE55" s="345" t="str">
        <f>IF(AND($H$12&gt;=7, $H$12&lt;&gt;"Please Select"),"                   Type of File:     Adobe Portable Document (.pdf)","")</f>
        <v/>
      </c>
      <c r="CF55" s="345"/>
      <c r="CG55" s="345"/>
      <c r="CH55" s="345"/>
      <c r="CI55" s="345"/>
      <c r="CJ55" s="345"/>
      <c r="CK55" s="553" t="str">
        <f>IF(AND($H$12=7,$H$12&lt;8),"Click here when finished to go
 to the next section below",IF(AND($H$12&gt;7,$H$12&lt;&gt;"Please Select"),"Complete the next 
affiliate form to the right ==&gt;",""))</f>
        <v/>
      </c>
      <c r="CL55" s="553"/>
      <c r="CM55" s="553"/>
      <c r="CN55" s="553"/>
      <c r="CP55" s="88"/>
      <c r="CR55" s="345" t="str">
        <f>IF(AND($H$12&gt;=8, $H$12&lt;&gt;"Please Select"),"                   Type of File:     Adobe Portable Document (.pdf)","")</f>
        <v/>
      </c>
      <c r="CS55" s="345"/>
      <c r="CT55" s="345"/>
      <c r="CU55" s="345"/>
      <c r="CV55" s="345"/>
      <c r="CW55" s="345"/>
      <c r="CX55" s="553" t="str">
        <f>IF(AND($H$12=8,$H$12&lt;9),"Click here when finished to go
 to the next section below",IF(AND($H$12&gt;8,$H$12&lt;&gt;"Please Select"),"Complete the next 
affiliate form to the right ==&gt;",""))</f>
        <v/>
      </c>
      <c r="CY55" s="553"/>
      <c r="CZ55" s="553"/>
      <c r="DA55" s="553"/>
      <c r="DC55" s="88"/>
      <c r="DE55" s="345" t="str">
        <f>IF(AND($H$12&gt;=9, $H$12&lt;&gt;"Please Select"),"                   Type of File:     Adobe Portable Document (.pdf)","")</f>
        <v/>
      </c>
      <c r="DF55" s="345"/>
      <c r="DG55" s="345"/>
      <c r="DH55" s="345"/>
      <c r="DI55" s="345"/>
      <c r="DJ55" s="345"/>
      <c r="DK55" s="553" t="str">
        <f>IF(AND($H$12=9,$H$12&lt;10),"Click here when finished to go
 to the next section below",IF(AND($H$12&gt;9,$H$12&lt;&gt;"Please Select"),"Complete the next 
affiliate form to the right ==&gt;",""))</f>
        <v/>
      </c>
      <c r="DL55" s="553"/>
      <c r="DM55" s="553"/>
      <c r="DN55" s="553"/>
      <c r="DP55" s="88"/>
      <c r="DR55" s="345" t="str">
        <f>IF(AND($H$12&gt;=10, $H$12&lt;&gt;"Please Select"),"                   Type of File:     Adobe Portable Document (.pdf)","")</f>
        <v/>
      </c>
      <c r="DS55" s="345"/>
      <c r="DT55" s="345"/>
      <c r="DU55" s="345"/>
      <c r="DV55" s="345"/>
      <c r="DW55" s="345"/>
      <c r="DX55" s="553" t="str">
        <f>IF(AND($H$12=10,$H$12&lt;11),"Click here when finished to go
 to the next section below",IF(AND($H$12&gt;10,$H$12&lt;&gt;"Please Select"),"Complete the next 
affiliate form to the right ==&gt;",""))</f>
        <v/>
      </c>
      <c r="DY55" s="553"/>
      <c r="DZ55" s="553"/>
      <c r="EA55" s="553"/>
      <c r="EC55" s="88"/>
      <c r="EE55" s="345" t="str">
        <f>IF(AND($H$12&gt;=11, $H$12&lt;&gt;"Please Select"),"                   Type of File:     Adobe Portable Document (.pdf)","")</f>
        <v/>
      </c>
      <c r="EF55" s="345"/>
      <c r="EG55" s="345"/>
      <c r="EH55" s="345"/>
      <c r="EI55" s="345"/>
      <c r="EJ55" s="345"/>
      <c r="EK55" s="553" t="str">
        <f>IF(AND($H$12=11,$H$12&lt;12),"Click here when finished to go
 to the next section below",IF(AND($H$12&gt;11,$H$12&lt;&gt;"Please Select"),"Complete the next 
affiliate form to the right ==&gt;",""))</f>
        <v/>
      </c>
      <c r="EL55" s="553"/>
      <c r="EM55" s="553"/>
      <c r="EN55" s="553"/>
      <c r="EP55" s="88"/>
      <c r="ER55" s="345" t="str">
        <f>IF(AND($H$12&gt;=12, $H$12&lt;&gt;"Please Select"),"                   Type of File:     Adobe Portable Document (.pdf)","")</f>
        <v/>
      </c>
      <c r="ES55" s="345"/>
      <c r="ET55" s="345"/>
      <c r="EU55" s="345"/>
      <c r="EV55" s="345"/>
      <c r="EW55" s="345"/>
      <c r="EX55" s="553" t="str">
        <f>IF(AND($H$12=12,$H$12&lt;13),"Click here when finished to go
 to the next section below",IF(AND($H$12&gt;12,$H$12&lt;&gt;"Please Select"),"Complete the next 
affiliate form to the right ==&gt;",""))</f>
        <v/>
      </c>
      <c r="EY55" s="553"/>
      <c r="EZ55" s="553"/>
      <c r="FA55" s="553"/>
      <c r="FC55" s="88"/>
      <c r="FE55" s="345" t="str">
        <f>IF(AND($H$12&gt;=13, $H$12&lt;&gt;"Please Select"),"                   Type of File:     Adobe Portable Document (.pdf)","")</f>
        <v/>
      </c>
      <c r="FF55" s="345"/>
      <c r="FG55" s="345"/>
      <c r="FH55" s="345"/>
      <c r="FI55" s="345"/>
      <c r="FJ55" s="345"/>
      <c r="FK55" s="553" t="str">
        <f>IF(AND($H$12=13,$H$12&lt;14),"Click here when finished to go
 to the next section below",IF(AND($H$12&gt;13,$H$12&lt;&gt;"Please Select"),"Complete the next 
affiliate form to the right ==&gt;",""))</f>
        <v/>
      </c>
      <c r="FL55" s="553"/>
      <c r="FM55" s="553"/>
      <c r="FN55" s="553"/>
      <c r="FP55" s="88"/>
      <c r="FR55" s="345" t="str">
        <f>IF(AND($H$12&gt;=14, $H$12&lt;&gt;"Please Select"),"                   Type of File:     Adobe Portable Document (.pdf)","")</f>
        <v/>
      </c>
      <c r="FS55" s="345"/>
      <c r="FT55" s="345"/>
      <c r="FU55" s="345"/>
      <c r="FV55" s="345"/>
      <c r="FW55" s="345"/>
      <c r="FX55" s="553" t="str">
        <f>IF(AND($H$12=14,$H$12&lt;15),"Click here when finished to go
 to the next section below",IF(AND($H$12&gt;14,$H$12&lt;&gt;"Please Select"),"Complete the next 
affiliate form to the right ==&gt;",""))</f>
        <v/>
      </c>
      <c r="FY55" s="553"/>
      <c r="FZ55" s="553"/>
      <c r="GA55" s="553"/>
      <c r="GC55" s="88"/>
      <c r="GE55" s="345" t="str">
        <f>IF(AND($H$12&gt;=15, $H$12&lt;&gt;"Please Select"),"                   Type of File:     Adobe Portable Document (.pdf)","")</f>
        <v/>
      </c>
      <c r="GF55" s="345"/>
      <c r="GG55" s="345"/>
      <c r="GH55" s="345"/>
      <c r="GI55" s="345"/>
      <c r="GJ55" s="345"/>
      <c r="GK55" s="553" t="str">
        <f>IF(AND($H$12=15,$H$12&lt;16),"Click here when finished to go
 to the next section below",IF(AND($H$12&gt;15,$H$12&lt;&gt;"Please Select"),"Complete the next 
affiliate form to the right ==&gt;",""))</f>
        <v/>
      </c>
      <c r="GL55" s="553"/>
      <c r="GM55" s="553"/>
      <c r="GN55" s="553"/>
      <c r="GP55" s="88"/>
      <c r="GR55" s="345" t="str">
        <f>IF(AND($H$12&gt;=16, $H$12&lt;&gt;"Please Select"),"                   Type of File:     Adobe Portable Document (.pdf)","")</f>
        <v/>
      </c>
      <c r="GS55" s="345"/>
      <c r="GT55" s="345"/>
      <c r="GU55" s="345"/>
      <c r="GV55" s="345"/>
      <c r="GW55" s="345"/>
      <c r="GX55" s="553" t="str">
        <f>IF(AND($H$12=16,$H$12&lt;17),"Click here when finished to go
 to the next section below",IF(AND($H$12&gt;16,$H$12&lt;&gt;"Please Select"),"Complete the next 
affiliate form to the right ==&gt;",""))</f>
        <v/>
      </c>
      <c r="GY55" s="553"/>
      <c r="GZ55" s="553"/>
      <c r="HA55" s="553"/>
      <c r="HC55" s="88"/>
      <c r="HE55" s="345" t="str">
        <f>IF(AND($H$12&gt;=17, $H$12&lt;&gt;"Please Select"),"                   Type of File:     Adobe Portable Document (.pdf)","")</f>
        <v/>
      </c>
      <c r="HF55" s="345"/>
      <c r="HG55" s="345"/>
      <c r="HH55" s="345"/>
      <c r="HI55" s="345"/>
      <c r="HJ55" s="345"/>
      <c r="HK55" s="553" t="str">
        <f>IF(AND($H$12=17,$H$12&lt;18),"Click here when finished to go
 to the next section below",IF(AND($H$12&gt;17,$H$12&lt;&gt;"Please Select"),"Complete the next 
affiliate form to the right ==&gt;",""))</f>
        <v/>
      </c>
      <c r="HL55" s="553"/>
      <c r="HM55" s="553"/>
      <c r="HN55" s="553"/>
      <c r="HP55" s="88"/>
      <c r="HR55" s="345" t="str">
        <f>IF(AND($H$12&gt;=18, $H$12&lt;&gt;"Please Select"),"                   Type of File:     Adobe Portable Document (.pdf)","")</f>
        <v/>
      </c>
      <c r="HS55" s="345"/>
      <c r="HT55" s="345"/>
      <c r="HU55" s="345"/>
      <c r="HV55" s="345"/>
      <c r="HW55" s="345"/>
      <c r="HX55" s="553" t="str">
        <f>IF(AND($H$12=18,$H$12&lt;19),"Click here when finished to go
 to the next section below",IF(AND($H$12&gt;18,$H$12&lt;&gt;"Please Select"),"Complete the next 
affiliate form to the right ==&gt;",""))</f>
        <v/>
      </c>
      <c r="HY55" s="553"/>
      <c r="HZ55" s="553"/>
      <c r="IA55" s="553"/>
      <c r="IC55" s="88"/>
      <c r="IE55" s="345" t="str">
        <f>IF(AND($H$12&gt;=19, $H$12&lt;&gt;"Please Select"),"                   Type of File:     Adobe Portable Document (.pdf)","")</f>
        <v/>
      </c>
      <c r="IF55" s="345"/>
      <c r="IG55" s="345"/>
      <c r="IH55" s="345"/>
      <c r="II55" s="345"/>
      <c r="IJ55" s="345"/>
      <c r="IK55" s="553" t="str">
        <f>IF(AND($H$12=19,$H$12&lt;20),"Click here when finished to go
 to the next section below",IF(AND($H$12&gt;19,$H$12&lt;&gt;"Please Select"),"Complete the next 
affiliate form to the right ==&gt;",""))</f>
        <v/>
      </c>
      <c r="IL55" s="553"/>
      <c r="IM55" s="553"/>
      <c r="IN55" s="553"/>
      <c r="IP55" s="88"/>
      <c r="IR55" s="345" t="str">
        <f>IF(AND($H$12&gt;=20, $H$12&lt;&gt;"Please Select"),"                   Type of File:     Adobe Portable Document (.pdf)","")</f>
        <v/>
      </c>
      <c r="IS55" s="345"/>
      <c r="IT55" s="345"/>
      <c r="IU55" s="345"/>
      <c r="IV55" s="345"/>
      <c r="IW55" s="345"/>
      <c r="IX55" s="553" t="str">
        <f>IF(AND($H$12=20,$H$12&lt;21),"Click here when finished to go
 to the next section below",IF(AND($H$12&gt;20,$H$12&lt;&gt;"Please Select"),"Complete the next 
affiliate form to the right ==&gt;",""))</f>
        <v/>
      </c>
      <c r="IY55" s="553"/>
      <c r="IZ55" s="553"/>
      <c r="JA55" s="553"/>
      <c r="JC55" s="88"/>
      <c r="JE55" s="345" t="str">
        <f>IF(AND($H$12&gt;=21, $H$12&lt;&gt;"Please Select"),"                   Type of File:     Adobe Portable Document (.pdf)","")</f>
        <v/>
      </c>
      <c r="JF55" s="345"/>
      <c r="JG55" s="345"/>
      <c r="JH55" s="345"/>
      <c r="JI55" s="345"/>
      <c r="JJ55" s="345"/>
      <c r="JK55" s="553" t="str">
        <f>IF(AND($H$12=21,$H$12&lt;22),"Click here when finished to go
 to the next section below",IF(AND($H$12&gt;21,$H$12&lt;&gt;"Please Select"),"Complete the next 
affiliate form to the right ==&gt;",""))</f>
        <v/>
      </c>
      <c r="JL55" s="553"/>
      <c r="JM55" s="553"/>
      <c r="JN55" s="553"/>
      <c r="JP55" s="88"/>
      <c r="JR55" s="345" t="str">
        <f>IF(AND($H$12&gt;=22, $H$12&lt;&gt;"Please Select"),"                   Type of File:     Adobe Portable Document (.pdf)","")</f>
        <v/>
      </c>
      <c r="JS55" s="345"/>
      <c r="JT55" s="345"/>
      <c r="JU55" s="345"/>
      <c r="JV55" s="345"/>
      <c r="JW55" s="345"/>
      <c r="JX55" s="553" t="str">
        <f>IF(AND($H$12=22,$H$12&lt;23),"Click here when finished to go
 to the next section below",IF(AND($H$12&gt;22,$H$12&lt;&gt;"Please Select"),"Complete the next 
affiliate form to the right ==&gt;",""))</f>
        <v/>
      </c>
      <c r="JY55" s="553"/>
      <c r="JZ55" s="553"/>
      <c r="KA55" s="553"/>
      <c r="KC55" s="88"/>
      <c r="KE55" s="345" t="str">
        <f>IF(AND($H$12&gt;=23, $H$12&lt;&gt;"Please Select"),"                   Type of File:     Adobe Portable Document (.pdf)","")</f>
        <v/>
      </c>
      <c r="KF55" s="345"/>
      <c r="KG55" s="345"/>
      <c r="KH55" s="345"/>
      <c r="KI55" s="345"/>
      <c r="KJ55" s="345"/>
      <c r="KK55" s="553" t="str">
        <f>IF(AND($H$12=23,$H$12&lt;24),"Click here when finished to go
 to the next section below",IF(AND($H$12&gt;23,$H$12&lt;&gt;"Please Select"),"Complete the next 
affiliate form to the right ==&gt;",""))</f>
        <v/>
      </c>
      <c r="KL55" s="553"/>
      <c r="KM55" s="553"/>
      <c r="KN55" s="553"/>
      <c r="KP55" s="88"/>
      <c r="KR55" s="345" t="str">
        <f>IF(AND($H$12&gt;=24, $H$12&lt;&gt;"Please Select"),"                   Type of File:     Adobe Portable Document (.pdf)","")</f>
        <v/>
      </c>
      <c r="KS55" s="345"/>
      <c r="KT55" s="345"/>
      <c r="KU55" s="345"/>
      <c r="KV55" s="345"/>
      <c r="KW55" s="345"/>
      <c r="KX55" s="553" t="str">
        <f>IF(AND($H$12=24,$H$12&lt;25),"Click here when finished to go
 to the next section below",IF(AND($H$12&gt;24,$H$12&lt;&gt;"Please Select"),"Complete the next 
affiliate form to the right ==&gt;",""))</f>
        <v/>
      </c>
      <c r="KY55" s="553"/>
      <c r="KZ55" s="553"/>
      <c r="LA55" s="553"/>
      <c r="LC55" s="88"/>
      <c r="LE55" s="345" t="str">
        <f>IF(AND($H$12&gt;=25, $H$12&lt;&gt;"Please Select"),"                   Type of File:     Adobe Portable Document (.pdf)","")</f>
        <v/>
      </c>
      <c r="LF55" s="345"/>
      <c r="LG55" s="345"/>
      <c r="LH55" s="345"/>
      <c r="LI55" s="345"/>
      <c r="LJ55" s="345"/>
      <c r="LK55" s="553" t="str">
        <f>IF(AND($H$12=25,$H$12&lt;26),"Click here when finished to go
 to the next section below",IF(AND($H$12&gt;25,$H$12&lt;&gt;"Please Select"),"Complete the next 
affiliate form to the right ==&gt;",""))</f>
        <v/>
      </c>
      <c r="LL55" s="553"/>
      <c r="LM55" s="553"/>
      <c r="LN55" s="553"/>
      <c r="LP55" s="88"/>
      <c r="LR55" s="345" t="str">
        <f>IF(AND($H$12&gt;=26, $H$12&lt;&gt;"Please Select"),"                   Type of File:     Adobe Portable Document (.pdf)","")</f>
        <v/>
      </c>
      <c r="LS55" s="345"/>
      <c r="LT55" s="345"/>
      <c r="LU55" s="345"/>
      <c r="LV55" s="345"/>
      <c r="LW55" s="345"/>
      <c r="LX55" s="553" t="str">
        <f>IF(AND($H$12=26,$H$12&lt;27),"Click here when finished to go
 to the next section below",IF(AND($H$12&gt;27,$H$12&lt;&gt;"Please Select"),"Complete the next 
affiliate form to the right ==&gt;",""))</f>
        <v/>
      </c>
      <c r="LY55" s="553"/>
      <c r="LZ55" s="553"/>
      <c r="MA55" s="553"/>
      <c r="MC55" s="88"/>
      <c r="ME55" s="345" t="str">
        <f>IF(AND($H$12&gt;=27, $H$12&lt;&gt;"Please Select"),"                   Type of File:     Adobe Portable Document (.pdf)","")</f>
        <v/>
      </c>
      <c r="MF55" s="345"/>
      <c r="MG55" s="345"/>
      <c r="MH55" s="345"/>
      <c r="MI55" s="345"/>
      <c r="MJ55" s="345"/>
      <c r="MK55" s="553" t="str">
        <f>IF(AND($H$12=27,$H$12&lt;28),"Click here when finished to go
 to the next section below",IF(AND($H$12&gt;27,$H$12&lt;&gt;"Please Select"),"Complete the next 
affiliate form to the right ==&gt;",""))</f>
        <v/>
      </c>
      <c r="ML55" s="553"/>
      <c r="MM55" s="553"/>
      <c r="MN55" s="553"/>
      <c r="MP55" s="88"/>
      <c r="MR55" s="345" t="str">
        <f>IF(AND($H$12&gt;=28, $H$12&lt;&gt;"Please Select"),"                   Type of File:     Adobe Portable Document (.pdf)","")</f>
        <v/>
      </c>
      <c r="MS55" s="345"/>
      <c r="MT55" s="345"/>
      <c r="MU55" s="345"/>
      <c r="MV55" s="345"/>
      <c r="MW55" s="345"/>
      <c r="MX55" s="553" t="str">
        <f>IF(AND($H$12=28,$H$12&lt;29),"Click here when finished to go
 to the next section below",IF(AND($H$12&gt;28,$H$12&lt;&gt;"Please Select"),"Complete the next 
affiliate form to the right ==&gt;",""))</f>
        <v/>
      </c>
      <c r="MY55" s="553"/>
      <c r="MZ55" s="553"/>
      <c r="NA55" s="553"/>
      <c r="NC55" s="88"/>
      <c r="NE55" s="345" t="str">
        <f>IF(AND($H$12&gt;=29, $H$12&lt;&gt;"Please Select"),"                   Type of File:     Adobe Portable Document (.pdf)","")</f>
        <v/>
      </c>
      <c r="NF55" s="345"/>
      <c r="NG55" s="345"/>
      <c r="NH55" s="345"/>
      <c r="NI55" s="345"/>
      <c r="NJ55" s="345"/>
      <c r="NK55" s="553" t="str">
        <f>IF(AND($H$12=29,$H$12&lt;30),"Click here when finished to go
 to the next section below",IF(AND($H$12&gt;29,$H$12&lt;&gt;"Please Select"),"Complete the next 
affiliate form to the right ==&gt;",""))</f>
        <v/>
      </c>
      <c r="NL55" s="553"/>
      <c r="NM55" s="553"/>
      <c r="NN55" s="553"/>
      <c r="NP55" s="88"/>
      <c r="NR55" s="345" t="str">
        <f>IF(AND($H$12&gt;=30, $H$12&lt;&gt;"Please Select"),"                   Type of File:     Adobe Portable Document (.pdf)","")</f>
        <v/>
      </c>
      <c r="NS55" s="345"/>
      <c r="NT55" s="345"/>
      <c r="NU55" s="345"/>
      <c r="NV55" s="345"/>
      <c r="NW55" s="345"/>
      <c r="NX55" s="553" t="str">
        <f>IF($H$12=30,"Click here when finished to go
 to the next section below","")</f>
        <v/>
      </c>
      <c r="NY55" s="553"/>
      <c r="NZ55" s="553"/>
      <c r="OA55" s="553"/>
      <c r="OB55" s="201"/>
    </row>
    <row r="56" spans="1:393" s="41" customFormat="1" ht="14.25" x14ac:dyDescent="0.2"/>
    <row r="57" spans="1:393" s="41" customFormat="1" ht="14.25" x14ac:dyDescent="0.2"/>
    <row r="58" spans="1:393" s="41" customFormat="1" ht="14.25" x14ac:dyDescent="0.2">
      <c r="A58" s="211"/>
      <c r="B58" s="211"/>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c r="BZ58" s="211"/>
      <c r="CA58" s="211"/>
      <c r="CB58" s="211"/>
      <c r="CC58" s="211"/>
      <c r="CD58" s="211"/>
      <c r="CE58" s="211"/>
      <c r="CF58" s="211"/>
      <c r="CG58" s="211"/>
      <c r="CH58" s="211"/>
      <c r="CI58" s="211"/>
      <c r="CJ58" s="211"/>
      <c r="CK58" s="211"/>
      <c r="CL58" s="211"/>
      <c r="CM58" s="211"/>
      <c r="CN58" s="211"/>
      <c r="CO58" s="211"/>
      <c r="CP58" s="211"/>
      <c r="CQ58" s="211"/>
      <c r="CR58" s="211"/>
      <c r="CS58" s="211"/>
      <c r="CT58" s="211"/>
      <c r="CU58" s="211"/>
      <c r="CV58" s="211"/>
      <c r="CW58" s="211"/>
      <c r="CX58" s="211"/>
      <c r="CY58" s="211"/>
      <c r="CZ58" s="211"/>
      <c r="DA58" s="211"/>
      <c r="DB58" s="211"/>
      <c r="DC58" s="211"/>
      <c r="DD58" s="211"/>
      <c r="DE58" s="211"/>
      <c r="DF58" s="211"/>
      <c r="DG58" s="211"/>
      <c r="DH58" s="211"/>
      <c r="DI58" s="211"/>
      <c r="DJ58" s="211"/>
      <c r="DK58" s="211"/>
      <c r="DL58" s="211"/>
      <c r="DM58" s="211"/>
      <c r="DN58" s="211"/>
      <c r="DO58" s="211"/>
      <c r="DP58" s="211"/>
      <c r="DQ58" s="211"/>
      <c r="DR58" s="211"/>
      <c r="DS58" s="211"/>
      <c r="DT58" s="211"/>
      <c r="DU58" s="211"/>
      <c r="DV58" s="211"/>
      <c r="DW58" s="211"/>
      <c r="DX58" s="211"/>
      <c r="DY58" s="211"/>
      <c r="DZ58" s="211"/>
      <c r="EA58" s="211"/>
      <c r="EB58" s="211"/>
      <c r="EC58" s="211"/>
      <c r="ED58" s="211"/>
      <c r="EE58" s="211"/>
      <c r="EF58" s="211"/>
      <c r="EG58" s="211"/>
      <c r="EH58" s="211"/>
      <c r="EI58" s="211"/>
      <c r="EJ58" s="211"/>
      <c r="EK58" s="211"/>
      <c r="EL58" s="211"/>
      <c r="EM58" s="211"/>
      <c r="EN58" s="211"/>
      <c r="EO58" s="211"/>
      <c r="EP58" s="211"/>
      <c r="EQ58" s="211"/>
      <c r="ER58" s="211"/>
      <c r="ES58" s="211"/>
      <c r="ET58" s="211"/>
      <c r="EU58" s="211"/>
      <c r="EV58" s="211"/>
      <c r="EW58" s="211"/>
      <c r="EX58" s="211"/>
      <c r="EY58" s="211"/>
      <c r="EZ58" s="211"/>
      <c r="FA58" s="211"/>
      <c r="FB58" s="211"/>
      <c r="FC58" s="211"/>
      <c r="FD58" s="211"/>
      <c r="FE58" s="211"/>
      <c r="FF58" s="211"/>
      <c r="FG58" s="211"/>
      <c r="FH58" s="211"/>
      <c r="FI58" s="211"/>
      <c r="FJ58" s="211"/>
      <c r="FK58" s="211"/>
      <c r="FL58" s="211"/>
      <c r="FM58" s="211"/>
      <c r="FN58" s="211"/>
      <c r="FO58" s="211"/>
      <c r="FP58" s="211"/>
      <c r="FQ58" s="211"/>
      <c r="FR58" s="211"/>
      <c r="FS58" s="211"/>
      <c r="FT58" s="211"/>
      <c r="FU58" s="211"/>
      <c r="FV58" s="211"/>
      <c r="FW58" s="211"/>
      <c r="FX58" s="211"/>
      <c r="FY58" s="211"/>
      <c r="FZ58" s="211"/>
      <c r="GA58" s="211"/>
      <c r="GB58" s="211"/>
      <c r="GC58" s="211"/>
      <c r="GD58" s="211"/>
      <c r="GE58" s="211"/>
      <c r="GF58" s="211"/>
      <c r="GG58" s="211"/>
      <c r="GH58" s="211"/>
      <c r="GI58" s="211"/>
      <c r="GJ58" s="211"/>
      <c r="GK58" s="211"/>
      <c r="GL58" s="211"/>
      <c r="GM58" s="211"/>
      <c r="GN58" s="211"/>
      <c r="GO58" s="211"/>
      <c r="GP58" s="211"/>
      <c r="GQ58" s="211"/>
      <c r="GR58" s="211"/>
      <c r="GS58" s="211"/>
      <c r="GT58" s="211"/>
      <c r="GU58" s="211"/>
      <c r="GV58" s="211"/>
      <c r="GW58" s="211"/>
      <c r="GX58" s="211"/>
      <c r="GY58" s="211"/>
      <c r="GZ58" s="211"/>
      <c r="HA58" s="211"/>
      <c r="HB58" s="211"/>
      <c r="HC58" s="211"/>
      <c r="HD58" s="211"/>
      <c r="HE58" s="211"/>
      <c r="HF58" s="211"/>
      <c r="HG58" s="211"/>
      <c r="HH58" s="211"/>
      <c r="HI58" s="211"/>
      <c r="HJ58" s="211"/>
      <c r="HK58" s="211"/>
      <c r="HL58" s="211"/>
      <c r="HM58" s="211"/>
      <c r="HN58" s="211"/>
      <c r="HO58" s="211"/>
      <c r="HP58" s="211"/>
      <c r="HQ58" s="211"/>
      <c r="HR58" s="211"/>
      <c r="HS58" s="211"/>
      <c r="HT58" s="211"/>
      <c r="HU58" s="211"/>
      <c r="HV58" s="211"/>
      <c r="HW58" s="211"/>
      <c r="HX58" s="211"/>
      <c r="HY58" s="211"/>
      <c r="HZ58" s="211"/>
      <c r="IA58" s="211"/>
      <c r="IB58" s="211"/>
      <c r="IC58" s="211"/>
      <c r="ID58" s="211"/>
      <c r="IE58" s="211"/>
      <c r="IF58" s="211"/>
      <c r="IG58" s="211"/>
      <c r="IH58" s="211"/>
      <c r="II58" s="211"/>
      <c r="IJ58" s="211"/>
      <c r="IK58" s="211"/>
      <c r="IL58" s="211"/>
      <c r="IM58" s="211"/>
      <c r="IN58" s="211"/>
      <c r="IO58" s="211"/>
      <c r="IP58" s="211"/>
      <c r="IQ58" s="211"/>
      <c r="IR58" s="211"/>
      <c r="IS58" s="211"/>
      <c r="IT58" s="211"/>
      <c r="IU58" s="211"/>
      <c r="IV58" s="211"/>
      <c r="IW58" s="211"/>
      <c r="IX58" s="211"/>
      <c r="IY58" s="211"/>
      <c r="IZ58" s="211"/>
      <c r="JA58" s="211"/>
      <c r="JB58" s="211"/>
      <c r="JC58" s="211"/>
      <c r="JD58" s="211"/>
      <c r="JE58" s="211"/>
      <c r="JF58" s="211"/>
      <c r="JG58" s="211"/>
      <c r="JH58" s="211"/>
      <c r="JI58" s="211"/>
      <c r="JJ58" s="211"/>
      <c r="JK58" s="211"/>
      <c r="JL58" s="211"/>
      <c r="JM58" s="211"/>
      <c r="JN58" s="211"/>
      <c r="JO58" s="211"/>
      <c r="JP58" s="211"/>
      <c r="JQ58" s="211"/>
      <c r="JR58" s="211"/>
      <c r="JS58" s="211"/>
      <c r="JT58" s="211"/>
      <c r="JU58" s="211"/>
      <c r="JV58" s="211"/>
      <c r="JW58" s="211"/>
      <c r="JX58" s="211"/>
      <c r="JY58" s="211"/>
      <c r="JZ58" s="211"/>
      <c r="KA58" s="211"/>
      <c r="KB58" s="211"/>
      <c r="KC58" s="211"/>
      <c r="KD58" s="211"/>
      <c r="KE58" s="211"/>
      <c r="KF58" s="211"/>
      <c r="KG58" s="211"/>
      <c r="KH58" s="211"/>
      <c r="KI58" s="211"/>
      <c r="KJ58" s="211"/>
      <c r="KK58" s="211"/>
      <c r="KL58" s="211"/>
      <c r="KM58" s="211"/>
      <c r="KN58" s="211"/>
      <c r="KO58" s="211"/>
      <c r="KP58" s="211"/>
      <c r="KQ58" s="211"/>
      <c r="KR58" s="211"/>
      <c r="KS58" s="211"/>
      <c r="KT58" s="211"/>
      <c r="KU58" s="211"/>
      <c r="KV58" s="211"/>
      <c r="KW58" s="211"/>
      <c r="KX58" s="211"/>
      <c r="KY58" s="211"/>
      <c r="KZ58" s="211"/>
      <c r="LA58" s="211"/>
      <c r="LB58" s="211"/>
      <c r="LC58" s="211"/>
      <c r="LD58" s="211"/>
      <c r="LE58" s="211"/>
      <c r="LF58" s="211"/>
      <c r="LG58" s="211"/>
      <c r="LH58" s="211"/>
      <c r="LI58" s="211"/>
      <c r="LJ58" s="211"/>
      <c r="LK58" s="211"/>
      <c r="LL58" s="211"/>
      <c r="LM58" s="211"/>
      <c r="LN58" s="211"/>
      <c r="LO58" s="211"/>
      <c r="LP58" s="211"/>
      <c r="LQ58" s="211"/>
      <c r="LR58" s="211"/>
      <c r="LS58" s="211"/>
      <c r="LT58" s="211"/>
      <c r="LU58" s="211"/>
      <c r="LV58" s="211"/>
      <c r="LW58" s="211"/>
      <c r="LX58" s="211"/>
      <c r="LY58" s="211"/>
      <c r="LZ58" s="211"/>
      <c r="MA58" s="211"/>
      <c r="MB58" s="211"/>
      <c r="MC58" s="211"/>
      <c r="MD58" s="211"/>
      <c r="ME58" s="211"/>
      <c r="MF58" s="211"/>
      <c r="MG58" s="211"/>
      <c r="MH58" s="211"/>
      <c r="MI58" s="211"/>
      <c r="MJ58" s="211"/>
      <c r="MK58" s="211"/>
      <c r="ML58" s="211"/>
      <c r="MM58" s="211"/>
      <c r="MN58" s="211"/>
      <c r="MO58" s="211"/>
      <c r="MP58" s="211"/>
      <c r="MQ58" s="211"/>
      <c r="MR58" s="211"/>
      <c r="MS58" s="211"/>
      <c r="MT58" s="211"/>
      <c r="MU58" s="211"/>
      <c r="MV58" s="211"/>
      <c r="MW58" s="211"/>
      <c r="MX58" s="211"/>
      <c r="MY58" s="211"/>
      <c r="MZ58" s="211"/>
      <c r="NA58" s="211"/>
      <c r="NB58" s="211"/>
      <c r="NC58" s="211"/>
      <c r="ND58" s="211"/>
      <c r="NE58" s="211"/>
      <c r="NF58" s="211"/>
      <c r="NG58" s="211"/>
      <c r="NH58" s="211"/>
      <c r="NI58" s="211"/>
      <c r="NJ58" s="211"/>
      <c r="NK58" s="211"/>
      <c r="NL58" s="211"/>
      <c r="NM58" s="211"/>
      <c r="NN58" s="211"/>
      <c r="NO58" s="211"/>
      <c r="NP58" s="211"/>
      <c r="NQ58" s="211"/>
      <c r="NR58" s="211"/>
      <c r="NS58" s="211"/>
      <c r="NT58" s="211"/>
      <c r="NU58" s="211"/>
      <c r="NV58" s="211"/>
      <c r="NW58" s="211"/>
      <c r="NX58" s="211"/>
      <c r="NY58" s="211"/>
      <c r="NZ58" s="211"/>
      <c r="OA58" s="211"/>
      <c r="OB58" s="211"/>
      <c r="OC58" s="211"/>
    </row>
    <row r="59" spans="1:393" s="41" customFormat="1" ht="14.25" x14ac:dyDescent="0.2">
      <c r="A59" s="211"/>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c r="BT59" s="211"/>
      <c r="BU59" s="211"/>
      <c r="BV59" s="211"/>
      <c r="BW59" s="211"/>
      <c r="BX59" s="211"/>
      <c r="BY59" s="211"/>
      <c r="BZ59" s="211"/>
      <c r="CA59" s="211"/>
      <c r="CB59" s="211"/>
      <c r="CC59" s="211"/>
      <c r="CD59" s="211"/>
      <c r="CE59" s="211"/>
      <c r="CF59" s="211"/>
      <c r="CG59" s="211"/>
      <c r="CH59" s="211"/>
      <c r="CI59" s="211"/>
      <c r="CJ59" s="211"/>
      <c r="CK59" s="211"/>
      <c r="CL59" s="211"/>
      <c r="CM59" s="211"/>
      <c r="CN59" s="211"/>
      <c r="CO59" s="211"/>
      <c r="CP59" s="211"/>
      <c r="CQ59" s="211"/>
      <c r="CR59" s="211"/>
      <c r="CS59" s="211"/>
      <c r="CT59" s="211"/>
      <c r="CU59" s="211"/>
      <c r="CV59" s="211"/>
      <c r="CW59" s="211"/>
      <c r="CX59" s="211"/>
      <c r="CY59" s="211"/>
      <c r="CZ59" s="211"/>
      <c r="DA59" s="211"/>
      <c r="DB59" s="211"/>
      <c r="DC59" s="211"/>
      <c r="DD59" s="211"/>
      <c r="DE59" s="211"/>
      <c r="DF59" s="211"/>
      <c r="DG59" s="211"/>
      <c r="DH59" s="211"/>
      <c r="DI59" s="211"/>
      <c r="DJ59" s="211"/>
      <c r="DK59" s="211"/>
      <c r="DL59" s="211"/>
      <c r="DM59" s="211"/>
      <c r="DN59" s="211"/>
      <c r="DO59" s="211"/>
      <c r="DP59" s="211"/>
      <c r="DQ59" s="211"/>
      <c r="DR59" s="211"/>
      <c r="DS59" s="211"/>
      <c r="DT59" s="211"/>
      <c r="DU59" s="211"/>
      <c r="DV59" s="211"/>
      <c r="DW59" s="211"/>
      <c r="DX59" s="211"/>
      <c r="DY59" s="211"/>
      <c r="DZ59" s="211"/>
      <c r="EA59" s="211"/>
      <c r="EB59" s="211"/>
      <c r="EC59" s="211"/>
      <c r="ED59" s="211"/>
      <c r="EE59" s="211"/>
      <c r="EF59" s="211"/>
      <c r="EG59" s="211"/>
      <c r="EH59" s="211"/>
      <c r="EI59" s="211"/>
      <c r="EJ59" s="211"/>
      <c r="EK59" s="211"/>
      <c r="EL59" s="211"/>
      <c r="EM59" s="211"/>
      <c r="EN59" s="211"/>
      <c r="EO59" s="211"/>
      <c r="EP59" s="211"/>
      <c r="EQ59" s="211"/>
      <c r="ER59" s="211"/>
      <c r="ES59" s="211"/>
      <c r="ET59" s="211"/>
      <c r="EU59" s="211"/>
      <c r="EV59" s="211"/>
      <c r="EW59" s="211"/>
      <c r="EX59" s="211"/>
      <c r="EY59" s="211"/>
      <c r="EZ59" s="211"/>
      <c r="FA59" s="211"/>
      <c r="FB59" s="211"/>
      <c r="FC59" s="211"/>
      <c r="FD59" s="211"/>
      <c r="FE59" s="211"/>
      <c r="FF59" s="211"/>
      <c r="FG59" s="211"/>
      <c r="FH59" s="211"/>
      <c r="FI59" s="211"/>
      <c r="FJ59" s="211"/>
      <c r="FK59" s="211"/>
      <c r="FL59" s="211"/>
      <c r="FM59" s="211"/>
      <c r="FN59" s="211"/>
      <c r="FO59" s="211"/>
      <c r="FP59" s="211"/>
      <c r="FQ59" s="211"/>
      <c r="FR59" s="211"/>
      <c r="FS59" s="211"/>
      <c r="FT59" s="211"/>
      <c r="FU59" s="211"/>
      <c r="FV59" s="211"/>
      <c r="FW59" s="211"/>
      <c r="FX59" s="211"/>
      <c r="FY59" s="211"/>
      <c r="FZ59" s="211"/>
      <c r="GA59" s="211"/>
      <c r="GB59" s="211"/>
      <c r="GC59" s="211"/>
      <c r="GD59" s="211"/>
      <c r="GE59" s="211"/>
      <c r="GF59" s="211"/>
      <c r="GG59" s="211"/>
      <c r="GH59" s="211"/>
      <c r="GI59" s="211"/>
      <c r="GJ59" s="211"/>
      <c r="GK59" s="211"/>
      <c r="GL59" s="211"/>
      <c r="GM59" s="211"/>
      <c r="GN59" s="211"/>
      <c r="GO59" s="211"/>
      <c r="GP59" s="211"/>
      <c r="GQ59" s="211"/>
      <c r="GR59" s="211"/>
      <c r="GS59" s="211"/>
      <c r="GT59" s="211"/>
      <c r="GU59" s="211"/>
      <c r="GV59" s="211"/>
      <c r="GW59" s="211"/>
      <c r="GX59" s="211"/>
      <c r="GY59" s="211"/>
      <c r="GZ59" s="211"/>
      <c r="HA59" s="211"/>
      <c r="HB59" s="211"/>
      <c r="HC59" s="211"/>
      <c r="HD59" s="211"/>
      <c r="HE59" s="211"/>
      <c r="HF59" s="211"/>
      <c r="HG59" s="211"/>
      <c r="HH59" s="211"/>
      <c r="HI59" s="211"/>
      <c r="HJ59" s="211"/>
      <c r="HK59" s="211"/>
      <c r="HL59" s="211"/>
      <c r="HM59" s="211"/>
      <c r="HN59" s="211"/>
      <c r="HO59" s="211"/>
      <c r="HP59" s="211"/>
      <c r="HQ59" s="211"/>
      <c r="HR59" s="211"/>
      <c r="HS59" s="211"/>
      <c r="HT59" s="211"/>
      <c r="HU59" s="211"/>
      <c r="HV59" s="211"/>
      <c r="HW59" s="211"/>
      <c r="HX59" s="211"/>
      <c r="HY59" s="211"/>
      <c r="HZ59" s="211"/>
      <c r="IA59" s="211"/>
      <c r="IB59" s="211"/>
      <c r="IC59" s="211"/>
      <c r="ID59" s="211"/>
      <c r="IE59" s="211"/>
      <c r="IF59" s="211"/>
      <c r="IG59" s="211"/>
      <c r="IH59" s="211"/>
      <c r="II59" s="211"/>
      <c r="IJ59" s="211"/>
      <c r="IK59" s="211"/>
      <c r="IL59" s="211"/>
      <c r="IM59" s="211"/>
      <c r="IN59" s="211"/>
      <c r="IO59" s="211"/>
      <c r="IP59" s="211"/>
      <c r="IQ59" s="211"/>
      <c r="IR59" s="211"/>
      <c r="IS59" s="211"/>
      <c r="IT59" s="211"/>
      <c r="IU59" s="211"/>
      <c r="IV59" s="211"/>
      <c r="IW59" s="211"/>
      <c r="IX59" s="211"/>
      <c r="IY59" s="211"/>
      <c r="IZ59" s="211"/>
      <c r="JA59" s="211"/>
      <c r="JB59" s="211"/>
      <c r="JC59" s="211"/>
      <c r="JD59" s="211"/>
      <c r="JE59" s="211"/>
      <c r="JF59" s="211"/>
      <c r="JG59" s="211"/>
      <c r="JH59" s="211"/>
      <c r="JI59" s="211"/>
      <c r="JJ59" s="211"/>
      <c r="JK59" s="211"/>
      <c r="JL59" s="211"/>
      <c r="JM59" s="211"/>
      <c r="JN59" s="211"/>
      <c r="JO59" s="211"/>
      <c r="JP59" s="211"/>
      <c r="JQ59" s="211"/>
      <c r="JR59" s="211"/>
      <c r="JS59" s="211"/>
      <c r="JT59" s="211"/>
      <c r="JU59" s="211"/>
      <c r="JV59" s="211"/>
      <c r="JW59" s="211"/>
      <c r="JX59" s="211"/>
      <c r="JY59" s="211"/>
      <c r="JZ59" s="211"/>
      <c r="KA59" s="211"/>
      <c r="KB59" s="211"/>
      <c r="KC59" s="211"/>
      <c r="KD59" s="211"/>
      <c r="KE59" s="211"/>
      <c r="KF59" s="211"/>
      <c r="KG59" s="211"/>
      <c r="KH59" s="211"/>
      <c r="KI59" s="211"/>
      <c r="KJ59" s="211"/>
      <c r="KK59" s="211"/>
      <c r="KL59" s="211"/>
      <c r="KM59" s="211"/>
      <c r="KN59" s="211"/>
      <c r="KO59" s="211"/>
      <c r="KP59" s="211"/>
      <c r="KQ59" s="211"/>
      <c r="KR59" s="211"/>
      <c r="KS59" s="211"/>
      <c r="KT59" s="211"/>
      <c r="KU59" s="211"/>
      <c r="KV59" s="211"/>
      <c r="KW59" s="211"/>
      <c r="KX59" s="211"/>
      <c r="KY59" s="211"/>
      <c r="KZ59" s="211"/>
      <c r="LA59" s="211"/>
      <c r="LB59" s="211"/>
      <c r="LC59" s="211"/>
      <c r="LD59" s="211"/>
      <c r="LE59" s="211"/>
      <c r="LF59" s="211"/>
      <c r="LG59" s="211"/>
      <c r="LH59" s="211"/>
      <c r="LI59" s="211"/>
      <c r="LJ59" s="211"/>
      <c r="LK59" s="211"/>
      <c r="LL59" s="211"/>
      <c r="LM59" s="211"/>
      <c r="LN59" s="211"/>
      <c r="LO59" s="211"/>
      <c r="LP59" s="211"/>
      <c r="LQ59" s="211"/>
      <c r="LR59" s="211"/>
      <c r="LS59" s="211"/>
      <c r="LT59" s="211"/>
      <c r="LU59" s="211"/>
      <c r="LV59" s="211"/>
      <c r="LW59" s="211"/>
      <c r="LX59" s="211"/>
      <c r="LY59" s="211"/>
      <c r="LZ59" s="211"/>
      <c r="MA59" s="211"/>
      <c r="MB59" s="211"/>
      <c r="MC59" s="211"/>
      <c r="MD59" s="211"/>
      <c r="ME59" s="211"/>
      <c r="MF59" s="211"/>
      <c r="MG59" s="211"/>
      <c r="MH59" s="211"/>
      <c r="MI59" s="211"/>
      <c r="MJ59" s="211"/>
      <c r="MK59" s="211"/>
      <c r="ML59" s="211"/>
      <c r="MM59" s="211"/>
      <c r="MN59" s="211"/>
      <c r="MO59" s="211"/>
      <c r="MP59" s="211"/>
      <c r="MQ59" s="211"/>
      <c r="MR59" s="211"/>
      <c r="MS59" s="211"/>
      <c r="MT59" s="211"/>
      <c r="MU59" s="211"/>
      <c r="MV59" s="211"/>
      <c r="MW59" s="211"/>
      <c r="MX59" s="211"/>
      <c r="MY59" s="211"/>
      <c r="MZ59" s="211"/>
      <c r="NA59" s="211"/>
      <c r="NB59" s="211"/>
      <c r="NC59" s="211"/>
      <c r="ND59" s="211"/>
      <c r="NE59" s="211"/>
      <c r="NF59" s="211"/>
      <c r="NG59" s="211"/>
      <c r="NH59" s="211"/>
      <c r="NI59" s="211"/>
      <c r="NJ59" s="211"/>
      <c r="NK59" s="211"/>
      <c r="NL59" s="211"/>
      <c r="NM59" s="211"/>
      <c r="NN59" s="211"/>
      <c r="NO59" s="211"/>
      <c r="NP59" s="211"/>
      <c r="NQ59" s="211"/>
      <c r="NR59" s="211"/>
      <c r="NS59" s="211"/>
      <c r="NT59" s="211"/>
      <c r="NU59" s="211"/>
      <c r="NV59" s="211"/>
      <c r="NW59" s="211"/>
      <c r="NX59" s="211"/>
      <c r="NY59" s="211"/>
      <c r="NZ59" s="211"/>
      <c r="OA59" s="211"/>
      <c r="OB59" s="211"/>
      <c r="OC59" s="211"/>
    </row>
    <row r="60" spans="1:393" s="41" customFormat="1" ht="14.25" x14ac:dyDescent="0.2"/>
    <row r="61" spans="1:393" s="193" customFormat="1" ht="75.75" customHeight="1" x14ac:dyDescent="0.2">
      <c r="B61" s="550" t="str">
        <f>"As " &amp;'Program Info'!B3&amp;" Program Director, by selecting 'Yes' in the box to the right, I verify that an appropriate, authorized capstone field internship affiliate individual has provided and attested to the information presented in the corresponding table below."</f>
        <v>As  Program Director, by selecting 'Yes' in the box to the right, I verify that an appropriate, authorized capstone field internship affiliate individual has provided and attested to the information presented in the corresponding table below.</v>
      </c>
      <c r="C61" s="550"/>
      <c r="D61" s="550"/>
      <c r="E61" s="550"/>
      <c r="F61" s="550"/>
      <c r="G61" s="550"/>
      <c r="H61" s="550"/>
      <c r="I61" s="551" t="s">
        <v>95</v>
      </c>
      <c r="J61" s="551"/>
      <c r="O61" s="549"/>
      <c r="P61" s="549"/>
      <c r="Q61" s="549"/>
      <c r="R61" s="549"/>
      <c r="S61" s="549"/>
      <c r="T61" s="549"/>
      <c r="U61" s="549"/>
      <c r="AB61" s="549"/>
      <c r="AC61" s="549"/>
      <c r="AD61" s="549"/>
      <c r="AE61" s="549"/>
      <c r="AF61" s="549"/>
      <c r="AG61" s="549"/>
      <c r="AH61" s="549"/>
      <c r="AO61" s="549"/>
      <c r="AP61" s="549"/>
      <c r="AQ61" s="549"/>
      <c r="AR61" s="549"/>
      <c r="AS61" s="549"/>
      <c r="AT61" s="549"/>
      <c r="AU61" s="549"/>
      <c r="BB61" s="549"/>
      <c r="BC61" s="549"/>
      <c r="BD61" s="549"/>
      <c r="BE61" s="549"/>
      <c r="BF61" s="549"/>
      <c r="BG61" s="549"/>
      <c r="BH61" s="549"/>
      <c r="BO61" s="549"/>
      <c r="BP61" s="549"/>
      <c r="BQ61" s="549"/>
      <c r="BR61" s="549"/>
      <c r="BS61" s="549"/>
      <c r="BT61" s="549"/>
      <c r="BU61" s="549"/>
      <c r="CB61" s="549"/>
      <c r="CC61" s="549"/>
      <c r="CD61" s="549"/>
      <c r="CE61" s="549"/>
      <c r="CF61" s="549"/>
      <c r="CG61" s="549"/>
      <c r="CH61" s="549"/>
      <c r="CO61" s="549"/>
      <c r="CP61" s="549"/>
      <c r="CQ61" s="549"/>
      <c r="CR61" s="549"/>
      <c r="CS61" s="549"/>
      <c r="CT61" s="549"/>
      <c r="CU61" s="549"/>
      <c r="DB61" s="549"/>
      <c r="DC61" s="549"/>
      <c r="DD61" s="549"/>
      <c r="DE61" s="549"/>
      <c r="DF61" s="549"/>
      <c r="DG61" s="549"/>
      <c r="DH61" s="549"/>
      <c r="DO61" s="549"/>
      <c r="DP61" s="549"/>
      <c r="DQ61" s="549"/>
      <c r="DR61" s="549"/>
      <c r="DS61" s="549"/>
      <c r="DT61" s="549"/>
      <c r="DU61" s="549"/>
      <c r="EB61" s="549"/>
      <c r="EC61" s="549"/>
      <c r="ED61" s="549"/>
      <c r="EE61" s="549"/>
      <c r="EF61" s="549"/>
      <c r="EG61" s="549"/>
      <c r="EH61" s="549"/>
      <c r="EO61" s="549"/>
      <c r="EP61" s="549"/>
      <c r="EQ61" s="549"/>
      <c r="ER61" s="549"/>
      <c r="ES61" s="549"/>
      <c r="ET61" s="549"/>
      <c r="EU61" s="549"/>
      <c r="FB61" s="549"/>
      <c r="FC61" s="549"/>
      <c r="FD61" s="549"/>
      <c r="FE61" s="549"/>
      <c r="FF61" s="549"/>
      <c r="FG61" s="549"/>
      <c r="FH61" s="549"/>
      <c r="FO61" s="549"/>
      <c r="FP61" s="549"/>
      <c r="FQ61" s="549"/>
      <c r="FR61" s="549"/>
      <c r="FS61" s="549"/>
      <c r="FT61" s="549"/>
      <c r="FU61" s="549"/>
      <c r="GB61" s="549"/>
      <c r="GC61" s="549"/>
      <c r="GD61" s="549"/>
      <c r="GE61" s="549"/>
      <c r="GF61" s="549"/>
      <c r="GG61" s="549"/>
      <c r="GH61" s="549"/>
      <c r="GO61" s="549"/>
      <c r="GP61" s="549"/>
      <c r="GQ61" s="549"/>
      <c r="GR61" s="549"/>
      <c r="GS61" s="549"/>
      <c r="GT61" s="549"/>
      <c r="GU61" s="549"/>
      <c r="HB61" s="549"/>
      <c r="HC61" s="549"/>
      <c r="HD61" s="549"/>
      <c r="HE61" s="549"/>
      <c r="HF61" s="549"/>
      <c r="HG61" s="549"/>
      <c r="HH61" s="549"/>
      <c r="HO61" s="549"/>
      <c r="HP61" s="549"/>
      <c r="HQ61" s="549"/>
      <c r="HR61" s="549"/>
      <c r="HS61" s="549"/>
      <c r="HT61" s="549"/>
      <c r="HU61" s="549"/>
      <c r="IB61" s="549"/>
      <c r="IC61" s="549"/>
      <c r="ID61" s="549"/>
      <c r="IE61" s="549"/>
      <c r="IF61" s="549"/>
      <c r="IG61" s="549"/>
      <c r="IH61" s="549"/>
      <c r="IO61" s="549"/>
      <c r="IP61" s="549"/>
      <c r="IQ61" s="549"/>
      <c r="IR61" s="549"/>
      <c r="IS61" s="549"/>
      <c r="IT61" s="549"/>
      <c r="IU61" s="549"/>
      <c r="JB61" s="549"/>
      <c r="JC61" s="549"/>
      <c r="JD61" s="549"/>
      <c r="JE61" s="549"/>
      <c r="JF61" s="549"/>
      <c r="JG61" s="549"/>
      <c r="JH61" s="549"/>
      <c r="JO61" s="549"/>
      <c r="JP61" s="549"/>
      <c r="JQ61" s="549"/>
      <c r="JR61" s="549"/>
      <c r="JS61" s="549"/>
      <c r="JT61" s="549"/>
      <c r="JU61" s="549"/>
      <c r="KB61" s="549"/>
      <c r="KC61" s="549"/>
      <c r="KD61" s="549"/>
      <c r="KE61" s="549"/>
      <c r="KF61" s="549"/>
      <c r="KG61" s="549"/>
      <c r="KH61" s="549"/>
      <c r="KO61" s="549"/>
      <c r="KP61" s="549"/>
      <c r="KQ61" s="549"/>
      <c r="KR61" s="549"/>
      <c r="KS61" s="549"/>
      <c r="KT61" s="549"/>
      <c r="KU61" s="549"/>
      <c r="LB61" s="549"/>
      <c r="LC61" s="549"/>
      <c r="LD61" s="549"/>
      <c r="LE61" s="549"/>
      <c r="LF61" s="549"/>
      <c r="LG61" s="549"/>
      <c r="LH61" s="549"/>
      <c r="LO61" s="549"/>
      <c r="LP61" s="549"/>
      <c r="LQ61" s="549"/>
      <c r="LR61" s="549"/>
      <c r="LS61" s="549"/>
      <c r="LT61" s="549"/>
      <c r="LU61" s="549"/>
      <c r="MB61" s="549"/>
      <c r="MC61" s="549"/>
      <c r="MD61" s="549"/>
      <c r="ME61" s="549"/>
      <c r="MF61" s="549"/>
      <c r="MG61" s="549"/>
      <c r="MH61" s="549"/>
      <c r="MO61" s="549"/>
      <c r="MP61" s="549"/>
      <c r="MQ61" s="549"/>
      <c r="MR61" s="549"/>
      <c r="MS61" s="549"/>
      <c r="MT61" s="549"/>
      <c r="MU61" s="549"/>
      <c r="NB61" s="549"/>
      <c r="NC61" s="549"/>
      <c r="ND61" s="549"/>
      <c r="NE61" s="549"/>
      <c r="NF61" s="549"/>
      <c r="NG61" s="549"/>
      <c r="NH61" s="549"/>
      <c r="NO61" s="549"/>
      <c r="NP61" s="549"/>
      <c r="NQ61" s="549"/>
      <c r="NR61" s="549"/>
      <c r="NS61" s="549"/>
      <c r="NT61" s="549"/>
      <c r="NU61" s="549"/>
    </row>
    <row r="62" spans="1:393" s="41" customFormat="1" ht="14.25" x14ac:dyDescent="0.2"/>
    <row r="63" spans="1:393" s="41" customFormat="1" ht="14.25" x14ac:dyDescent="0.2"/>
    <row r="64" spans="1:393" s="41" customFormat="1" ht="48.75" customHeight="1" x14ac:dyDescent="0.2">
      <c r="B64" s="522" t="s">
        <v>203</v>
      </c>
      <c r="C64" s="522"/>
      <c r="D64" s="522"/>
      <c r="E64" s="522"/>
      <c r="F64" s="522"/>
      <c r="H64" s="184" t="s">
        <v>95</v>
      </c>
      <c r="O64" s="44"/>
      <c r="P64" s="44"/>
      <c r="Q64" s="44"/>
      <c r="R64" s="44"/>
      <c r="S64" s="44"/>
      <c r="AB64" s="526"/>
      <c r="AC64" s="526"/>
      <c r="AD64" s="526"/>
      <c r="AE64" s="526"/>
      <c r="AF64" s="526"/>
      <c r="AO64" s="526"/>
      <c r="AP64" s="526"/>
      <c r="AQ64" s="526"/>
      <c r="AR64" s="526"/>
      <c r="AS64" s="526"/>
      <c r="BB64" s="526"/>
      <c r="BC64" s="526"/>
      <c r="BD64" s="526"/>
      <c r="BE64" s="526"/>
      <c r="BF64" s="526"/>
      <c r="BO64" s="526"/>
      <c r="BP64" s="526"/>
      <c r="BQ64" s="526"/>
      <c r="BR64" s="526"/>
      <c r="BS64" s="526"/>
      <c r="CB64" s="526"/>
      <c r="CC64" s="526"/>
      <c r="CD64" s="526"/>
      <c r="CE64" s="526"/>
      <c r="CF64" s="526"/>
      <c r="CO64" s="526"/>
      <c r="CP64" s="526"/>
      <c r="CQ64" s="526"/>
      <c r="CR64" s="526"/>
      <c r="CS64" s="526"/>
      <c r="DB64" s="526"/>
      <c r="DC64" s="526"/>
      <c r="DD64" s="526"/>
      <c r="DE64" s="526"/>
      <c r="DF64" s="526"/>
      <c r="DO64" s="526"/>
      <c r="DP64" s="526"/>
      <c r="DQ64" s="526"/>
      <c r="DR64" s="526"/>
      <c r="DS64" s="526"/>
      <c r="EB64" s="526"/>
      <c r="EC64" s="526"/>
      <c r="ED64" s="526"/>
      <c r="EE64" s="526"/>
      <c r="EF64" s="526"/>
      <c r="EO64" s="526"/>
      <c r="EP64" s="526"/>
      <c r="EQ64" s="526"/>
      <c r="ER64" s="526"/>
      <c r="ES64" s="526"/>
      <c r="FB64" s="526"/>
      <c r="FC64" s="526"/>
      <c r="FD64" s="526"/>
      <c r="FE64" s="526"/>
      <c r="FF64" s="526"/>
      <c r="FO64" s="526"/>
      <c r="FP64" s="526"/>
      <c r="FQ64" s="526"/>
      <c r="FR64" s="526"/>
      <c r="FS64" s="526"/>
      <c r="GB64" s="526"/>
      <c r="GC64" s="526"/>
      <c r="GD64" s="526"/>
      <c r="GE64" s="526"/>
      <c r="GF64" s="526"/>
      <c r="GO64" s="526"/>
      <c r="GP64" s="526"/>
      <c r="GQ64" s="526"/>
      <c r="GR64" s="526"/>
      <c r="GS64" s="526"/>
      <c r="HB64" s="526"/>
      <c r="HC64" s="526"/>
      <c r="HD64" s="526"/>
      <c r="HE64" s="526"/>
      <c r="HF64" s="526"/>
      <c r="HO64" s="526"/>
      <c r="HP64" s="526"/>
      <c r="HQ64" s="526"/>
      <c r="HR64" s="526"/>
      <c r="HS64" s="526"/>
      <c r="IB64" s="526"/>
      <c r="IC64" s="526"/>
      <c r="ID64" s="526"/>
      <c r="IE64" s="526"/>
      <c r="IF64" s="526"/>
      <c r="IO64" s="526"/>
      <c r="IP64" s="526"/>
      <c r="IQ64" s="526"/>
      <c r="IR64" s="526"/>
      <c r="IS64" s="526"/>
      <c r="JB64" s="526"/>
      <c r="JC64" s="526"/>
      <c r="JD64" s="526"/>
      <c r="JE64" s="526"/>
      <c r="JF64" s="526"/>
      <c r="JO64" s="526"/>
      <c r="JP64" s="526"/>
      <c r="JQ64" s="526"/>
      <c r="JR64" s="526"/>
      <c r="JS64" s="526"/>
      <c r="KB64" s="526"/>
      <c r="KC64" s="526"/>
      <c r="KD64" s="526"/>
      <c r="KE64" s="526"/>
      <c r="KF64" s="526"/>
      <c r="KO64" s="526"/>
      <c r="KP64" s="526"/>
      <c r="KQ64" s="526"/>
      <c r="KR64" s="526"/>
      <c r="KS64" s="526"/>
      <c r="LB64" s="526"/>
      <c r="LC64" s="526"/>
      <c r="LD64" s="526"/>
      <c r="LE64" s="526"/>
      <c r="LF64" s="526"/>
      <c r="LO64" s="526"/>
      <c r="LP64" s="526"/>
      <c r="LQ64" s="526"/>
      <c r="LR64" s="526"/>
      <c r="LS64" s="526"/>
      <c r="MB64" s="526"/>
      <c r="MC64" s="526"/>
      <c r="MD64" s="526"/>
      <c r="ME64" s="526"/>
      <c r="MF64" s="526"/>
      <c r="MO64" s="526"/>
      <c r="MP64" s="526"/>
      <c r="MQ64" s="526"/>
      <c r="MR64" s="526"/>
      <c r="MS64" s="526"/>
      <c r="NB64" s="526"/>
      <c r="NC64" s="526"/>
      <c r="ND64" s="526"/>
      <c r="NE64" s="526"/>
      <c r="NF64" s="526"/>
      <c r="NO64" s="526"/>
      <c r="NP64" s="526"/>
      <c r="NQ64" s="526"/>
      <c r="NR64" s="526"/>
      <c r="NS64" s="526"/>
    </row>
    <row r="65" spans="2:387" s="41" customFormat="1" ht="14.25" x14ac:dyDescent="0.2"/>
    <row r="66" spans="2:387" s="41" customFormat="1" ht="19.5" customHeight="1" x14ac:dyDescent="0.2">
      <c r="B66" s="506" t="s">
        <v>133</v>
      </c>
      <c r="C66" s="506"/>
      <c r="D66" s="506"/>
      <c r="E66" s="506"/>
      <c r="F66" s="506"/>
      <c r="G66" s="73"/>
      <c r="H66" s="197">
        <f>'Title Page'!F14</f>
        <v>0</v>
      </c>
      <c r="O66" s="527"/>
      <c r="P66" s="527"/>
      <c r="Q66" s="527"/>
      <c r="R66" s="527"/>
      <c r="S66" s="527"/>
      <c r="T66" s="73"/>
      <c r="U66" s="73"/>
      <c r="AB66" s="527"/>
      <c r="AC66" s="527"/>
      <c r="AD66" s="527"/>
      <c r="AE66" s="527"/>
      <c r="AF66" s="527"/>
      <c r="AG66" s="73"/>
      <c r="AH66" s="73"/>
      <c r="AO66" s="527"/>
      <c r="AP66" s="527"/>
      <c r="AQ66" s="527"/>
      <c r="AR66" s="527"/>
      <c r="AS66" s="527"/>
      <c r="AT66" s="73"/>
      <c r="AU66" s="73"/>
      <c r="BB66" s="527"/>
      <c r="BC66" s="527"/>
      <c r="BD66" s="527"/>
      <c r="BE66" s="527"/>
      <c r="BF66" s="527"/>
      <c r="BG66" s="73"/>
      <c r="BH66" s="73"/>
      <c r="BO66" s="527"/>
      <c r="BP66" s="527"/>
      <c r="BQ66" s="527"/>
      <c r="BR66" s="527"/>
      <c r="BS66" s="527"/>
      <c r="BT66" s="73"/>
      <c r="BU66" s="73"/>
      <c r="CB66" s="527"/>
      <c r="CC66" s="527"/>
      <c r="CD66" s="527"/>
      <c r="CE66" s="527"/>
      <c r="CF66" s="527"/>
      <c r="CG66" s="73"/>
      <c r="CH66" s="73"/>
      <c r="CO66" s="527"/>
      <c r="CP66" s="527"/>
      <c r="CQ66" s="527"/>
      <c r="CR66" s="527"/>
      <c r="CS66" s="527"/>
      <c r="CT66" s="73"/>
      <c r="CU66" s="73"/>
      <c r="DB66" s="527"/>
      <c r="DC66" s="527"/>
      <c r="DD66" s="527"/>
      <c r="DE66" s="527"/>
      <c r="DF66" s="527"/>
      <c r="DG66" s="73"/>
      <c r="DH66" s="73"/>
      <c r="DO66" s="527"/>
      <c r="DP66" s="527"/>
      <c r="DQ66" s="527"/>
      <c r="DR66" s="527"/>
      <c r="DS66" s="527"/>
      <c r="DT66" s="73"/>
      <c r="DU66" s="73"/>
      <c r="EB66" s="527"/>
      <c r="EC66" s="527"/>
      <c r="ED66" s="527"/>
      <c r="EE66" s="527"/>
      <c r="EF66" s="527"/>
      <c r="EG66" s="73"/>
      <c r="EH66" s="73"/>
      <c r="EO66" s="527"/>
      <c r="EP66" s="527"/>
      <c r="EQ66" s="527"/>
      <c r="ER66" s="527"/>
      <c r="ES66" s="527"/>
      <c r="ET66" s="73"/>
      <c r="EU66" s="73"/>
      <c r="FB66" s="527"/>
      <c r="FC66" s="527"/>
      <c r="FD66" s="527"/>
      <c r="FE66" s="527"/>
      <c r="FF66" s="527"/>
      <c r="FG66" s="73"/>
      <c r="FH66" s="73"/>
      <c r="FO66" s="527"/>
      <c r="FP66" s="527"/>
      <c r="FQ66" s="527"/>
      <c r="FR66" s="527"/>
      <c r="FS66" s="527"/>
      <c r="FT66" s="73"/>
      <c r="FU66" s="73"/>
      <c r="GB66" s="527"/>
      <c r="GC66" s="527"/>
      <c r="GD66" s="527"/>
      <c r="GE66" s="527"/>
      <c r="GF66" s="527"/>
      <c r="GG66" s="73"/>
      <c r="GH66" s="73"/>
      <c r="GO66" s="527"/>
      <c r="GP66" s="527"/>
      <c r="GQ66" s="527"/>
      <c r="GR66" s="527"/>
      <c r="GS66" s="527"/>
      <c r="GT66" s="73"/>
      <c r="GU66" s="73"/>
      <c r="HB66" s="527"/>
      <c r="HC66" s="527"/>
      <c r="HD66" s="527"/>
      <c r="HE66" s="527"/>
      <c r="HF66" s="527"/>
      <c r="HG66" s="73"/>
      <c r="HH66" s="73"/>
      <c r="HO66" s="527"/>
      <c r="HP66" s="527"/>
      <c r="HQ66" s="527"/>
      <c r="HR66" s="527"/>
      <c r="HS66" s="527"/>
      <c r="HT66" s="73"/>
      <c r="HU66" s="73"/>
      <c r="IB66" s="527"/>
      <c r="IC66" s="527"/>
      <c r="ID66" s="527"/>
      <c r="IE66" s="527"/>
      <c r="IF66" s="527"/>
      <c r="IG66" s="73"/>
      <c r="IH66" s="73"/>
      <c r="IO66" s="527"/>
      <c r="IP66" s="527"/>
      <c r="IQ66" s="527"/>
      <c r="IR66" s="527"/>
      <c r="IS66" s="527"/>
      <c r="IT66" s="73"/>
      <c r="IU66" s="73"/>
      <c r="JB66" s="527"/>
      <c r="JC66" s="527"/>
      <c r="JD66" s="527"/>
      <c r="JE66" s="527"/>
      <c r="JF66" s="527"/>
      <c r="JG66" s="73"/>
      <c r="JH66" s="73"/>
      <c r="JO66" s="527"/>
      <c r="JP66" s="527"/>
      <c r="JQ66" s="527"/>
      <c r="JR66" s="527"/>
      <c r="JS66" s="527"/>
      <c r="JT66" s="73"/>
      <c r="JU66" s="73"/>
      <c r="KB66" s="527"/>
      <c r="KC66" s="527"/>
      <c r="KD66" s="527"/>
      <c r="KE66" s="527"/>
      <c r="KF66" s="527"/>
      <c r="KG66" s="73"/>
      <c r="KH66" s="73"/>
      <c r="KO66" s="527"/>
      <c r="KP66" s="527"/>
      <c r="KQ66" s="527"/>
      <c r="KR66" s="527"/>
      <c r="KS66" s="527"/>
      <c r="KT66" s="73"/>
      <c r="KU66" s="73"/>
      <c r="LB66" s="527"/>
      <c r="LC66" s="527"/>
      <c r="LD66" s="527"/>
      <c r="LE66" s="527"/>
      <c r="LF66" s="527"/>
      <c r="LG66" s="73"/>
      <c r="LH66" s="73"/>
      <c r="LO66" s="527"/>
      <c r="LP66" s="527"/>
      <c r="LQ66" s="527"/>
      <c r="LR66" s="527"/>
      <c r="LS66" s="527"/>
      <c r="LT66" s="73"/>
      <c r="LU66" s="73"/>
      <c r="MB66" s="527"/>
      <c r="MC66" s="527"/>
      <c r="MD66" s="527"/>
      <c r="ME66" s="527"/>
      <c r="MF66" s="527"/>
      <c r="MG66" s="73"/>
      <c r="MH66" s="73"/>
      <c r="MO66" s="527"/>
      <c r="MP66" s="527"/>
      <c r="MQ66" s="527"/>
      <c r="MR66" s="527"/>
      <c r="MS66" s="527"/>
      <c r="MT66" s="73"/>
      <c r="MU66" s="73"/>
      <c r="NB66" s="527"/>
      <c r="NC66" s="527"/>
      <c r="ND66" s="527"/>
      <c r="NE66" s="527"/>
      <c r="NF66" s="527"/>
      <c r="NG66" s="73"/>
      <c r="NH66" s="73"/>
      <c r="NO66" s="527"/>
      <c r="NP66" s="527"/>
      <c r="NQ66" s="527"/>
      <c r="NR66" s="527"/>
      <c r="NS66" s="527"/>
      <c r="NT66" s="73"/>
      <c r="NU66" s="73"/>
    </row>
    <row r="67" spans="2:387" s="41" customFormat="1" ht="14.25" x14ac:dyDescent="0.2"/>
    <row r="68" spans="2:387" s="41" customFormat="1" ht="43.5" customHeight="1" x14ac:dyDescent="0.2">
      <c r="B68" s="522" t="s">
        <v>202</v>
      </c>
      <c r="C68" s="506"/>
      <c r="D68" s="506"/>
      <c r="E68" s="506"/>
      <c r="F68" s="506"/>
      <c r="H68" s="212">
        <f>COUNTIF(I84:OL84,"Out*")</f>
        <v>0</v>
      </c>
      <c r="J68" s="43"/>
      <c r="O68" s="523"/>
      <c r="P68" s="524"/>
      <c r="Q68" s="524"/>
      <c r="R68" s="524"/>
      <c r="S68" s="524"/>
      <c r="W68" s="43"/>
      <c r="AB68" s="523"/>
      <c r="AC68" s="524"/>
      <c r="AD68" s="524"/>
      <c r="AE68" s="524"/>
      <c r="AF68" s="524"/>
      <c r="AJ68" s="43"/>
      <c r="AO68" s="523"/>
      <c r="AP68" s="524"/>
      <c r="AQ68" s="524"/>
      <c r="AR68" s="524"/>
      <c r="AS68" s="524"/>
      <c r="AW68" s="43"/>
      <c r="BB68" s="523"/>
      <c r="BC68" s="524"/>
      <c r="BD68" s="524"/>
      <c r="BE68" s="524"/>
      <c r="BF68" s="524"/>
      <c r="BJ68" s="43"/>
      <c r="BO68" s="523"/>
      <c r="BP68" s="524"/>
      <c r="BQ68" s="524"/>
      <c r="BR68" s="524"/>
      <c r="BS68" s="524"/>
      <c r="BW68" s="43"/>
      <c r="CB68" s="523"/>
      <c r="CC68" s="524"/>
      <c r="CD68" s="524"/>
      <c r="CE68" s="524"/>
      <c r="CF68" s="524"/>
      <c r="CJ68" s="43"/>
      <c r="CO68" s="523"/>
      <c r="CP68" s="524"/>
      <c r="CQ68" s="524"/>
      <c r="CR68" s="524"/>
      <c r="CS68" s="524"/>
      <c r="CW68" s="43"/>
      <c r="DB68" s="523"/>
      <c r="DC68" s="524"/>
      <c r="DD68" s="524"/>
      <c r="DE68" s="524"/>
      <c r="DF68" s="524"/>
      <c r="DJ68" s="43"/>
      <c r="DO68" s="523"/>
      <c r="DP68" s="524"/>
      <c r="DQ68" s="524"/>
      <c r="DR68" s="524"/>
      <c r="DS68" s="524"/>
      <c r="DW68" s="43"/>
      <c r="EB68" s="523"/>
      <c r="EC68" s="524"/>
      <c r="ED68" s="524"/>
      <c r="EE68" s="524"/>
      <c r="EF68" s="524"/>
      <c r="EJ68" s="43"/>
      <c r="EO68" s="523"/>
      <c r="EP68" s="524"/>
      <c r="EQ68" s="524"/>
      <c r="ER68" s="524"/>
      <c r="ES68" s="524"/>
      <c r="EW68" s="43"/>
      <c r="FB68" s="523"/>
      <c r="FC68" s="524"/>
      <c r="FD68" s="524"/>
      <c r="FE68" s="524"/>
      <c r="FF68" s="524"/>
      <c r="FJ68" s="43"/>
      <c r="FO68" s="523"/>
      <c r="FP68" s="524"/>
      <c r="FQ68" s="524"/>
      <c r="FR68" s="524"/>
      <c r="FS68" s="524"/>
      <c r="FW68" s="43"/>
      <c r="GB68" s="523"/>
      <c r="GC68" s="524"/>
      <c r="GD68" s="524"/>
      <c r="GE68" s="524"/>
      <c r="GF68" s="524"/>
      <c r="GJ68" s="43"/>
      <c r="GO68" s="523"/>
      <c r="GP68" s="524"/>
      <c r="GQ68" s="524"/>
      <c r="GR68" s="524"/>
      <c r="GS68" s="524"/>
      <c r="GW68" s="43"/>
      <c r="HB68" s="523"/>
      <c r="HC68" s="524"/>
      <c r="HD68" s="524"/>
      <c r="HE68" s="524"/>
      <c r="HF68" s="524"/>
      <c r="HJ68" s="43"/>
      <c r="HO68" s="523"/>
      <c r="HP68" s="524"/>
      <c r="HQ68" s="524"/>
      <c r="HR68" s="524"/>
      <c r="HS68" s="524"/>
      <c r="HW68" s="43"/>
      <c r="IB68" s="523"/>
      <c r="IC68" s="524"/>
      <c r="ID68" s="524"/>
      <c r="IE68" s="524"/>
      <c r="IF68" s="524"/>
      <c r="IJ68" s="43"/>
      <c r="IO68" s="523"/>
      <c r="IP68" s="524"/>
      <c r="IQ68" s="524"/>
      <c r="IR68" s="524"/>
      <c r="IS68" s="524"/>
      <c r="IW68" s="43"/>
      <c r="JB68" s="523"/>
      <c r="JC68" s="524"/>
      <c r="JD68" s="524"/>
      <c r="JE68" s="524"/>
      <c r="JF68" s="524"/>
      <c r="JJ68" s="43"/>
      <c r="JO68" s="523"/>
      <c r="JP68" s="524"/>
      <c r="JQ68" s="524"/>
      <c r="JR68" s="524"/>
      <c r="JS68" s="524"/>
      <c r="JW68" s="43"/>
      <c r="KB68" s="523"/>
      <c r="KC68" s="524"/>
      <c r="KD68" s="524"/>
      <c r="KE68" s="524"/>
      <c r="KF68" s="524"/>
      <c r="KJ68" s="43"/>
      <c r="KO68" s="523"/>
      <c r="KP68" s="524"/>
      <c r="KQ68" s="524"/>
      <c r="KR68" s="524"/>
      <c r="KS68" s="524"/>
      <c r="KW68" s="43"/>
      <c r="LB68" s="523"/>
      <c r="LC68" s="524"/>
      <c r="LD68" s="524"/>
      <c r="LE68" s="524"/>
      <c r="LF68" s="524"/>
      <c r="LJ68" s="43"/>
      <c r="LO68" s="523"/>
      <c r="LP68" s="524"/>
      <c r="LQ68" s="524"/>
      <c r="LR68" s="524"/>
      <c r="LS68" s="524"/>
      <c r="LW68" s="43"/>
      <c r="MB68" s="523"/>
      <c r="MC68" s="524"/>
      <c r="MD68" s="524"/>
      <c r="ME68" s="524"/>
      <c r="MF68" s="524"/>
      <c r="MJ68" s="43"/>
      <c r="MO68" s="523"/>
      <c r="MP68" s="524"/>
      <c r="MQ68" s="524"/>
      <c r="MR68" s="524"/>
      <c r="MS68" s="524"/>
      <c r="MW68" s="43"/>
      <c r="NB68" s="523"/>
      <c r="NC68" s="524"/>
      <c r="ND68" s="524"/>
      <c r="NE68" s="524"/>
      <c r="NF68" s="524"/>
      <c r="NJ68" s="43"/>
      <c r="NO68" s="523"/>
      <c r="NP68" s="524"/>
      <c r="NQ68" s="524"/>
      <c r="NR68" s="524"/>
      <c r="NS68" s="524"/>
      <c r="NW68" s="43"/>
    </row>
    <row r="69" spans="2:387" s="41" customFormat="1" ht="14.25" x14ac:dyDescent="0.2"/>
    <row r="70" spans="2:387" s="41" customFormat="1" ht="38.25" customHeight="1" x14ac:dyDescent="0.2">
      <c r="B70" s="522" t="s">
        <v>265</v>
      </c>
      <c r="C70" s="522"/>
      <c r="D70" s="522"/>
      <c r="E70" s="522"/>
      <c r="F70" s="522"/>
      <c r="G70" s="42"/>
      <c r="H70" s="213">
        <f>SUM(A97, N97, AA97, AN97, BA97, BN97, CA97, CN97, DA97, DN97, EA97, EN97, FA97, FN97, GA97, GN97, HA97, HN97, IA97, IN97, JA97, JN97, KA97, KN97, LA97, LN97, MA97, MN97, NA97, NN97)</f>
        <v>0</v>
      </c>
    </row>
    <row r="71" spans="2:387" s="41" customFormat="1" ht="14.25" x14ac:dyDescent="0.2"/>
    <row r="72" spans="2:387" s="41" customFormat="1" ht="14.25" x14ac:dyDescent="0.2"/>
    <row r="73" spans="2:387" s="41" customFormat="1" ht="45" customHeight="1" x14ac:dyDescent="0.2">
      <c r="B73" s="522" t="s">
        <v>373</v>
      </c>
      <c r="C73" s="522"/>
      <c r="D73" s="522"/>
      <c r="E73" s="522"/>
      <c r="F73" s="522"/>
      <c r="G73" s="42"/>
      <c r="H73" s="213">
        <f>COUNTIF(D91:NR91,"Yes")</f>
        <v>0</v>
      </c>
    </row>
    <row r="74" spans="2:387" s="41" customFormat="1" ht="14.25" x14ac:dyDescent="0.2"/>
    <row r="75" spans="2:387" s="41" customFormat="1" ht="43.5" customHeight="1" x14ac:dyDescent="0.2">
      <c r="B75" s="522" t="s">
        <v>543</v>
      </c>
      <c r="C75" s="522"/>
      <c r="D75" s="522"/>
      <c r="E75" s="522"/>
      <c r="F75" s="522"/>
      <c r="G75" s="42"/>
      <c r="H75" s="214">
        <f>SUM(I97, V97, AI97, AV97, BI97, BV97, CI97, CV97, DI97, DV97, EI97, EV97, FI97, FV97, GI97, GV97, HI97, HV97, II97, IV97, JI97, JV97, KI97, KV97, LI97, LV97, MI97, MV97, NI97, NV97)</f>
        <v>0</v>
      </c>
    </row>
    <row r="76" spans="2:387" s="41" customFormat="1" ht="14.25" x14ac:dyDescent="0.2"/>
    <row r="77" spans="2:387" s="41" customFormat="1" ht="45.75" customHeight="1" x14ac:dyDescent="0.2">
      <c r="B77" s="547" t="s">
        <v>375</v>
      </c>
      <c r="C77" s="547"/>
      <c r="D77" s="547"/>
      <c r="E77" s="547"/>
      <c r="F77" s="547"/>
      <c r="G77" s="547"/>
      <c r="H77" s="547"/>
      <c r="I77" s="547"/>
    </row>
    <row r="78" spans="2:387" s="41" customFormat="1" ht="14.25" x14ac:dyDescent="0.2"/>
    <row r="79" spans="2:387" s="41" customFormat="1" ht="47.25" customHeight="1" x14ac:dyDescent="0.2">
      <c r="B79" s="548" t="s">
        <v>374</v>
      </c>
      <c r="C79" s="548"/>
      <c r="D79" s="548"/>
      <c r="E79" s="548"/>
      <c r="F79" s="548"/>
      <c r="G79" s="548"/>
      <c r="H79" s="548"/>
      <c r="I79" s="548"/>
      <c r="O79" s="546"/>
      <c r="P79" s="546"/>
      <c r="Q79" s="546"/>
      <c r="R79" s="546"/>
      <c r="S79" s="546"/>
      <c r="T79" s="546"/>
      <c r="U79" s="546"/>
      <c r="AB79" s="546"/>
      <c r="AC79" s="546"/>
      <c r="AD79" s="546"/>
      <c r="AE79" s="546"/>
      <c r="AF79" s="546"/>
      <c r="AG79" s="546"/>
      <c r="AH79" s="546"/>
      <c r="AO79" s="546"/>
      <c r="AP79" s="546"/>
      <c r="AQ79" s="546"/>
      <c r="AR79" s="546"/>
      <c r="AS79" s="546"/>
      <c r="AT79" s="546"/>
      <c r="AU79" s="546"/>
      <c r="BB79" s="546"/>
      <c r="BC79" s="546"/>
      <c r="BD79" s="546"/>
      <c r="BE79" s="546"/>
      <c r="BF79" s="546"/>
      <c r="BG79" s="546"/>
      <c r="BH79" s="546"/>
      <c r="BO79" s="546"/>
      <c r="BP79" s="546"/>
      <c r="BQ79" s="546"/>
      <c r="BR79" s="546"/>
      <c r="BS79" s="546"/>
      <c r="BT79" s="546"/>
      <c r="BU79" s="546"/>
      <c r="CB79" s="546"/>
      <c r="CC79" s="546"/>
      <c r="CD79" s="546"/>
      <c r="CE79" s="546"/>
      <c r="CF79" s="546"/>
      <c r="CG79" s="546"/>
      <c r="CH79" s="546"/>
      <c r="CO79" s="546"/>
      <c r="CP79" s="546"/>
      <c r="CQ79" s="546"/>
      <c r="CR79" s="546"/>
      <c r="CS79" s="546"/>
      <c r="CT79" s="546"/>
      <c r="CU79" s="546"/>
      <c r="DB79" s="546"/>
      <c r="DC79" s="546"/>
      <c r="DD79" s="546"/>
      <c r="DE79" s="546"/>
      <c r="DF79" s="546"/>
      <c r="DG79" s="546"/>
      <c r="DH79" s="546"/>
      <c r="DO79" s="546"/>
      <c r="DP79" s="546"/>
      <c r="DQ79" s="546"/>
      <c r="DR79" s="546"/>
      <c r="DS79" s="546"/>
      <c r="DT79" s="546"/>
      <c r="DU79" s="546"/>
      <c r="EB79" s="546"/>
      <c r="EC79" s="546"/>
      <c r="ED79" s="546"/>
      <c r="EE79" s="546"/>
      <c r="EF79" s="546"/>
      <c r="EG79" s="546"/>
      <c r="EH79" s="546"/>
      <c r="EO79" s="546"/>
      <c r="EP79" s="546"/>
      <c r="EQ79" s="546"/>
      <c r="ER79" s="546"/>
      <c r="ES79" s="546"/>
      <c r="ET79" s="546"/>
      <c r="EU79" s="546"/>
      <c r="FB79" s="546"/>
      <c r="FC79" s="546"/>
      <c r="FD79" s="546"/>
      <c r="FE79" s="546"/>
      <c r="FF79" s="546"/>
      <c r="FG79" s="546"/>
      <c r="FH79" s="546"/>
      <c r="FO79" s="546"/>
      <c r="FP79" s="546"/>
      <c r="FQ79" s="546"/>
      <c r="FR79" s="546"/>
      <c r="FS79" s="546"/>
      <c r="FT79" s="546"/>
      <c r="FU79" s="546"/>
      <c r="GB79" s="546"/>
      <c r="GC79" s="546"/>
      <c r="GD79" s="546"/>
      <c r="GE79" s="546"/>
      <c r="GF79" s="546"/>
      <c r="GG79" s="546"/>
      <c r="GH79" s="546"/>
      <c r="GO79" s="546"/>
      <c r="GP79" s="546"/>
      <c r="GQ79" s="546"/>
      <c r="GR79" s="546"/>
      <c r="GS79" s="546"/>
      <c r="GT79" s="546"/>
      <c r="GU79" s="546"/>
      <c r="HB79" s="546"/>
      <c r="HC79" s="546"/>
      <c r="HD79" s="546"/>
      <c r="HE79" s="546"/>
      <c r="HF79" s="546"/>
      <c r="HG79" s="546"/>
      <c r="HH79" s="546"/>
      <c r="HO79" s="546"/>
      <c r="HP79" s="546"/>
      <c r="HQ79" s="546"/>
      <c r="HR79" s="546"/>
      <c r="HS79" s="546"/>
      <c r="HT79" s="546"/>
      <c r="HU79" s="546"/>
      <c r="IB79" s="546"/>
      <c r="IC79" s="546"/>
      <c r="ID79" s="546"/>
      <c r="IE79" s="546"/>
      <c r="IF79" s="546"/>
      <c r="IG79" s="546"/>
      <c r="IH79" s="546"/>
      <c r="IO79" s="546"/>
      <c r="IP79" s="546"/>
      <c r="IQ79" s="546"/>
      <c r="IR79" s="546"/>
      <c r="IS79" s="546"/>
      <c r="IT79" s="546"/>
      <c r="IU79" s="546"/>
      <c r="JB79" s="546"/>
      <c r="JC79" s="546"/>
      <c r="JD79" s="546"/>
      <c r="JE79" s="546"/>
      <c r="JF79" s="546"/>
      <c r="JG79" s="546"/>
      <c r="JH79" s="546"/>
      <c r="JO79" s="546"/>
      <c r="JP79" s="546"/>
      <c r="JQ79" s="546"/>
      <c r="JR79" s="546"/>
      <c r="JS79" s="546"/>
      <c r="JT79" s="546"/>
      <c r="JU79" s="546"/>
      <c r="KB79" s="546"/>
      <c r="KC79" s="546"/>
      <c r="KD79" s="546"/>
      <c r="KE79" s="546"/>
      <c r="KF79" s="546"/>
      <c r="KG79" s="546"/>
      <c r="KH79" s="546"/>
      <c r="KO79" s="546"/>
      <c r="KP79" s="546"/>
      <c r="KQ79" s="546"/>
      <c r="KR79" s="546"/>
      <c r="KS79" s="546"/>
      <c r="KT79" s="546"/>
      <c r="KU79" s="546"/>
      <c r="LB79" s="546"/>
      <c r="LC79" s="546"/>
      <c r="LD79" s="546"/>
      <c r="LE79" s="546"/>
      <c r="LF79" s="546"/>
      <c r="LG79" s="546"/>
      <c r="LH79" s="546"/>
      <c r="LO79" s="546"/>
      <c r="LP79" s="546"/>
      <c r="LQ79" s="546"/>
      <c r="LR79" s="546"/>
      <c r="LS79" s="546"/>
      <c r="LT79" s="546"/>
      <c r="LU79" s="546"/>
      <c r="MB79" s="546"/>
      <c r="MC79" s="546"/>
      <c r="MD79" s="546"/>
      <c r="ME79" s="546"/>
      <c r="MF79" s="546"/>
      <c r="MG79" s="546"/>
      <c r="MH79" s="546"/>
      <c r="MO79" s="546"/>
      <c r="MP79" s="546"/>
      <c r="MQ79" s="546"/>
      <c r="MR79" s="546"/>
      <c r="MS79" s="546"/>
      <c r="MT79" s="546"/>
      <c r="MU79" s="546"/>
      <c r="NB79" s="546"/>
      <c r="NC79" s="546"/>
      <c r="ND79" s="546"/>
      <c r="NE79" s="546"/>
      <c r="NF79" s="546"/>
      <c r="NG79" s="546"/>
      <c r="NH79" s="546"/>
      <c r="NO79" s="546"/>
      <c r="NP79" s="546"/>
      <c r="NQ79" s="546"/>
      <c r="NR79" s="546"/>
      <c r="NS79" s="546"/>
      <c r="NT79" s="546"/>
      <c r="NU79" s="546"/>
    </row>
    <row r="80" spans="2:387" s="41" customFormat="1" ht="14.25" x14ac:dyDescent="0.2"/>
    <row r="81" spans="1:400" s="41" customFormat="1" ht="14.25" x14ac:dyDescent="0.2"/>
    <row r="82" spans="1:400" s="41" customFormat="1" ht="18" x14ac:dyDescent="0.2">
      <c r="B82" s="532" t="str">
        <f>IF(AND($H$64&gt;=1, $H$64&lt;&gt;"Please Select"),"Active Capstone Field Internship Data Form Number CF1","")</f>
        <v/>
      </c>
      <c r="C82" s="532"/>
      <c r="D82" s="532"/>
      <c r="E82" s="532"/>
      <c r="F82" s="532"/>
      <c r="G82" s="532"/>
      <c r="H82" s="532"/>
      <c r="O82" s="532" t="str">
        <f>IF(AND($H$64&gt;=2, $H$64&lt;&gt;"Please Select"),"Active Capstone Field Internship Data Form Number CF2","")</f>
        <v/>
      </c>
      <c r="P82" s="532"/>
      <c r="Q82" s="532"/>
      <c r="R82" s="532"/>
      <c r="S82" s="532"/>
      <c r="T82" s="532"/>
      <c r="U82" s="532"/>
      <c r="AB82" s="532" t="str">
        <f>IF(AND($H$64&gt;=3, $H$64&lt;&gt;"Please Select"),"Active Capstone Field Internship Data Form Number CF3","")</f>
        <v/>
      </c>
      <c r="AC82" s="532"/>
      <c r="AD82" s="532"/>
      <c r="AE82" s="532"/>
      <c r="AF82" s="532"/>
      <c r="AG82" s="532"/>
      <c r="AH82" s="532"/>
      <c r="AO82" s="532" t="str">
        <f>IF(AND($H$64&gt;=4, $H$64&lt;&gt;"Please Select"),"Active Capstone Field Internship Data Form Number CF4","")</f>
        <v/>
      </c>
      <c r="AP82" s="532"/>
      <c r="AQ82" s="532"/>
      <c r="AR82" s="532"/>
      <c r="AS82" s="532"/>
      <c r="AT82" s="532"/>
      <c r="AU82" s="532"/>
      <c r="BB82" s="532" t="str">
        <f>IF(AND($H$64&gt;=5, $H$64&lt;&gt;"Please Select"),"Active Capstone Field Internship Data Form Number CF5","")</f>
        <v/>
      </c>
      <c r="BC82" s="532"/>
      <c r="BD82" s="532"/>
      <c r="BE82" s="532"/>
      <c r="BF82" s="532"/>
      <c r="BG82" s="532"/>
      <c r="BH82" s="532"/>
      <c r="BO82" s="532" t="str">
        <f>IF(AND($H$64&gt;=6, $H$64&lt;&gt;"Please Select"),"Active Capstone Field Internship Data Form Number CF6","")</f>
        <v/>
      </c>
      <c r="BP82" s="532"/>
      <c r="BQ82" s="532"/>
      <c r="BR82" s="532"/>
      <c r="BS82" s="532"/>
      <c r="BT82" s="532"/>
      <c r="BU82" s="532"/>
      <c r="CB82" s="532" t="str">
        <f>IF(AND($H$64&gt;=7, $H$64&lt;&gt;"Please Select"),"Active Capstone Field Internship Data Form Number CF7","")</f>
        <v/>
      </c>
      <c r="CC82" s="532"/>
      <c r="CD82" s="532"/>
      <c r="CE82" s="532"/>
      <c r="CF82" s="532"/>
      <c r="CG82" s="532"/>
      <c r="CH82" s="532"/>
      <c r="CO82" s="532" t="str">
        <f>IF(AND($H$64&gt;=8, $H$64&lt;&gt;"Please Select"),"Active Capstone Field Internship Data Form Number CF8","")</f>
        <v/>
      </c>
      <c r="CP82" s="532"/>
      <c r="CQ82" s="532"/>
      <c r="CR82" s="532"/>
      <c r="CS82" s="532"/>
      <c r="CT82" s="532"/>
      <c r="CU82" s="532"/>
      <c r="DB82" s="532" t="str">
        <f>IF(AND($H$64&gt;=9, $H$64&lt;&gt;"Please Select"),"Active Capstone Field Internship Data Form Number CF9","")</f>
        <v/>
      </c>
      <c r="DC82" s="532"/>
      <c r="DD82" s="532"/>
      <c r="DE82" s="532"/>
      <c r="DF82" s="532"/>
      <c r="DG82" s="532"/>
      <c r="DH82" s="532"/>
      <c r="DO82" s="532" t="str">
        <f>IF(AND($H$64&gt;=10, $H$64&lt;&gt;"Please Select"),"Active Capstone Field Internship Data Form Number FC10","")</f>
        <v/>
      </c>
      <c r="DP82" s="532"/>
      <c r="DQ82" s="532"/>
      <c r="DR82" s="532"/>
      <c r="DS82" s="532"/>
      <c r="DT82" s="532"/>
      <c r="DU82" s="532"/>
      <c r="EB82" s="532" t="str">
        <f>IF(AND($H$64&gt;=11, $H$64&lt;&gt;"Please Select"),"Active Capstone Field Internship Data Form Number CF11","")</f>
        <v/>
      </c>
      <c r="EC82" s="532"/>
      <c r="ED82" s="532"/>
      <c r="EE82" s="532"/>
      <c r="EF82" s="532"/>
      <c r="EG82" s="532"/>
      <c r="EH82" s="532"/>
      <c r="EO82" s="532" t="str">
        <f>IF(AND($H$64&gt;=12, $H$64&lt;&gt;"Please Select"),"Active Capstone Field Internship Data Form Number CF12","")</f>
        <v/>
      </c>
      <c r="EP82" s="532"/>
      <c r="EQ82" s="532"/>
      <c r="ER82" s="532"/>
      <c r="ES82" s="532"/>
      <c r="ET82" s="532"/>
      <c r="EU82" s="532"/>
      <c r="FB82" s="532" t="str">
        <f>IF(AND($H$64&gt;=13, $H$64&lt;&gt;"Please Select"),"Active Capstone Field Internship Data Form Number CF13","")</f>
        <v/>
      </c>
      <c r="FC82" s="532"/>
      <c r="FD82" s="532"/>
      <c r="FE82" s="532"/>
      <c r="FF82" s="532"/>
      <c r="FG82" s="532"/>
      <c r="FH82" s="532"/>
      <c r="FO82" s="532" t="str">
        <f>IF(AND($H$64&gt;=14, $H$64&lt;&gt;"Please Select"),"Active Capstone Field Internship Data Form Number CF14","")</f>
        <v/>
      </c>
      <c r="FP82" s="532"/>
      <c r="FQ82" s="532"/>
      <c r="FR82" s="532"/>
      <c r="FS82" s="532"/>
      <c r="FT82" s="532"/>
      <c r="FU82" s="532"/>
      <c r="GB82" s="532" t="str">
        <f>IF(AND($H$64&gt;=15, $H$64&lt;&gt;"Please Select"),"Active Capstone Field Internship Data Form Number CF15","")</f>
        <v/>
      </c>
      <c r="GC82" s="532"/>
      <c r="GD82" s="532"/>
      <c r="GE82" s="532"/>
      <c r="GF82" s="532"/>
      <c r="GG82" s="532"/>
      <c r="GH82" s="532"/>
      <c r="GO82" s="532" t="str">
        <f>IF(AND($H$64&gt;=16, $H$64&lt;&gt;"Please Select"),"Active Capstone Field Internship Data Form Number CF16","")</f>
        <v/>
      </c>
      <c r="GP82" s="532"/>
      <c r="GQ82" s="532"/>
      <c r="GR82" s="532"/>
      <c r="GS82" s="532"/>
      <c r="GT82" s="532"/>
      <c r="GU82" s="532"/>
      <c r="HB82" s="532" t="str">
        <f>IF(AND($H$64&gt;=17, $H$64&lt;&gt;"Please Select"),"Active Capstone Field Internship Data Form Number CF17","")</f>
        <v/>
      </c>
      <c r="HC82" s="532"/>
      <c r="HD82" s="532"/>
      <c r="HE82" s="532"/>
      <c r="HF82" s="532"/>
      <c r="HG82" s="532"/>
      <c r="HH82" s="532"/>
      <c r="HO82" s="532" t="str">
        <f>IF(AND($H$64&gt;=18, $H$64&lt;&gt;"Please Select"),"Active Capstone Field Internship Data Form Number CF18","")</f>
        <v/>
      </c>
      <c r="HP82" s="532"/>
      <c r="HQ82" s="532"/>
      <c r="HR82" s="532"/>
      <c r="HS82" s="532"/>
      <c r="HT82" s="532"/>
      <c r="HU82" s="532"/>
      <c r="IB82" s="532" t="str">
        <f>IF(AND($H$64&gt;=19, $H$64&lt;&gt;"Please Select"),"Active Capstone Field Internship Data Form Number CF19","")</f>
        <v/>
      </c>
      <c r="IC82" s="532"/>
      <c r="ID82" s="532"/>
      <c r="IE82" s="532"/>
      <c r="IF82" s="532"/>
      <c r="IG82" s="532"/>
      <c r="IH82" s="532"/>
      <c r="IO82" s="532" t="str">
        <f>IF(AND($H$64&gt;=20, $H$64&lt;&gt;"Please Select"),"Active Capstone Field Internship Data Form Number CF20","")</f>
        <v/>
      </c>
      <c r="IP82" s="532"/>
      <c r="IQ82" s="532"/>
      <c r="IR82" s="532"/>
      <c r="IS82" s="532"/>
      <c r="IT82" s="532"/>
      <c r="IU82" s="532"/>
      <c r="JB82" s="532" t="str">
        <f>IF(AND($H$64&gt;=21, $H$64&lt;&gt;"Please Select"),"Active Capstone Field Internship Data Form Number CF21","")</f>
        <v/>
      </c>
      <c r="JC82" s="532"/>
      <c r="JD82" s="532"/>
      <c r="JE82" s="532"/>
      <c r="JF82" s="532"/>
      <c r="JG82" s="532"/>
      <c r="JH82" s="532"/>
      <c r="JO82" s="532" t="str">
        <f>IF(AND($H$64&gt;=22, $H$64&lt;&gt;"Please Select"),"Active Capstone Field Internship Data Form Number CF22","")</f>
        <v/>
      </c>
      <c r="JP82" s="532"/>
      <c r="JQ82" s="532"/>
      <c r="JR82" s="532"/>
      <c r="JS82" s="532"/>
      <c r="JT82" s="532"/>
      <c r="JU82" s="532"/>
      <c r="KB82" s="532" t="str">
        <f>IF(AND($H$64&gt;=23, $H$64&lt;&gt;"Please Select"),"Active Capstone Field Internship Data Form Number CF23","")</f>
        <v/>
      </c>
      <c r="KC82" s="532"/>
      <c r="KD82" s="532"/>
      <c r="KE82" s="532"/>
      <c r="KF82" s="532"/>
      <c r="KG82" s="532"/>
      <c r="KH82" s="532"/>
      <c r="KO82" s="532" t="str">
        <f>IF(AND($H$64&gt;=24, $H$64&lt;&gt;"Please Select"),"Active Capstone Field Internship Data Form Number CF24","")</f>
        <v/>
      </c>
      <c r="KP82" s="532"/>
      <c r="KQ82" s="532"/>
      <c r="KR82" s="532"/>
      <c r="KS82" s="532"/>
      <c r="KT82" s="532"/>
      <c r="KU82" s="532"/>
      <c r="LB82" s="532" t="str">
        <f>IF(AND($H$64&gt;=25, $H$64&lt;&gt;"Please Select"),"Active Capstone Field Internship Data Form Number CF25","")</f>
        <v/>
      </c>
      <c r="LC82" s="532"/>
      <c r="LD82" s="532"/>
      <c r="LE82" s="532"/>
      <c r="LF82" s="532"/>
      <c r="LG82" s="532"/>
      <c r="LH82" s="532"/>
      <c r="LO82" s="532" t="str">
        <f>IF(AND($H$64&gt;=26, $H$64&lt;&gt;"Please Select"),"Active Capstone Field Internship Data Form Number CF26","")</f>
        <v/>
      </c>
      <c r="LP82" s="532"/>
      <c r="LQ82" s="532"/>
      <c r="LR82" s="532"/>
      <c r="LS82" s="532"/>
      <c r="LT82" s="532"/>
      <c r="LU82" s="532"/>
      <c r="MB82" s="532" t="str">
        <f>IF(AND($H$64&gt;=27, $H$64&lt;&gt;"Please Select"),"Active Capstone Field Internship Data Form Number CF27","")</f>
        <v/>
      </c>
      <c r="MC82" s="532"/>
      <c r="MD82" s="532"/>
      <c r="ME82" s="532"/>
      <c r="MF82" s="532"/>
      <c r="MG82" s="532"/>
      <c r="MH82" s="532"/>
      <c r="MO82" s="532" t="str">
        <f>IF(AND($H$64&gt;=28, $H$64&lt;&gt;"Please Select"),"Active Capstone Field Internship Data Form Number CF28","")</f>
        <v/>
      </c>
      <c r="MP82" s="532"/>
      <c r="MQ82" s="532"/>
      <c r="MR82" s="532"/>
      <c r="MS82" s="532"/>
      <c r="MT82" s="532"/>
      <c r="MU82" s="532"/>
      <c r="NB82" s="532" t="str">
        <f>IF(AND($H$64&gt;=29, $H$64&lt;&gt;"Please Select"),"Active Capstone Field Internship Data Form Number CF29","")</f>
        <v/>
      </c>
      <c r="NC82" s="532"/>
      <c r="ND82" s="532"/>
      <c r="NE82" s="532"/>
      <c r="NF82" s="532"/>
      <c r="NG82" s="532"/>
      <c r="NH82" s="532"/>
      <c r="NO82" s="532" t="str">
        <f>IF(AND($H$64&gt;=30, $H$64&lt;&gt;"Please Select"),"Active Capstone Field Internship Data Form Number CF30","")</f>
        <v/>
      </c>
      <c r="NP82" s="532"/>
      <c r="NQ82" s="532"/>
      <c r="NR82" s="532"/>
      <c r="NS82" s="532"/>
      <c r="NT82" s="532"/>
      <c r="NU82" s="532"/>
    </row>
    <row r="83" spans="1:400" s="41" customFormat="1" ht="14.25" x14ac:dyDescent="0.2"/>
    <row r="84" spans="1:400" s="41" customFormat="1" ht="15" customHeight="1" x14ac:dyDescent="0.2">
      <c r="B84" s="1" t="str">
        <f>IF(AND($H$64&gt;=1, $H$64&lt;&gt;"Please Select"),"Affiliate Name:","")</f>
        <v/>
      </c>
      <c r="C84" s="545"/>
      <c r="D84" s="545"/>
      <c r="E84" s="545"/>
      <c r="F84" s="545"/>
      <c r="G84" s="73"/>
      <c r="I84" s="531" t="str">
        <f>IF(H66=F87,"",IF(AND(H66&lt;&gt;F87,F87&lt;&gt;""),"Out of State Affiliate",""))</f>
        <v/>
      </c>
      <c r="J84" s="531"/>
      <c r="K84" s="531"/>
      <c r="L84" s="531"/>
      <c r="O84" s="1" t="str">
        <f>IF(AND($H$64&gt;=2, $H$64&lt;&gt;"Please Select"),"Affiliate Name:","")</f>
        <v/>
      </c>
      <c r="P84" s="545"/>
      <c r="Q84" s="545"/>
      <c r="R84" s="545"/>
      <c r="S84" s="545"/>
      <c r="T84" s="73"/>
      <c r="V84" s="531" t="str">
        <f>IF(H66=S87,"",IF(AND(H66&lt;&gt;S87,S87&lt;&gt;""),"Out of State Affiliate",""))</f>
        <v/>
      </c>
      <c r="W84" s="531"/>
      <c r="X84" s="531"/>
      <c r="Y84" s="531"/>
      <c r="AB84" s="1" t="str">
        <f>IF(AND($H$64&gt;=3, $H$64&lt;&gt;"Please Select"),"Affiliate Name:","")</f>
        <v/>
      </c>
      <c r="AC84" s="545"/>
      <c r="AD84" s="545"/>
      <c r="AE84" s="545"/>
      <c r="AF84" s="545"/>
      <c r="AG84" s="73"/>
      <c r="AI84" s="531" t="str">
        <f>IF(H66=AF87,"",IF(AND(H66&lt;&gt;AF87,AF87&lt;&gt;""),"Out of State Affiliate",""))</f>
        <v/>
      </c>
      <c r="AJ84" s="531"/>
      <c r="AK84" s="531"/>
      <c r="AL84" s="531"/>
      <c r="AO84" s="1" t="str">
        <f>IF(AND($H$64&gt;=4, $H$64&lt;&gt;"Please Select"),"Affiliate Name:","")</f>
        <v/>
      </c>
      <c r="AP84" s="545"/>
      <c r="AQ84" s="545"/>
      <c r="AR84" s="545"/>
      <c r="AS84" s="545"/>
      <c r="AT84" s="73"/>
      <c r="AV84" s="531" t="str">
        <f>IF(H66=AS87,"",IF(AND(H66&lt;&gt;AS87,AS87&lt;&gt;""),"Out of State Affiliate",""))</f>
        <v/>
      </c>
      <c r="AW84" s="531"/>
      <c r="AX84" s="531"/>
      <c r="AY84" s="531"/>
      <c r="BB84" s="1" t="str">
        <f>IF(AND($H$64&gt;=5, $H$64&lt;&gt;"Please Select"),"Affiliate Name:","")</f>
        <v/>
      </c>
      <c r="BC84" s="545"/>
      <c r="BD84" s="545"/>
      <c r="BE84" s="545"/>
      <c r="BF84" s="545"/>
      <c r="BG84" s="73"/>
      <c r="BI84" s="531" t="str">
        <f>IF(H66=BF87,"",IF(AND(H66&lt;&gt;BF87,BF87&lt;&gt;""),"Out of State Affiliate",""))</f>
        <v/>
      </c>
      <c r="BJ84" s="531"/>
      <c r="BK84" s="531"/>
      <c r="BL84" s="531"/>
      <c r="BO84" s="1" t="str">
        <f>IF(AND($H$64&gt;=6, $H$64&lt;&gt;"Please Select"),"Affiliate Name:","")</f>
        <v/>
      </c>
      <c r="BP84" s="545"/>
      <c r="BQ84" s="545"/>
      <c r="BR84" s="545"/>
      <c r="BS84" s="545"/>
      <c r="BT84" s="73"/>
      <c r="BV84" s="531" t="str">
        <f>IF(H66=BS87,"",IF(AND(H66&lt;&gt;BS87,BS87&lt;&gt;""),"Out of State Affiliate",""))</f>
        <v/>
      </c>
      <c r="BW84" s="531"/>
      <c r="BX84" s="531"/>
      <c r="BY84" s="531"/>
      <c r="CB84" s="1" t="str">
        <f>IF(AND($H$64&gt;=7, $H$64&lt;&gt;"Please Select"),"Affiliate Name:","")</f>
        <v/>
      </c>
      <c r="CC84" s="545"/>
      <c r="CD84" s="545"/>
      <c r="CE84" s="545"/>
      <c r="CF84" s="545"/>
      <c r="CG84" s="73"/>
      <c r="CI84" s="531" t="str">
        <f>IF(H66=CF87,"",IF(AND(H66&lt;&gt;CF87,CF87&lt;&gt;""),"Out of State Affiliate",""))</f>
        <v/>
      </c>
      <c r="CJ84" s="531"/>
      <c r="CK84" s="531"/>
      <c r="CL84" s="531"/>
      <c r="CO84" s="1" t="str">
        <f>IF(AND($H$64&gt;=8, $H$64&lt;&gt;"Please Select"),"Affiliate Name:","")</f>
        <v/>
      </c>
      <c r="CP84" s="545"/>
      <c r="CQ84" s="545"/>
      <c r="CR84" s="545"/>
      <c r="CS84" s="545"/>
      <c r="CT84" s="73"/>
      <c r="CV84" s="531" t="str">
        <f>IF(H66=CS87,"",IF(AND(H66&lt;&gt;CS87,CS87&lt;&gt;""),"Out of State Affiliate",""))</f>
        <v/>
      </c>
      <c r="CW84" s="531"/>
      <c r="CX84" s="531"/>
      <c r="CY84" s="531"/>
      <c r="DB84" s="1" t="str">
        <f>IF(AND($H$64&gt;=9, $H$64&lt;&gt;"Please Select"),"Affiliate Name:","")</f>
        <v/>
      </c>
      <c r="DC84" s="545"/>
      <c r="DD84" s="545"/>
      <c r="DE84" s="545"/>
      <c r="DF84" s="545"/>
      <c r="DG84" s="73"/>
      <c r="DI84" s="531" t="str">
        <f>IF(H66=DF87,"",IF(AND(H66&lt;&gt;DF87,DF87&lt;&gt;""),"Out of State Affiliate",""))</f>
        <v/>
      </c>
      <c r="DJ84" s="531"/>
      <c r="DK84" s="531"/>
      <c r="DL84" s="531"/>
      <c r="DO84" s="1" t="str">
        <f>IF(AND($H$64&gt;=10, $H$64&lt;&gt;"Please Select"),"Affiliate Name:","")</f>
        <v/>
      </c>
      <c r="DP84" s="545"/>
      <c r="DQ84" s="545"/>
      <c r="DR84" s="545"/>
      <c r="DS84" s="545"/>
      <c r="DT84" s="73"/>
      <c r="DV84" s="531" t="str">
        <f>IF(H66=DS87,"",IF(AND(H66&lt;&gt;DS87,DS87&lt;&gt;""),"Out of State Affiliate",""))</f>
        <v/>
      </c>
      <c r="DW84" s="531"/>
      <c r="DX84" s="531"/>
      <c r="DY84" s="531"/>
      <c r="EB84" s="1" t="str">
        <f>IF(AND($H$64&gt;=11, $H$64&lt;&gt;"Please Select"),"Affiliate Name:","")</f>
        <v/>
      </c>
      <c r="EC84" s="545"/>
      <c r="ED84" s="545"/>
      <c r="EE84" s="545"/>
      <c r="EF84" s="545"/>
      <c r="EG84" s="73"/>
      <c r="EI84" s="531" t="str">
        <f>IF(H66=EF87,"",IF(AND(H66&lt;&gt;EF87,EF87&lt;&gt;""),"Out of State Affiliate",""))</f>
        <v/>
      </c>
      <c r="EJ84" s="531"/>
      <c r="EK84" s="531"/>
      <c r="EL84" s="531"/>
      <c r="EO84" s="1" t="str">
        <f>IF(AND($H$64&gt;=12, $H$64&lt;&gt;"Please Select"),"Affiliate Name:","")</f>
        <v/>
      </c>
      <c r="EP84" s="545"/>
      <c r="EQ84" s="545"/>
      <c r="ER84" s="545"/>
      <c r="ES84" s="545"/>
      <c r="ET84" s="73"/>
      <c r="EV84" s="531" t="str">
        <f>IF(H66=ES87,"",IF(AND(H66&lt;&gt;ES87,ES87&lt;&gt;""),"Out of State Affiliate",""))</f>
        <v/>
      </c>
      <c r="EW84" s="531"/>
      <c r="EX84" s="531"/>
      <c r="EY84" s="531"/>
      <c r="FB84" s="1" t="str">
        <f>IF(AND($H$64&gt;=13, $H$64&lt;&gt;"Please Select"),"Affiliate Name:","")</f>
        <v/>
      </c>
      <c r="FC84" s="545"/>
      <c r="FD84" s="545"/>
      <c r="FE84" s="545"/>
      <c r="FF84" s="545"/>
      <c r="FG84" s="73"/>
      <c r="FI84" s="531" t="str">
        <f>IF(H66=FF87,"",IF(AND(H66&lt;&gt;FF87,FF87&lt;&gt;""),"Out of State Affiliate",""))</f>
        <v/>
      </c>
      <c r="FJ84" s="531"/>
      <c r="FK84" s="531"/>
      <c r="FL84" s="531"/>
      <c r="FO84" s="1" t="str">
        <f>IF(AND($H$64&gt;=14, $H$64&lt;&gt;"Please Select"),"Affiliate Name:","")</f>
        <v/>
      </c>
      <c r="FP84" s="545"/>
      <c r="FQ84" s="545"/>
      <c r="FR84" s="545"/>
      <c r="FS84" s="545"/>
      <c r="FT84" s="73"/>
      <c r="FV84" s="531" t="str">
        <f>IF(H66=FS87,"",IF(AND(H66&lt;&gt;FS87,FS87&lt;&gt;""),"Out of State Affiliate",""))</f>
        <v/>
      </c>
      <c r="FW84" s="531"/>
      <c r="FX84" s="531"/>
      <c r="FY84" s="531"/>
      <c r="GB84" s="1" t="str">
        <f>IF(AND($H$64&gt;=15, $H$64&lt;&gt;"Please Select"),"Affiliate Name:","")</f>
        <v/>
      </c>
      <c r="GC84" s="545"/>
      <c r="GD84" s="545"/>
      <c r="GE84" s="545"/>
      <c r="GF84" s="545"/>
      <c r="GG84" s="73"/>
      <c r="GI84" s="531" t="str">
        <f>IF(H66=GF87,"",IF(AND(H66&lt;&gt;GF87,GF87&lt;&gt;""),"Out of State Affiliate",""))</f>
        <v/>
      </c>
      <c r="GJ84" s="531"/>
      <c r="GK84" s="531"/>
      <c r="GL84" s="531"/>
      <c r="GO84" s="1" t="str">
        <f>IF(AND($H$64&gt;=16, $H$64&lt;&gt;"Please Select"),"Affiliate Name:","")</f>
        <v/>
      </c>
      <c r="GP84" s="545"/>
      <c r="GQ84" s="545"/>
      <c r="GR84" s="545"/>
      <c r="GS84" s="545"/>
      <c r="GT84" s="73"/>
      <c r="GV84" s="531" t="str">
        <f>IF(H66=GS87,"",IF(AND(H66&lt;&gt;GS87,GS87&lt;&gt;""),"Out of State Affiliate",""))</f>
        <v/>
      </c>
      <c r="GW84" s="531"/>
      <c r="GX84" s="531"/>
      <c r="GY84" s="531"/>
      <c r="HB84" s="1" t="str">
        <f>IF(AND($H$64&gt;=17, $H$64&lt;&gt;"Please Select"),"Affiliate Name:","")</f>
        <v/>
      </c>
      <c r="HC84" s="545"/>
      <c r="HD84" s="545"/>
      <c r="HE84" s="545"/>
      <c r="HF84" s="545"/>
      <c r="HG84" s="73"/>
      <c r="HI84" s="531" t="str">
        <f>IF(H66=HF87,"",IF(AND(H66&lt;&gt;HF87,HF87&lt;&gt;""),"Out of State Affiliate",""))</f>
        <v/>
      </c>
      <c r="HJ84" s="531"/>
      <c r="HK84" s="531"/>
      <c r="HL84" s="531"/>
      <c r="HO84" s="1" t="str">
        <f>IF(AND($H$64&gt;=18, $H$64&lt;&gt;"Please Select"),"Affiliate Name:","")</f>
        <v/>
      </c>
      <c r="HP84" s="545"/>
      <c r="HQ84" s="545"/>
      <c r="HR84" s="545"/>
      <c r="HS84" s="545"/>
      <c r="HT84" s="73"/>
      <c r="HV84" s="531" t="str">
        <f>IF(H66=HS87,"",IF(AND(H66&lt;&gt;HS87,HS87&lt;&gt;""),"Out of State Affiliate",""))</f>
        <v/>
      </c>
      <c r="HW84" s="531"/>
      <c r="HX84" s="531"/>
      <c r="HY84" s="531"/>
      <c r="IB84" s="1" t="str">
        <f>IF(AND($H$64&gt;=19, $H$64&lt;&gt;"Please Select"),"Affiliate Name:","")</f>
        <v/>
      </c>
      <c r="IC84" s="545"/>
      <c r="ID84" s="545"/>
      <c r="IE84" s="545"/>
      <c r="IF84" s="545"/>
      <c r="IG84" s="73"/>
      <c r="II84" s="531" t="str">
        <f>IF(H66=IF87,"",IF(AND(H66&lt;&gt;IF87,IF87&lt;&gt;""),"Out of State Affiliate",""))</f>
        <v/>
      </c>
      <c r="IJ84" s="531"/>
      <c r="IK84" s="531"/>
      <c r="IL84" s="531"/>
      <c r="IO84" s="1" t="str">
        <f>IF(AND($H$64&gt;=20, $H$64&lt;&gt;"Please Select"),"Affiliate Name:","")</f>
        <v/>
      </c>
      <c r="IP84" s="545"/>
      <c r="IQ84" s="545"/>
      <c r="IR84" s="545"/>
      <c r="IS84" s="545"/>
      <c r="IT84" s="73"/>
      <c r="IV84" s="531" t="str">
        <f>IF(H66=IS87,"",IF(AND(H66&lt;&gt;IS87,IS87&lt;&gt;""),"Out of State Affiliate",""))</f>
        <v/>
      </c>
      <c r="IW84" s="531"/>
      <c r="IX84" s="531"/>
      <c r="IY84" s="531"/>
      <c r="JB84" s="1" t="str">
        <f>IF(AND($H$64&gt;=21, $H$64&lt;&gt;"Please Select"),"Affiliate Name:","")</f>
        <v/>
      </c>
      <c r="JC84" s="545"/>
      <c r="JD84" s="545"/>
      <c r="JE84" s="545"/>
      <c r="JF84" s="545"/>
      <c r="JG84" s="73"/>
      <c r="JI84" s="531" t="str">
        <f>IF(H66=JF87,"",IF(AND(H66&lt;&gt;JF87,JF87&lt;&gt;""),"Out of State Affiliate",""))</f>
        <v/>
      </c>
      <c r="JJ84" s="531"/>
      <c r="JK84" s="531"/>
      <c r="JL84" s="531"/>
      <c r="JO84" s="1" t="str">
        <f>IF(AND($H$64&gt;=22, $H$64&lt;&gt;"Please Select"),"Affiliate Name:","")</f>
        <v/>
      </c>
      <c r="JP84" s="545"/>
      <c r="JQ84" s="545"/>
      <c r="JR84" s="545"/>
      <c r="JS84" s="545"/>
      <c r="JT84" s="73"/>
      <c r="JV84" s="531" t="str">
        <f>IF(H66=JS87,"",IF(AND(H66&lt;&gt;JS87,JS87&lt;&gt;""),"Out of State Affiliate",""))</f>
        <v/>
      </c>
      <c r="JW84" s="531"/>
      <c r="JX84" s="531"/>
      <c r="JY84" s="531"/>
      <c r="KB84" s="1" t="str">
        <f>IF(AND($H$64&gt;=23, $H$64&lt;&gt;"Please Select"),"Affiliate Name:","")</f>
        <v/>
      </c>
      <c r="KC84" s="545"/>
      <c r="KD84" s="545"/>
      <c r="KE84" s="545"/>
      <c r="KF84" s="545"/>
      <c r="KG84" s="73"/>
      <c r="KI84" s="531" t="str">
        <f>IF(H66=KF87,"",IF(AND(H66&lt;&gt;KF87,KF87&lt;&gt;""),"Out of State Affiliate",""))</f>
        <v/>
      </c>
      <c r="KJ84" s="531"/>
      <c r="KK84" s="531"/>
      <c r="KL84" s="531"/>
      <c r="KO84" s="1" t="str">
        <f>IF(AND($H$64&gt;=24, $H$64&lt;&gt;"Please Select"),"Affiliate Name:","")</f>
        <v/>
      </c>
      <c r="KP84" s="545"/>
      <c r="KQ84" s="545"/>
      <c r="KR84" s="545"/>
      <c r="KS84" s="545"/>
      <c r="KT84" s="73"/>
      <c r="KV84" s="531" t="str">
        <f>IF(H66=KS87,"",IF(AND(H66&lt;&gt;KS87,KS87&lt;&gt;""),"Out of State Affiliate",""))</f>
        <v/>
      </c>
      <c r="KW84" s="531"/>
      <c r="KX84" s="531"/>
      <c r="KY84" s="531"/>
      <c r="LB84" s="1" t="str">
        <f>IF(AND($H$64&gt;=25, $H$64&lt;&gt;"Please Select"),"Affiliate Name:","")</f>
        <v/>
      </c>
      <c r="LC84" s="545"/>
      <c r="LD84" s="545"/>
      <c r="LE84" s="545"/>
      <c r="LF84" s="545"/>
      <c r="LG84" s="73"/>
      <c r="LI84" s="531" t="str">
        <f>IF(H66=LF87,"",IF(AND(H66&lt;&gt;LF87,LF87&lt;&gt;""),"Out of State Affiliate",""))</f>
        <v/>
      </c>
      <c r="LJ84" s="531"/>
      <c r="LK84" s="531"/>
      <c r="LL84" s="531"/>
      <c r="LO84" s="1" t="str">
        <f>IF(AND($H$64&gt;=26, $H$64&lt;&gt;"Please Select"),"Affiliate Name:","")</f>
        <v/>
      </c>
      <c r="LP84" s="545"/>
      <c r="LQ84" s="545"/>
      <c r="LR84" s="545"/>
      <c r="LS84" s="545"/>
      <c r="LT84" s="73"/>
      <c r="LV84" s="531" t="str">
        <f>IF(H66=LS87,"",IF(AND(H66&lt;&gt;LS87,LS87&lt;&gt;""),"Out of State Affiliate",""))</f>
        <v/>
      </c>
      <c r="LW84" s="531"/>
      <c r="LX84" s="531"/>
      <c r="LY84" s="531"/>
      <c r="MB84" s="1" t="str">
        <f>IF(AND($H$64&gt;=27, $H$64&lt;&gt;"Please Select"),"Affiliate Name:","")</f>
        <v/>
      </c>
      <c r="MC84" s="545"/>
      <c r="MD84" s="545"/>
      <c r="ME84" s="545"/>
      <c r="MF84" s="545"/>
      <c r="MG84" s="73"/>
      <c r="MI84" s="531" t="str">
        <f>IF(H66=MF87,"",IF(AND(H66&lt;&gt;MF87,MF87&lt;&gt;""),"Out of State Affiliate",""))</f>
        <v/>
      </c>
      <c r="MJ84" s="531"/>
      <c r="MK84" s="531"/>
      <c r="ML84" s="531"/>
      <c r="MO84" s="1" t="str">
        <f>IF(AND($H$64&gt;=28, $H$64&lt;&gt;"Please Select"),"Affiliate Name:","")</f>
        <v/>
      </c>
      <c r="MP84" s="545"/>
      <c r="MQ84" s="545"/>
      <c r="MR84" s="545"/>
      <c r="MS84" s="545"/>
      <c r="MT84" s="73"/>
      <c r="MV84" s="531" t="str">
        <f>IF(H66=MS87,"",IF(AND(H66&lt;&gt;MS87,MS87&lt;&gt;""),"Out of State Affiliate",""))</f>
        <v/>
      </c>
      <c r="MW84" s="531"/>
      <c r="MX84" s="531"/>
      <c r="MY84" s="531"/>
      <c r="NB84" s="1" t="str">
        <f>IF(AND($H$64&gt;=29, $H$64&lt;&gt;"Please Select"),"Affiliate Name:","")</f>
        <v/>
      </c>
      <c r="NC84" s="545"/>
      <c r="ND84" s="545"/>
      <c r="NE84" s="545"/>
      <c r="NF84" s="545"/>
      <c r="NG84" s="73"/>
      <c r="NI84" s="531" t="str">
        <f>IF(H66=NF87,"",IF(AND(H66&lt;&gt;NF87,NF87&lt;&gt;""),"Out of State Affiliate",""))</f>
        <v/>
      </c>
      <c r="NJ84" s="531"/>
      <c r="NK84" s="531"/>
      <c r="NL84" s="531"/>
      <c r="NO84" s="1" t="str">
        <f>IF(AND($H$64&gt;=30, $H$64&lt;&gt;"Please Select"),"Affiliate Name:","")</f>
        <v/>
      </c>
      <c r="NP84" s="545"/>
      <c r="NQ84" s="545"/>
      <c r="NR84" s="545"/>
      <c r="NS84" s="545"/>
      <c r="NT84" s="73"/>
      <c r="NV84" s="531" t="str">
        <f>IF(H66=NS87,"",IF(AND(H66&lt;&gt;NS87,NS87&lt;&gt;""),"Out of State Affiliate",""))</f>
        <v/>
      </c>
      <c r="NW84" s="531"/>
      <c r="NX84" s="531"/>
      <c r="NY84" s="531"/>
    </row>
    <row r="85" spans="1:400" s="41" customFormat="1" ht="14.25" x14ac:dyDescent="0.2">
      <c r="B85" s="1" t="str">
        <f>IF(AND($H$64&gt;=1, $H$64&lt;&gt;"Please Select"),"Address:","")</f>
        <v/>
      </c>
      <c r="C85" s="545"/>
      <c r="D85" s="545"/>
      <c r="E85" s="545"/>
      <c r="F85" s="545"/>
      <c r="I85" s="531"/>
      <c r="J85" s="531"/>
      <c r="K85" s="531"/>
      <c r="L85" s="531"/>
      <c r="O85" s="1" t="str">
        <f>IF(AND($H$64&gt;=2, $H$64&lt;&gt;"Please Select"),"Address:","")</f>
        <v/>
      </c>
      <c r="P85" s="545"/>
      <c r="Q85" s="545"/>
      <c r="R85" s="545"/>
      <c r="S85" s="545"/>
      <c r="V85" s="531"/>
      <c r="W85" s="531"/>
      <c r="X85" s="531"/>
      <c r="Y85" s="531"/>
      <c r="AB85" s="1" t="str">
        <f>IF(AND($H$64&gt;=3, $H$64&lt;&gt;"Please Select"),"Address:","")</f>
        <v/>
      </c>
      <c r="AC85" s="545"/>
      <c r="AD85" s="545"/>
      <c r="AE85" s="545"/>
      <c r="AF85" s="545"/>
      <c r="AI85" s="531"/>
      <c r="AJ85" s="531"/>
      <c r="AK85" s="531"/>
      <c r="AL85" s="531"/>
      <c r="AO85" s="1" t="str">
        <f>IF(AND($H$64&gt;=4, $H$64&lt;&gt;"Please Select"),"Address:","")</f>
        <v/>
      </c>
      <c r="AP85" s="545"/>
      <c r="AQ85" s="545"/>
      <c r="AR85" s="545"/>
      <c r="AS85" s="545"/>
      <c r="AV85" s="531"/>
      <c r="AW85" s="531"/>
      <c r="AX85" s="531"/>
      <c r="AY85" s="531"/>
      <c r="BB85" s="1" t="str">
        <f>IF(AND($H$64&gt;=5, $H$64&lt;&gt;"Please Select"),"Address:","")</f>
        <v/>
      </c>
      <c r="BC85" s="545"/>
      <c r="BD85" s="545"/>
      <c r="BE85" s="545"/>
      <c r="BF85" s="545"/>
      <c r="BI85" s="531"/>
      <c r="BJ85" s="531"/>
      <c r="BK85" s="531"/>
      <c r="BL85" s="531"/>
      <c r="BO85" s="1" t="str">
        <f>IF(AND($H$64&gt;=6, $H$64&lt;&gt;"Please Select"),"Address:","")</f>
        <v/>
      </c>
      <c r="BP85" s="545"/>
      <c r="BQ85" s="545"/>
      <c r="BR85" s="545"/>
      <c r="BS85" s="545"/>
      <c r="BV85" s="531"/>
      <c r="BW85" s="531"/>
      <c r="BX85" s="531"/>
      <c r="BY85" s="531"/>
      <c r="CB85" s="1" t="str">
        <f>IF(AND($H$64&gt;=7, $H$64&lt;&gt;"Please Select"),"Address:","")</f>
        <v/>
      </c>
      <c r="CC85" s="545"/>
      <c r="CD85" s="545"/>
      <c r="CE85" s="545"/>
      <c r="CF85" s="545"/>
      <c r="CI85" s="531"/>
      <c r="CJ85" s="531"/>
      <c r="CK85" s="531"/>
      <c r="CL85" s="531"/>
      <c r="CO85" s="1" t="str">
        <f>IF(AND($H$64&gt;=8, $H$64&lt;&gt;"Please Select"),"Address:","")</f>
        <v/>
      </c>
      <c r="CP85" s="545"/>
      <c r="CQ85" s="545"/>
      <c r="CR85" s="545"/>
      <c r="CS85" s="545"/>
      <c r="CV85" s="531"/>
      <c r="CW85" s="531"/>
      <c r="CX85" s="531"/>
      <c r="CY85" s="531"/>
      <c r="DB85" s="1" t="str">
        <f>IF(AND($H$64&gt;=9, $H$64&lt;&gt;"Please Select"),"Address:","")</f>
        <v/>
      </c>
      <c r="DC85" s="545"/>
      <c r="DD85" s="545"/>
      <c r="DE85" s="545"/>
      <c r="DF85" s="545"/>
      <c r="DI85" s="531"/>
      <c r="DJ85" s="531"/>
      <c r="DK85" s="531"/>
      <c r="DL85" s="531"/>
      <c r="DO85" s="1" t="str">
        <f>IF(AND($H$64&gt;=10, $H$64&lt;&gt;"Please Select"),"Address:","")</f>
        <v/>
      </c>
      <c r="DP85" s="545"/>
      <c r="DQ85" s="545"/>
      <c r="DR85" s="545"/>
      <c r="DS85" s="545"/>
      <c r="DV85" s="531"/>
      <c r="DW85" s="531"/>
      <c r="DX85" s="531"/>
      <c r="DY85" s="531"/>
      <c r="EB85" s="1" t="str">
        <f>IF(AND($H$64&gt;=11, $H$64&lt;&gt;"Please Select"),"Address:","")</f>
        <v/>
      </c>
      <c r="EC85" s="545"/>
      <c r="ED85" s="545"/>
      <c r="EE85" s="545"/>
      <c r="EF85" s="545"/>
      <c r="EI85" s="531"/>
      <c r="EJ85" s="531"/>
      <c r="EK85" s="531"/>
      <c r="EL85" s="531"/>
      <c r="EO85" s="1" t="str">
        <f>IF(AND($H$64&gt;=12, $H$64&lt;&gt;"Please Select"),"Address:","")</f>
        <v/>
      </c>
      <c r="EP85" s="545"/>
      <c r="EQ85" s="545"/>
      <c r="ER85" s="545"/>
      <c r="ES85" s="545"/>
      <c r="EV85" s="531"/>
      <c r="EW85" s="531"/>
      <c r="EX85" s="531"/>
      <c r="EY85" s="531"/>
      <c r="FB85" s="1" t="str">
        <f>IF(AND($H$64&gt;=13, $H$64&lt;&gt;"Please Select"),"Address:","")</f>
        <v/>
      </c>
      <c r="FC85" s="545"/>
      <c r="FD85" s="545"/>
      <c r="FE85" s="545"/>
      <c r="FF85" s="545"/>
      <c r="FI85" s="531"/>
      <c r="FJ85" s="531"/>
      <c r="FK85" s="531"/>
      <c r="FL85" s="531"/>
      <c r="FO85" s="1" t="str">
        <f>IF(AND($H$64&gt;=14, $H$64&lt;&gt;"Please Select"),"Address:","")</f>
        <v/>
      </c>
      <c r="FP85" s="545"/>
      <c r="FQ85" s="545"/>
      <c r="FR85" s="545"/>
      <c r="FS85" s="545"/>
      <c r="FV85" s="531"/>
      <c r="FW85" s="531"/>
      <c r="FX85" s="531"/>
      <c r="FY85" s="531"/>
      <c r="GB85" s="1" t="str">
        <f>IF(AND($H$64&gt;=15, $H$64&lt;&gt;"Please Select"),"Address:","")</f>
        <v/>
      </c>
      <c r="GC85" s="545"/>
      <c r="GD85" s="545"/>
      <c r="GE85" s="545"/>
      <c r="GF85" s="545"/>
      <c r="GI85" s="531"/>
      <c r="GJ85" s="531"/>
      <c r="GK85" s="531"/>
      <c r="GL85" s="531"/>
      <c r="GO85" s="1" t="str">
        <f>IF(AND($H$64&gt;=16, $H$64&lt;&gt;"Please Select"),"Address:","")</f>
        <v/>
      </c>
      <c r="GP85" s="545"/>
      <c r="GQ85" s="545"/>
      <c r="GR85" s="545"/>
      <c r="GS85" s="545"/>
      <c r="GV85" s="531"/>
      <c r="GW85" s="531"/>
      <c r="GX85" s="531"/>
      <c r="GY85" s="531"/>
      <c r="HB85" s="1" t="str">
        <f>IF(AND($H$64&gt;=17, $H$64&lt;&gt;"Please Select"),"Address:","")</f>
        <v/>
      </c>
      <c r="HC85" s="545"/>
      <c r="HD85" s="545"/>
      <c r="HE85" s="545"/>
      <c r="HF85" s="545"/>
      <c r="HI85" s="531"/>
      <c r="HJ85" s="531"/>
      <c r="HK85" s="531"/>
      <c r="HL85" s="531"/>
      <c r="HO85" s="1" t="str">
        <f>IF(AND($H$64&gt;=18, $H$64&lt;&gt;"Please Select"),"Address:","")</f>
        <v/>
      </c>
      <c r="HP85" s="545"/>
      <c r="HQ85" s="545"/>
      <c r="HR85" s="545"/>
      <c r="HS85" s="545"/>
      <c r="HV85" s="531"/>
      <c r="HW85" s="531"/>
      <c r="HX85" s="531"/>
      <c r="HY85" s="531"/>
      <c r="IB85" s="1" t="str">
        <f>IF(AND($H$64&gt;=19, $H$64&lt;&gt;"Please Select"),"Address:","")</f>
        <v/>
      </c>
      <c r="IC85" s="545"/>
      <c r="ID85" s="545"/>
      <c r="IE85" s="545"/>
      <c r="IF85" s="545"/>
      <c r="II85" s="531"/>
      <c r="IJ85" s="531"/>
      <c r="IK85" s="531"/>
      <c r="IL85" s="531"/>
      <c r="IO85" s="1" t="str">
        <f>IF(AND($H$64&gt;=20, $H$64&lt;&gt;"Please Select"),"Address:","")</f>
        <v/>
      </c>
      <c r="IP85" s="545"/>
      <c r="IQ85" s="545"/>
      <c r="IR85" s="545"/>
      <c r="IS85" s="545"/>
      <c r="IV85" s="531"/>
      <c r="IW85" s="531"/>
      <c r="IX85" s="531"/>
      <c r="IY85" s="531"/>
      <c r="JB85" s="1" t="str">
        <f>IF(AND($H$64&gt;=21, $H$64&lt;&gt;"Please Select"),"Address:","")</f>
        <v/>
      </c>
      <c r="JC85" s="545"/>
      <c r="JD85" s="545"/>
      <c r="JE85" s="545"/>
      <c r="JF85" s="545"/>
      <c r="JI85" s="531"/>
      <c r="JJ85" s="531"/>
      <c r="JK85" s="531"/>
      <c r="JL85" s="531"/>
      <c r="JO85" s="1" t="str">
        <f>IF(AND($H$64&gt;=22, $H$64&lt;&gt;"Please Select"),"Address:","")</f>
        <v/>
      </c>
      <c r="JP85" s="545"/>
      <c r="JQ85" s="545"/>
      <c r="JR85" s="545"/>
      <c r="JS85" s="545"/>
      <c r="JV85" s="531"/>
      <c r="JW85" s="531"/>
      <c r="JX85" s="531"/>
      <c r="JY85" s="531"/>
      <c r="KB85" s="1" t="str">
        <f>IF(AND($H$64&gt;=23, $H$64&lt;&gt;"Please Select"),"Address:","")</f>
        <v/>
      </c>
      <c r="KC85" s="545"/>
      <c r="KD85" s="545"/>
      <c r="KE85" s="545"/>
      <c r="KF85" s="545"/>
      <c r="KI85" s="531"/>
      <c r="KJ85" s="531"/>
      <c r="KK85" s="531"/>
      <c r="KL85" s="531"/>
      <c r="KO85" s="1" t="str">
        <f>IF(AND($H$64&gt;=24, $H$64&lt;&gt;"Please Select"),"Address:","")</f>
        <v/>
      </c>
      <c r="KP85" s="545"/>
      <c r="KQ85" s="545"/>
      <c r="KR85" s="545"/>
      <c r="KS85" s="545"/>
      <c r="KV85" s="531"/>
      <c r="KW85" s="531"/>
      <c r="KX85" s="531"/>
      <c r="KY85" s="531"/>
      <c r="LB85" s="1" t="str">
        <f>IF(AND($H$64&gt;=25, $H$64&lt;&gt;"Please Select"),"Address:","")</f>
        <v/>
      </c>
      <c r="LC85" s="545"/>
      <c r="LD85" s="545"/>
      <c r="LE85" s="545"/>
      <c r="LF85" s="545"/>
      <c r="LI85" s="531"/>
      <c r="LJ85" s="531"/>
      <c r="LK85" s="531"/>
      <c r="LL85" s="531"/>
      <c r="LO85" s="1" t="str">
        <f>IF(AND($H$64&gt;=26, $H$64&lt;&gt;"Please Select"),"Address:","")</f>
        <v/>
      </c>
      <c r="LP85" s="545"/>
      <c r="LQ85" s="545"/>
      <c r="LR85" s="545"/>
      <c r="LS85" s="545"/>
      <c r="LV85" s="531"/>
      <c r="LW85" s="531"/>
      <c r="LX85" s="531"/>
      <c r="LY85" s="531"/>
      <c r="MB85" s="1" t="str">
        <f>IF(AND($H$64&gt;=27, $H$64&lt;&gt;"Please Select"),"Address:","")</f>
        <v/>
      </c>
      <c r="MC85" s="545"/>
      <c r="MD85" s="545"/>
      <c r="ME85" s="545"/>
      <c r="MF85" s="545"/>
      <c r="MI85" s="531"/>
      <c r="MJ85" s="531"/>
      <c r="MK85" s="531"/>
      <c r="ML85" s="531"/>
      <c r="MO85" s="1" t="str">
        <f>IF(AND($H$64&gt;=28, $H$64&lt;&gt;"Please Select"),"Address:","")</f>
        <v/>
      </c>
      <c r="MP85" s="545"/>
      <c r="MQ85" s="545"/>
      <c r="MR85" s="545"/>
      <c r="MS85" s="545"/>
      <c r="MV85" s="531"/>
      <c r="MW85" s="531"/>
      <c r="MX85" s="531"/>
      <c r="MY85" s="531"/>
      <c r="NB85" s="1" t="str">
        <f>IF(AND($H$64&gt;=29, $H$64&lt;&gt;"Please Select"),"Address:","")</f>
        <v/>
      </c>
      <c r="NC85" s="545"/>
      <c r="ND85" s="545"/>
      <c r="NE85" s="545"/>
      <c r="NF85" s="545"/>
      <c r="NI85" s="531"/>
      <c r="NJ85" s="531"/>
      <c r="NK85" s="531"/>
      <c r="NL85" s="531"/>
      <c r="NO85" s="1" t="str">
        <f>IF(AND($H$64&gt;=30, $H$64&lt;&gt;"Please Select"),"Address:","")</f>
        <v/>
      </c>
      <c r="NP85" s="545"/>
      <c r="NQ85" s="545"/>
      <c r="NR85" s="545"/>
      <c r="NS85" s="545"/>
      <c r="NV85" s="531"/>
      <c r="NW85" s="531"/>
      <c r="NX85" s="531"/>
      <c r="NY85" s="531"/>
    </row>
    <row r="86" spans="1:400" s="41" customFormat="1" ht="15" customHeight="1" x14ac:dyDescent="0.2">
      <c r="B86" s="1" t="str">
        <f>IF(AND($H$64&gt;=1, $H$64&lt;&gt;"Please Select"),"Address:","")</f>
        <v/>
      </c>
      <c r="C86" s="545"/>
      <c r="D86" s="545"/>
      <c r="E86" s="545"/>
      <c r="F86" s="545"/>
      <c r="I86" s="117"/>
      <c r="J86" s="117"/>
      <c r="K86" s="117"/>
      <c r="L86" s="117"/>
      <c r="O86" s="1" t="str">
        <f>IF(AND($H$64&gt;=2, $H$64&lt;&gt;"Please Select"),"Address:","")</f>
        <v/>
      </c>
      <c r="P86" s="545"/>
      <c r="Q86" s="545"/>
      <c r="R86" s="545"/>
      <c r="S86" s="545"/>
      <c r="V86" s="117"/>
      <c r="W86" s="117"/>
      <c r="X86" s="117"/>
      <c r="Y86" s="117"/>
      <c r="AB86" s="1" t="str">
        <f>IF(AND($H$64&gt;=3, $H$64&lt;&gt;"Please Select"),"Address:","")</f>
        <v/>
      </c>
      <c r="AC86" s="545"/>
      <c r="AD86" s="545"/>
      <c r="AE86" s="545"/>
      <c r="AF86" s="545"/>
      <c r="AI86" s="117"/>
      <c r="AJ86" s="117"/>
      <c r="AK86" s="117"/>
      <c r="AL86" s="117"/>
      <c r="AO86" s="1" t="str">
        <f>IF(AND($H$64&gt;=4, $H$64&lt;&gt;"Please Select"),"Address:","")</f>
        <v/>
      </c>
      <c r="AP86" s="545"/>
      <c r="AQ86" s="545"/>
      <c r="AR86" s="545"/>
      <c r="AS86" s="545"/>
      <c r="AV86" s="117"/>
      <c r="AW86" s="117"/>
      <c r="AX86" s="117"/>
      <c r="AY86" s="117"/>
      <c r="BB86" s="1" t="str">
        <f>IF(AND($H$64&gt;=5, $H$64&lt;&gt;"Please Select"),"Address:","")</f>
        <v/>
      </c>
      <c r="BC86" s="545"/>
      <c r="BD86" s="545"/>
      <c r="BE86" s="545"/>
      <c r="BF86" s="545"/>
      <c r="BI86" s="117"/>
      <c r="BJ86" s="117"/>
      <c r="BK86" s="117"/>
      <c r="BL86" s="117"/>
      <c r="BO86" s="1" t="str">
        <f>IF(AND($H$64&gt;=6, $H$64&lt;&gt;"Please Select"),"Address:","")</f>
        <v/>
      </c>
      <c r="BP86" s="545"/>
      <c r="BQ86" s="545"/>
      <c r="BR86" s="545"/>
      <c r="BS86" s="545"/>
      <c r="BV86" s="117"/>
      <c r="BW86" s="117"/>
      <c r="BX86" s="117"/>
      <c r="BY86" s="117"/>
      <c r="CB86" s="1" t="str">
        <f>IF(AND($H$64&gt;=7, $H$64&lt;&gt;"Please Select"),"Address:","")</f>
        <v/>
      </c>
      <c r="CC86" s="545"/>
      <c r="CD86" s="545"/>
      <c r="CE86" s="545"/>
      <c r="CF86" s="545"/>
      <c r="CI86" s="117"/>
      <c r="CJ86" s="117"/>
      <c r="CK86" s="117"/>
      <c r="CL86" s="117"/>
      <c r="CO86" s="1" t="str">
        <f>IF(AND($H$64&gt;=8, $H$64&lt;&gt;"Please Select"),"Address:","")</f>
        <v/>
      </c>
      <c r="CP86" s="545"/>
      <c r="CQ86" s="545"/>
      <c r="CR86" s="545"/>
      <c r="CS86" s="545"/>
      <c r="CV86" s="117"/>
      <c r="CW86" s="117"/>
      <c r="CX86" s="117"/>
      <c r="CY86" s="117"/>
      <c r="DB86" s="1" t="str">
        <f>IF(AND($H$64&gt;=9, $H$64&lt;&gt;"Please Select"),"Address:","")</f>
        <v/>
      </c>
      <c r="DC86" s="545"/>
      <c r="DD86" s="545"/>
      <c r="DE86" s="545"/>
      <c r="DF86" s="545"/>
      <c r="DI86" s="117"/>
      <c r="DJ86" s="117"/>
      <c r="DK86" s="117"/>
      <c r="DL86" s="117"/>
      <c r="DO86" s="1" t="str">
        <f>IF(AND($H$64&gt;=10, $H$64&lt;&gt;"Please Select"),"Address:","")</f>
        <v/>
      </c>
      <c r="DP86" s="545"/>
      <c r="DQ86" s="545"/>
      <c r="DR86" s="545"/>
      <c r="DS86" s="545"/>
      <c r="DV86" s="117"/>
      <c r="DW86" s="117"/>
      <c r="DX86" s="117"/>
      <c r="DY86" s="117"/>
      <c r="EB86" s="1" t="str">
        <f>IF(AND($H$64&gt;=11, $H$64&lt;&gt;"Please Select"),"Address:","")</f>
        <v/>
      </c>
      <c r="EC86" s="545"/>
      <c r="ED86" s="545"/>
      <c r="EE86" s="545"/>
      <c r="EF86" s="545"/>
      <c r="EI86" s="117"/>
      <c r="EJ86" s="117"/>
      <c r="EK86" s="117"/>
      <c r="EL86" s="117"/>
      <c r="EO86" s="1" t="str">
        <f>IF(AND($H$64&gt;=12, $H$64&lt;&gt;"Please Select"),"Address:","")</f>
        <v/>
      </c>
      <c r="EP86" s="545"/>
      <c r="EQ86" s="545"/>
      <c r="ER86" s="545"/>
      <c r="ES86" s="545"/>
      <c r="EV86" s="117"/>
      <c r="EW86" s="117"/>
      <c r="EX86" s="117"/>
      <c r="EY86" s="117"/>
      <c r="FB86" s="1" t="str">
        <f>IF(AND($H$64&gt;=13, $H$64&lt;&gt;"Please Select"),"Address:","")</f>
        <v/>
      </c>
      <c r="FC86" s="545"/>
      <c r="FD86" s="545"/>
      <c r="FE86" s="545"/>
      <c r="FF86" s="545"/>
      <c r="FI86" s="117"/>
      <c r="FJ86" s="117"/>
      <c r="FK86" s="117"/>
      <c r="FL86" s="117"/>
      <c r="FO86" s="1" t="str">
        <f>IF(AND($H$64&gt;=14, $H$64&lt;&gt;"Please Select"),"Address:","")</f>
        <v/>
      </c>
      <c r="FP86" s="545"/>
      <c r="FQ86" s="545"/>
      <c r="FR86" s="545"/>
      <c r="FS86" s="545"/>
      <c r="FV86" s="117"/>
      <c r="FW86" s="117"/>
      <c r="FX86" s="117"/>
      <c r="FY86" s="117"/>
      <c r="GB86" s="1" t="str">
        <f>IF(AND($H$64&gt;=15, $H$64&lt;&gt;"Please Select"),"Address:","")</f>
        <v/>
      </c>
      <c r="GC86" s="545"/>
      <c r="GD86" s="545"/>
      <c r="GE86" s="545"/>
      <c r="GF86" s="545"/>
      <c r="GI86" s="117"/>
      <c r="GJ86" s="117"/>
      <c r="GK86" s="117"/>
      <c r="GL86" s="117"/>
      <c r="GO86" s="1" t="str">
        <f>IF(AND($H$64&gt;=16, $H$64&lt;&gt;"Please Select"),"Address:","")</f>
        <v/>
      </c>
      <c r="GP86" s="545"/>
      <c r="GQ86" s="545"/>
      <c r="GR86" s="545"/>
      <c r="GS86" s="545"/>
      <c r="GV86" s="117"/>
      <c r="GW86" s="117"/>
      <c r="GX86" s="117"/>
      <c r="GY86" s="117"/>
      <c r="HA86" s="117"/>
      <c r="HB86" s="1" t="str">
        <f>IF(AND($H$64&gt;=17, $H$64&lt;&gt;"Please Select"),"Address:","")</f>
        <v/>
      </c>
      <c r="HC86" s="545"/>
      <c r="HD86" s="545"/>
      <c r="HE86" s="545"/>
      <c r="HF86" s="545"/>
      <c r="HI86" s="117"/>
      <c r="HJ86" s="117"/>
      <c r="HK86" s="117"/>
      <c r="HL86" s="117"/>
      <c r="HO86" s="1" t="str">
        <f>IF(AND($H$64&gt;=18, $H$64&lt;&gt;"Please Select"),"Address:","")</f>
        <v/>
      </c>
      <c r="HP86" s="545"/>
      <c r="HQ86" s="545"/>
      <c r="HR86" s="545"/>
      <c r="HS86" s="545"/>
      <c r="HV86" s="117"/>
      <c r="HW86" s="117"/>
      <c r="HX86" s="117"/>
      <c r="HY86" s="117"/>
      <c r="IB86" s="1" t="str">
        <f>IF(AND($H$64&gt;=19, $H$64&lt;&gt;"Please Select"),"Address:","")</f>
        <v/>
      </c>
      <c r="IC86" s="545"/>
      <c r="ID86" s="545"/>
      <c r="IE86" s="545"/>
      <c r="IF86" s="545"/>
      <c r="II86" s="117"/>
      <c r="IJ86" s="117"/>
      <c r="IK86" s="117"/>
      <c r="IL86" s="117"/>
      <c r="IO86" s="1" t="str">
        <f>IF(AND($H$64&gt;=20, $H$64&lt;&gt;"Please Select"),"Address:","")</f>
        <v/>
      </c>
      <c r="IP86" s="545"/>
      <c r="IQ86" s="545"/>
      <c r="IR86" s="545"/>
      <c r="IS86" s="545"/>
      <c r="IV86" s="117"/>
      <c r="IW86" s="117"/>
      <c r="IX86" s="117"/>
      <c r="IY86" s="117"/>
      <c r="JB86" s="1" t="str">
        <f>IF(AND($H$64&gt;=21, $H$64&lt;&gt;"Please Select"),"Address:","")</f>
        <v/>
      </c>
      <c r="JC86" s="545"/>
      <c r="JD86" s="545"/>
      <c r="JE86" s="545"/>
      <c r="JF86" s="545"/>
      <c r="JI86" s="117"/>
      <c r="JJ86" s="117"/>
      <c r="JK86" s="117"/>
      <c r="JL86" s="117"/>
      <c r="JO86" s="1" t="str">
        <f>IF(AND($H$64&gt;=22, $H$64&lt;&gt;"Please Select"),"Address:","")</f>
        <v/>
      </c>
      <c r="JP86" s="545"/>
      <c r="JQ86" s="545"/>
      <c r="JR86" s="545"/>
      <c r="JS86" s="545"/>
      <c r="JV86" s="117"/>
      <c r="JW86" s="117"/>
      <c r="JX86" s="117"/>
      <c r="JY86" s="117"/>
      <c r="KB86" s="1" t="str">
        <f>IF(AND($H$64&gt;=23, $H$64&lt;&gt;"Please Select"),"Address:","")</f>
        <v/>
      </c>
      <c r="KC86" s="545"/>
      <c r="KD86" s="545"/>
      <c r="KE86" s="545"/>
      <c r="KF86" s="545"/>
      <c r="KI86" s="117"/>
      <c r="KJ86" s="117"/>
      <c r="KK86" s="117"/>
      <c r="KL86" s="117"/>
      <c r="KO86" s="1" t="str">
        <f>IF(AND($H$64&gt;=24, $H$64&lt;&gt;"Please Select"),"Address:","")</f>
        <v/>
      </c>
      <c r="KP86" s="545"/>
      <c r="KQ86" s="545"/>
      <c r="KR86" s="545"/>
      <c r="KS86" s="545"/>
      <c r="KV86" s="117"/>
      <c r="KW86" s="117"/>
      <c r="KX86" s="117"/>
      <c r="KY86" s="117"/>
      <c r="LB86" s="1" t="str">
        <f>IF(AND($H$64&gt;=25, $H$64&lt;&gt;"Please Select"),"Address:","")</f>
        <v/>
      </c>
      <c r="LC86" s="545"/>
      <c r="LD86" s="545"/>
      <c r="LE86" s="545"/>
      <c r="LF86" s="545"/>
      <c r="LI86" s="117"/>
      <c r="LJ86" s="117"/>
      <c r="LK86" s="117"/>
      <c r="LL86" s="117"/>
      <c r="LO86" s="1" t="str">
        <f>IF(AND($H$64&gt;=26, $H$64&lt;&gt;"Please Select"),"Address:","")</f>
        <v/>
      </c>
      <c r="LP86" s="545"/>
      <c r="LQ86" s="545"/>
      <c r="LR86" s="545"/>
      <c r="LS86" s="545"/>
      <c r="LV86" s="117"/>
      <c r="LW86" s="117"/>
      <c r="LX86" s="117"/>
      <c r="LY86" s="117"/>
      <c r="MB86" s="1" t="str">
        <f>IF(AND($H$64&gt;=27, $H$64&lt;&gt;"Please Select"),"Address:","")</f>
        <v/>
      </c>
      <c r="MC86" s="545"/>
      <c r="MD86" s="545"/>
      <c r="ME86" s="545"/>
      <c r="MF86" s="545"/>
      <c r="MI86" s="117"/>
      <c r="MJ86" s="117"/>
      <c r="MK86" s="117"/>
      <c r="ML86" s="117"/>
      <c r="MO86" s="1" t="str">
        <f>IF(AND($H$64&gt;=28, $H$64&lt;&gt;"Please Select"),"Address:","")</f>
        <v/>
      </c>
      <c r="MP86" s="545"/>
      <c r="MQ86" s="545"/>
      <c r="MR86" s="545"/>
      <c r="MS86" s="545"/>
      <c r="MV86" s="117"/>
      <c r="MW86" s="117"/>
      <c r="MX86" s="117"/>
      <c r="MY86" s="117"/>
      <c r="NB86" s="1" t="str">
        <f>IF(AND($H$64&gt;=29, $H$64&lt;&gt;"Please Select"),"Address:","")</f>
        <v/>
      </c>
      <c r="NC86" s="545"/>
      <c r="ND86" s="545"/>
      <c r="NE86" s="545"/>
      <c r="NF86" s="545"/>
      <c r="NI86" s="117"/>
      <c r="NJ86" s="117"/>
      <c r="NK86" s="117"/>
      <c r="NL86" s="117"/>
      <c r="NO86" s="1" t="str">
        <f>IF(AND($H$64&gt;=30, $H$64&lt;&gt;"Please Select"),"Address:","")</f>
        <v/>
      </c>
      <c r="NP86" s="545"/>
      <c r="NQ86" s="545"/>
      <c r="NR86" s="545"/>
      <c r="NS86" s="545"/>
      <c r="NV86" s="117"/>
      <c r="NW86" s="117"/>
      <c r="NX86" s="117"/>
      <c r="NY86" s="117"/>
    </row>
    <row r="87" spans="1:400" s="41" customFormat="1" ht="14.25" x14ac:dyDescent="0.2">
      <c r="B87" s="1" t="str">
        <f>IF(AND($H$64&gt;=1, $H$64&lt;&gt;"Please Select"),"City:","")</f>
        <v/>
      </c>
      <c r="C87" s="545"/>
      <c r="D87" s="545"/>
      <c r="E87" s="73" t="str">
        <f>IF(AND($H$64&gt;=1, $H$64&lt;&gt;"Please Select"),"State:","")</f>
        <v/>
      </c>
      <c r="F87" s="203"/>
      <c r="G87" s="73"/>
      <c r="O87" s="1" t="str">
        <f>IF(AND($H$64&gt;=2, $H$64&lt;&gt;"Please Select"),"City:","")</f>
        <v/>
      </c>
      <c r="P87" s="545"/>
      <c r="Q87" s="545"/>
      <c r="R87" s="73" t="str">
        <f>IF(AND($H$64&gt;=2, $H$64&lt;&gt;"Please Select"),"State:","")</f>
        <v/>
      </c>
      <c r="S87" s="203"/>
      <c r="T87" s="73"/>
      <c r="AB87" s="1" t="str">
        <f>IF(AND($H$64&gt;=3, $H$64&lt;&gt;"Please Select"),"City:","")</f>
        <v/>
      </c>
      <c r="AC87" s="545"/>
      <c r="AD87" s="545"/>
      <c r="AE87" s="73" t="str">
        <f>IF(AND($H$64&gt;=3, $H$64&lt;&gt;"Please Select"),"State:","")</f>
        <v/>
      </c>
      <c r="AF87" s="203"/>
      <c r="AG87" s="73"/>
      <c r="AO87" s="1" t="str">
        <f>IF(AND($H$64&gt;=4, $H$64&lt;&gt;"Please Select"),"City:","")</f>
        <v/>
      </c>
      <c r="AP87" s="545"/>
      <c r="AQ87" s="545"/>
      <c r="AR87" s="73" t="str">
        <f>IF(AND($H$64&gt;=4, $H$64&lt;&gt;"Please Select"),"State:","")</f>
        <v/>
      </c>
      <c r="AS87" s="203"/>
      <c r="AT87" s="73"/>
      <c r="BB87" s="1" t="str">
        <f>IF(AND($H$64&gt;=5, $H$64&lt;&gt;"Please Select"),"City:","")</f>
        <v/>
      </c>
      <c r="BC87" s="545"/>
      <c r="BD87" s="545"/>
      <c r="BE87" s="73" t="str">
        <f>IF(AND($H$64&gt;=5, $H$64&lt;&gt;"Please Select"),"State:","")</f>
        <v/>
      </c>
      <c r="BF87" s="203"/>
      <c r="BG87" s="73"/>
      <c r="BO87" s="1" t="str">
        <f>IF(AND($H$64&gt;=6, $H$64&lt;&gt;"Please Select"),"City:","")</f>
        <v/>
      </c>
      <c r="BP87" s="545"/>
      <c r="BQ87" s="545"/>
      <c r="BR87" s="73" t="str">
        <f>IF(AND($H$64&gt;=6, $H$64&lt;&gt;"Please Select"),"State:","")</f>
        <v/>
      </c>
      <c r="BS87" s="203"/>
      <c r="BT87" s="73"/>
      <c r="CB87" s="1" t="str">
        <f>IF(AND($H$64&gt;=7, $H$64&lt;&gt;"Please Select"),"City:","")</f>
        <v/>
      </c>
      <c r="CC87" s="545"/>
      <c r="CD87" s="545"/>
      <c r="CE87" s="73" t="str">
        <f>IF(AND($H$64&gt;=7, $H$64&lt;&gt;"Please Select"),"State:","")</f>
        <v/>
      </c>
      <c r="CF87" s="203"/>
      <c r="CG87" s="73"/>
      <c r="CO87" s="1" t="str">
        <f>IF(AND($H$64&gt;=8, $H$64&lt;&gt;"Please Select"),"City:","")</f>
        <v/>
      </c>
      <c r="CP87" s="545"/>
      <c r="CQ87" s="545"/>
      <c r="CR87" s="73" t="str">
        <f>IF(AND($H$64&gt;=8, $H$64&lt;&gt;"Please Select"),"State:","")</f>
        <v/>
      </c>
      <c r="CS87" s="203"/>
      <c r="CT87" s="73"/>
      <c r="DB87" s="1" t="str">
        <f>IF(AND($H$64&gt;=9, $H$64&lt;&gt;"Please Select"),"City:","")</f>
        <v/>
      </c>
      <c r="DC87" s="545"/>
      <c r="DD87" s="545"/>
      <c r="DE87" s="73" t="str">
        <f>IF(AND($H$64&gt;=9, $H$64&lt;&gt;"Please Select"),"State:","")</f>
        <v/>
      </c>
      <c r="DF87" s="203"/>
      <c r="DG87" s="73"/>
      <c r="DO87" s="1" t="str">
        <f>IF(AND($H$64&gt;=10, $H$64&lt;&gt;"Please Select"),"City:","")</f>
        <v/>
      </c>
      <c r="DP87" s="545"/>
      <c r="DQ87" s="545"/>
      <c r="DR87" s="73" t="str">
        <f>IF(AND($H$64&gt;=10, $H$64&lt;&gt;"Please Select"),"State:","")</f>
        <v/>
      </c>
      <c r="DS87" s="203"/>
      <c r="DT87" s="73"/>
      <c r="EB87" s="1" t="str">
        <f>IF(AND($H$64&gt;=11, $H$64&lt;&gt;"Please Select"),"City:","")</f>
        <v/>
      </c>
      <c r="EC87" s="545"/>
      <c r="ED87" s="545"/>
      <c r="EE87" s="73" t="str">
        <f>IF(AND($H$64&gt;=11, $H$64&lt;&gt;"Please Select"),"State:","")</f>
        <v/>
      </c>
      <c r="EF87" s="203"/>
      <c r="EG87" s="73"/>
      <c r="EO87" s="1" t="str">
        <f>IF(AND($H$64&gt;=12, $H$64&lt;&gt;"Please Select"),"City:","")</f>
        <v/>
      </c>
      <c r="EP87" s="545"/>
      <c r="EQ87" s="545"/>
      <c r="ER87" s="73" t="str">
        <f>IF(AND($H$64&gt;=12, $H$64&lt;&gt;"Please Select"),"State:","")</f>
        <v/>
      </c>
      <c r="ES87" s="203"/>
      <c r="ET87" s="73"/>
      <c r="FB87" s="1" t="str">
        <f>IF(AND($H$64&gt;=13, $H$64&lt;&gt;"Please Select"),"City:","")</f>
        <v/>
      </c>
      <c r="FC87" s="545"/>
      <c r="FD87" s="545"/>
      <c r="FE87" s="73" t="str">
        <f>IF(AND($H$64&gt;=13, $H$64&lt;&gt;"Please Select"),"State:","")</f>
        <v/>
      </c>
      <c r="FF87" s="203"/>
      <c r="FG87" s="73"/>
      <c r="FO87" s="1" t="str">
        <f>IF(AND($H$64&gt;=14, $H$64&lt;&gt;"Please Select"),"City:","")</f>
        <v/>
      </c>
      <c r="FP87" s="545"/>
      <c r="FQ87" s="545"/>
      <c r="FR87" s="73" t="str">
        <f>IF(AND($H$64&gt;=14, $H$64&lt;&gt;"Please Select"),"State:","")</f>
        <v/>
      </c>
      <c r="FS87" s="203"/>
      <c r="FT87" s="73"/>
      <c r="GB87" s="1" t="str">
        <f>IF(AND($H$64&gt;=15, $H$64&lt;&gt;"Please Select"),"City:","")</f>
        <v/>
      </c>
      <c r="GC87" s="545"/>
      <c r="GD87" s="545"/>
      <c r="GE87" s="73" t="str">
        <f>IF(AND($H$64&gt;=15, $H$64&lt;&gt;"Please Select"),"State:","")</f>
        <v/>
      </c>
      <c r="GF87" s="203"/>
      <c r="GG87" s="73"/>
      <c r="GO87" s="1" t="str">
        <f>IF(AND($H$64&gt;=16, $H$64&lt;&gt;"Please Select"),"City:","")</f>
        <v/>
      </c>
      <c r="GP87" s="545"/>
      <c r="GQ87" s="545"/>
      <c r="GR87" s="73" t="str">
        <f>IF(AND($H$64&gt;=16, $H$64&lt;&gt;"Please Select"),"State:","")</f>
        <v/>
      </c>
      <c r="GS87" s="203"/>
      <c r="GT87" s="73"/>
      <c r="HB87" s="1" t="str">
        <f>IF(AND($H$64&gt;=17, $H$64&lt;&gt;"Please Select"),"City:","")</f>
        <v/>
      </c>
      <c r="HC87" s="545"/>
      <c r="HD87" s="545"/>
      <c r="HE87" s="73" t="str">
        <f>IF(AND($H$64&gt;=17, $H$64&lt;&gt;"Please Select"),"State:","")</f>
        <v/>
      </c>
      <c r="HF87" s="203"/>
      <c r="HG87" s="73"/>
      <c r="HO87" s="1" t="str">
        <f>IF(AND($H$64&gt;=18, $H$64&lt;&gt;"Please Select"),"City:","")</f>
        <v/>
      </c>
      <c r="HP87" s="545"/>
      <c r="HQ87" s="545"/>
      <c r="HR87" s="73" t="str">
        <f>IF(AND($H$64&gt;=18, $H$64&lt;&gt;"Please Select"),"State:","")</f>
        <v/>
      </c>
      <c r="HS87" s="203"/>
      <c r="HT87" s="73"/>
      <c r="IB87" s="1" t="str">
        <f>IF(AND($H$64&gt;=19, $H$64&lt;&gt;"Please Select"),"City:","")</f>
        <v/>
      </c>
      <c r="IC87" s="545"/>
      <c r="ID87" s="545"/>
      <c r="IE87" s="73" t="str">
        <f>IF(AND($H$64&gt;=19, $H$64&lt;&gt;"Please Select"),"State:","")</f>
        <v/>
      </c>
      <c r="IF87" s="203"/>
      <c r="IG87" s="73"/>
      <c r="IO87" s="1" t="str">
        <f>IF(AND($H$64&gt;=20, $H$64&lt;&gt;"Please Select"),"City:","")</f>
        <v/>
      </c>
      <c r="IP87" s="545"/>
      <c r="IQ87" s="545"/>
      <c r="IR87" s="73" t="str">
        <f>IF(AND($H$64&gt;=20, $H$64&lt;&gt;"Please Select"),"State:","")</f>
        <v/>
      </c>
      <c r="IS87" s="203"/>
      <c r="IT87" s="73"/>
      <c r="JB87" s="1" t="str">
        <f>IF(AND($H$64&gt;=21, $H$64&lt;&gt;"Please Select"),"City:","")</f>
        <v/>
      </c>
      <c r="JC87" s="545"/>
      <c r="JD87" s="545"/>
      <c r="JE87" s="73" t="str">
        <f>IF(AND($H$64&gt;=21, $H$64&lt;&gt;"Please Select"),"State:","")</f>
        <v/>
      </c>
      <c r="JF87" s="203"/>
      <c r="JG87" s="73"/>
      <c r="JO87" s="1" t="str">
        <f>IF(AND($H$64&gt;=22, $H$64&lt;&gt;"Please Select"),"City:","")</f>
        <v/>
      </c>
      <c r="JP87" s="545"/>
      <c r="JQ87" s="545"/>
      <c r="JR87" s="73" t="str">
        <f>IF(AND($H$64&gt;=22, $H$64&lt;&gt;"Please Select"),"State:","")</f>
        <v/>
      </c>
      <c r="JS87" s="203"/>
      <c r="JT87" s="73"/>
      <c r="KB87" s="1" t="str">
        <f>IF(AND($H$64&gt;=23, $H$64&lt;&gt;"Please Select"),"City:","")</f>
        <v/>
      </c>
      <c r="KC87" s="545"/>
      <c r="KD87" s="545"/>
      <c r="KE87" s="73" t="str">
        <f>IF(AND($H$64&gt;=23, $H$64&lt;&gt;"Please Select"),"State:","")</f>
        <v/>
      </c>
      <c r="KF87" s="203"/>
      <c r="KG87" s="73"/>
      <c r="KO87" s="1" t="str">
        <f>IF(AND($H$64&gt;=24, $H$64&lt;&gt;"Please Select"),"City:","")</f>
        <v/>
      </c>
      <c r="KP87" s="545"/>
      <c r="KQ87" s="545"/>
      <c r="KR87" s="73" t="str">
        <f>IF(AND($H$64&gt;=24, $H$64&lt;&gt;"Please Select"),"State:","")</f>
        <v/>
      </c>
      <c r="KS87" s="203"/>
      <c r="KT87" s="73"/>
      <c r="LB87" s="1" t="str">
        <f>IF(AND($H$64&gt;=25, $H$64&lt;&gt;"Please Select"),"City:","")</f>
        <v/>
      </c>
      <c r="LC87" s="545"/>
      <c r="LD87" s="545"/>
      <c r="LE87" s="73" t="str">
        <f>IF(AND($H$64&gt;=25, $H$64&lt;&gt;"Please Select"),"State:","")</f>
        <v/>
      </c>
      <c r="LF87" s="203"/>
      <c r="LG87" s="73"/>
      <c r="LO87" s="1" t="str">
        <f>IF(AND($H$64&gt;=26, $H$64&lt;&gt;"Please Select"),"City:","")</f>
        <v/>
      </c>
      <c r="LP87" s="545"/>
      <c r="LQ87" s="545"/>
      <c r="LR87" s="73" t="str">
        <f>IF(AND($H$64&gt;=26, $H$64&lt;&gt;"Please Select"),"State:","")</f>
        <v/>
      </c>
      <c r="LS87" s="203"/>
      <c r="LT87" s="73"/>
      <c r="MB87" s="1" t="str">
        <f>IF(AND($H$64&gt;=27, $H$64&lt;&gt;"Please Select"),"City:","")</f>
        <v/>
      </c>
      <c r="MC87" s="545"/>
      <c r="MD87" s="545"/>
      <c r="ME87" s="73" t="str">
        <f>IF(AND($H$64&gt;=27, $H$64&lt;&gt;"Please Select"),"State:","")</f>
        <v/>
      </c>
      <c r="MF87" s="203"/>
      <c r="MG87" s="73"/>
      <c r="MO87" s="1" t="str">
        <f>IF(AND($H$64&gt;=28, $H$64&lt;&gt;"Please Select"),"City:","")</f>
        <v/>
      </c>
      <c r="MP87" s="545"/>
      <c r="MQ87" s="545"/>
      <c r="MR87" s="73" t="str">
        <f>IF(AND($H$64&gt;=28, $H$64&lt;&gt;"Please Select"),"State:","")</f>
        <v/>
      </c>
      <c r="MS87" s="203"/>
      <c r="MT87" s="73"/>
      <c r="NB87" s="1" t="str">
        <f>IF(AND($H$64&gt;=29, $H$64&lt;&gt;"Please Select"),"City:","")</f>
        <v/>
      </c>
      <c r="NC87" s="545"/>
      <c r="ND87" s="545"/>
      <c r="NE87" s="73" t="str">
        <f>IF(AND($H$64&gt;=29, $H$64&lt;&gt;"Please Select"),"State:","")</f>
        <v/>
      </c>
      <c r="NF87" s="203"/>
      <c r="NG87" s="73"/>
      <c r="NO87" s="1" t="str">
        <f>IF(AND($H$64&gt;=30, $H$64&lt;&gt;"Please Select"),"City:","")</f>
        <v/>
      </c>
      <c r="NP87" s="545"/>
      <c r="NQ87" s="545"/>
      <c r="NR87" s="73" t="str">
        <f>IF(AND($H$64&gt;=30, $H$64&lt;&gt;"Please Select"),"State:","")</f>
        <v/>
      </c>
      <c r="NS87" s="203"/>
      <c r="NT87" s="73"/>
    </row>
    <row r="88" spans="1:400" s="41" customFormat="1" ht="20.25" customHeight="1" x14ac:dyDescent="0.2">
      <c r="B88" s="1" t="str">
        <f>IF(AND($H$64&gt;=1, $H$64&lt;&gt;"Please Select"),"Distance from program (in miles):","")</f>
        <v/>
      </c>
      <c r="D88" s="205"/>
      <c r="O88" s="1" t="str">
        <f>IF(AND($H$64&gt;=2, $H$64&lt;&gt;"Please Select"),"Distance from program (in miles):","")</f>
        <v/>
      </c>
      <c r="Q88" s="205"/>
      <c r="AB88" s="1" t="str">
        <f>IF(AND($H$64&gt;=3, $H$64&lt;&gt;"Please Select"),"Distance from program (in miles):","")</f>
        <v/>
      </c>
      <c r="AD88" s="205"/>
      <c r="AO88" s="1" t="str">
        <f>IF(AND($H$64&gt;=4, $H$64&lt;&gt;"Please Select"),"Distance from program (in miles):","")</f>
        <v/>
      </c>
      <c r="AQ88" s="205"/>
      <c r="BB88" s="1" t="str">
        <f>IF(AND($H$64&gt;=5, $H$64&lt;&gt;"Please Select"),"Distance from program (in miles):","")</f>
        <v/>
      </c>
      <c r="BD88" s="205"/>
      <c r="BO88" s="1" t="str">
        <f>IF(AND($H$64&gt;=6, $H$64&lt;&gt;"Please Select"),"Distance from program (in miles):","")</f>
        <v/>
      </c>
      <c r="BQ88" s="205"/>
      <c r="CB88" s="1" t="str">
        <f>IF(AND($H$64&gt;=7, $H$64&lt;&gt;"Please Select"),"Distance from program (in miles):","")</f>
        <v/>
      </c>
      <c r="CD88" s="205"/>
      <c r="CO88" s="1" t="str">
        <f>IF(AND($H$64&gt;=8, $H$64&lt;&gt;"Please Select"),"Distance from program (in miles):","")</f>
        <v/>
      </c>
      <c r="CQ88" s="205"/>
      <c r="DB88" s="1" t="str">
        <f>IF(AND($H$64&gt;=9, $H$64&lt;&gt;"Please Select"),"Distance from program (in miles):","")</f>
        <v/>
      </c>
      <c r="DD88" s="205"/>
      <c r="DO88" s="1" t="str">
        <f>IF(AND($H$64&gt;=10, $H$64&lt;&gt;"Please Select"),"Distance from program (in miles):","")</f>
        <v/>
      </c>
      <c r="DQ88" s="205"/>
      <c r="EB88" s="1" t="str">
        <f>IF(AND($H$64&gt;=11, $H$64&lt;&gt;"Please Select"),"Distance from program (in miles):","")</f>
        <v/>
      </c>
      <c r="ED88" s="205"/>
      <c r="EO88" s="1" t="str">
        <f>IF(AND($H$64&gt;=12, $H$64&lt;&gt;"Please Select"),"Distance from program (in miles):","")</f>
        <v/>
      </c>
      <c r="EQ88" s="205"/>
      <c r="FB88" s="1" t="str">
        <f>IF(AND($H$64&gt;=13, $H$64&lt;&gt;"Please Select"),"Distance from program (in miles):","")</f>
        <v/>
      </c>
      <c r="FD88" s="205"/>
      <c r="FO88" s="1" t="str">
        <f>IF(AND($H$64&gt;=14, $H$64&lt;&gt;"Please Select"),"Distance from program (in miles):","")</f>
        <v/>
      </c>
      <c r="FQ88" s="205"/>
      <c r="GB88" s="1" t="str">
        <f>IF(AND($H$64&gt;=15, $H$64&lt;&gt;"Please Select"),"Distance from program (in miles):","")</f>
        <v/>
      </c>
      <c r="GD88" s="205"/>
      <c r="GO88" s="1" t="str">
        <f>IF(AND($H$64&gt;=16, $H$64&lt;&gt;"Please Select"),"Distance from program (in miles):","")</f>
        <v/>
      </c>
      <c r="GQ88" s="205"/>
      <c r="HB88" s="1" t="str">
        <f>IF(AND($H$64&gt;=17, $H$64&lt;&gt;"Please Select"),"Distance from program (in miles):","")</f>
        <v/>
      </c>
      <c r="HD88" s="205"/>
      <c r="HO88" s="1" t="str">
        <f>IF(AND($H$64&gt;=18, $H$64&lt;&gt;"Please Select"),"Distance from program (in miles):","")</f>
        <v/>
      </c>
      <c r="HQ88" s="205"/>
      <c r="IB88" s="1" t="str">
        <f>IF(AND($H$64&gt;=19, $H$64&lt;&gt;"Please Select"),"Distance from program (in miles):","")</f>
        <v/>
      </c>
      <c r="ID88" s="205"/>
      <c r="IO88" s="1" t="str">
        <f>IF(AND($H$64&gt;=20, $H$64&lt;&gt;"Please Select"),"Distance from program (in miles):","")</f>
        <v/>
      </c>
      <c r="IQ88" s="205"/>
      <c r="JB88" s="1" t="str">
        <f>IF(AND($H$64&gt;=21, $H$64&lt;&gt;"Please Select"),"Distance from program (in miles):","")</f>
        <v/>
      </c>
      <c r="JD88" s="205"/>
      <c r="JO88" s="1" t="str">
        <f>IF(AND($H$64&gt;=22, $H$64&lt;&gt;"Please Select"),"Distance from program (in miles):","")</f>
        <v/>
      </c>
      <c r="JQ88" s="205"/>
      <c r="KB88" s="1" t="str">
        <f>IF(AND($H$64&gt;=23, $H$64&lt;&gt;"Please Select"),"Distance from program (in miles):","")</f>
        <v/>
      </c>
      <c r="KD88" s="205"/>
      <c r="KO88" s="1" t="str">
        <f>IF(AND($H$64&gt;=24, $H$64&lt;&gt;"Please Select"),"Distance from program (in miles):","")</f>
        <v/>
      </c>
      <c r="KQ88" s="205"/>
      <c r="LB88" s="1" t="str">
        <f>IF(AND($H$64&gt;=25, $H$64&lt;&gt;"Please Select"),"Distance from program (in miles):","")</f>
        <v/>
      </c>
      <c r="LD88" s="205"/>
      <c r="LO88" s="1" t="str">
        <f>IF(AND($H$64&gt;=26, $H$64&lt;&gt;"Please Select"),"Distance from program (in miles):","")</f>
        <v/>
      </c>
      <c r="LQ88" s="205"/>
      <c r="MB88" s="1" t="str">
        <f>IF(AND($H$64&gt;=27, $H$64&lt;&gt;"Please Select"),"Distance from program (in miles):","")</f>
        <v/>
      </c>
      <c r="MD88" s="205"/>
      <c r="MO88" s="1" t="str">
        <f>IF(AND($H$64&gt;=28, $H$64&lt;&gt;"Please Select"),"Distance from program (in miles):","")</f>
        <v/>
      </c>
      <c r="MQ88" s="205"/>
      <c r="NB88" s="1" t="str">
        <f>IF(AND($H$64&gt;=29, $H$64&lt;&gt;"Please Select"),"Distance from program (in miles):","")</f>
        <v/>
      </c>
      <c r="ND88" s="205"/>
      <c r="NO88" s="1" t="str">
        <f>IF(AND($H$64&gt;=30, $H$64&lt;&gt;"Please Select"),"Distance from program (in miles):","")</f>
        <v/>
      </c>
      <c r="NQ88" s="205"/>
    </row>
    <row r="89" spans="1:400" s="41" customFormat="1" ht="14.25" x14ac:dyDescent="0.2">
      <c r="B89" s="1"/>
      <c r="O89" s="1"/>
      <c r="AB89" s="1"/>
      <c r="AO89" s="1"/>
      <c r="BB89" s="1"/>
      <c r="BO89" s="1"/>
      <c r="CB89" s="1"/>
      <c r="CO89" s="1"/>
      <c r="DB89" s="1"/>
      <c r="DO89" s="1"/>
      <c r="EB89" s="1"/>
      <c r="EO89" s="1"/>
      <c r="FB89" s="1"/>
      <c r="FO89" s="1"/>
      <c r="GB89" s="1"/>
      <c r="GO89" s="1"/>
      <c r="HB89" s="1"/>
      <c r="HO89" s="1"/>
      <c r="IB89" s="1"/>
      <c r="IO89" s="1"/>
      <c r="JB89" s="1"/>
      <c r="JO89" s="1"/>
      <c r="KB89" s="1"/>
      <c r="KO89" s="1"/>
      <c r="LB89" s="1"/>
      <c r="LO89" s="1"/>
      <c r="MB89" s="1"/>
      <c r="MO89" s="1"/>
      <c r="NB89" s="1"/>
      <c r="NO89" s="1"/>
    </row>
    <row r="90" spans="1:400" s="41" customFormat="1" ht="14.25" x14ac:dyDescent="0.2">
      <c r="B90" s="1"/>
      <c r="O90" s="1"/>
      <c r="AB90" s="1"/>
      <c r="AO90" s="1"/>
      <c r="BB90" s="1"/>
      <c r="BO90" s="1"/>
      <c r="CB90" s="1"/>
      <c r="CO90" s="1"/>
      <c r="DB90" s="1"/>
      <c r="DO90" s="1"/>
      <c r="EB90" s="1"/>
      <c r="EO90" s="1"/>
      <c r="FB90" s="1"/>
      <c r="FO90" s="1"/>
      <c r="GB90" s="1"/>
      <c r="GO90" s="1"/>
      <c r="HB90" s="1"/>
      <c r="HO90" s="1"/>
      <c r="IB90" s="1"/>
      <c r="IO90" s="1"/>
      <c r="JB90" s="1"/>
      <c r="JO90" s="1"/>
      <c r="KB90" s="1"/>
      <c r="KO90" s="1"/>
      <c r="LB90" s="1"/>
      <c r="LO90" s="1"/>
      <c r="MB90" s="1"/>
      <c r="MO90" s="1"/>
      <c r="NB90" s="1"/>
      <c r="NO90" s="1"/>
    </row>
    <row r="91" spans="1:400" s="41" customFormat="1" ht="33.75" customHeight="1" x14ac:dyDescent="0.2">
      <c r="B91" s="542" t="str">
        <f>IF(AND($H$64&gt;=1, $H$64&lt;&gt;"Please Select"),"Is this site also utilized for field experience?","")</f>
        <v/>
      </c>
      <c r="C91" s="542"/>
      <c r="D91" s="543"/>
      <c r="E91" s="543"/>
      <c r="I91" s="43"/>
      <c r="O91" s="542" t="str">
        <f>IF(AND($H$64&gt;=2, $H$64&lt;&gt;"Please Select"),"Is this site also utilized for field experience?","")</f>
        <v/>
      </c>
      <c r="P91" s="542"/>
      <c r="Q91" s="543"/>
      <c r="R91" s="543"/>
      <c r="S91" s="43"/>
      <c r="AB91" s="542" t="str">
        <f>IF(AND($H$64&gt;=3, $H$64&lt;&gt;"Please Select"),"Is this site also utilized for field experience?","")</f>
        <v/>
      </c>
      <c r="AC91" s="542"/>
      <c r="AD91" s="543"/>
      <c r="AE91" s="543"/>
      <c r="AF91" s="43"/>
      <c r="AO91" s="542" t="str">
        <f>IF(AND($H$64&gt;=4, $H$64&lt;&gt;"Please Select"),"Is this site also utilized for field experience?","")</f>
        <v/>
      </c>
      <c r="AP91" s="542"/>
      <c r="AQ91" s="543"/>
      <c r="AR91" s="543"/>
      <c r="AS91" s="43"/>
      <c r="BB91" s="542" t="str">
        <f>IF(AND($H$64&gt;=5, $H$64&lt;&gt;"Please Select"),"Is this site also utilized for field experience?","")</f>
        <v/>
      </c>
      <c r="BC91" s="542"/>
      <c r="BD91" s="543"/>
      <c r="BE91" s="543"/>
      <c r="BF91" s="43"/>
      <c r="BO91" s="542" t="str">
        <f>IF(AND($H$64&gt;=6, $H$64&lt;&gt;"Please Select"),"Is this site also utilized for field experience?","")</f>
        <v/>
      </c>
      <c r="BP91" s="542"/>
      <c r="BQ91" s="543"/>
      <c r="BR91" s="543"/>
      <c r="BS91" s="43"/>
      <c r="CB91" s="542" t="str">
        <f>IF(AND($H$64&gt;=7, $H$64&lt;&gt;"Please Select"),"Is this site also utilized for field experience?","")</f>
        <v/>
      </c>
      <c r="CC91" s="542"/>
      <c r="CD91" s="543"/>
      <c r="CE91" s="543"/>
      <c r="CF91" s="43"/>
      <c r="CO91" s="542" t="str">
        <f>IF(AND($H$64&gt;=8, $H$64&lt;&gt;"Please Select"),"Is this site also utilized for field experience?","")</f>
        <v/>
      </c>
      <c r="CP91" s="542"/>
      <c r="CQ91" s="543"/>
      <c r="CR91" s="543"/>
      <c r="CS91" s="43"/>
      <c r="DB91" s="542" t="str">
        <f>IF(AND($H$64&gt;=9, $H$64&lt;&gt;"Please Select"),"Is this site also utilized for field experience?","")</f>
        <v/>
      </c>
      <c r="DC91" s="542"/>
      <c r="DD91" s="543"/>
      <c r="DE91" s="543"/>
      <c r="DF91" s="43"/>
      <c r="DO91" s="542" t="str">
        <f>IF(AND($H$64&gt;=10, $H$64&lt;&gt;"Please Select"),"Is this site also utilized for field experience?","")</f>
        <v/>
      </c>
      <c r="DP91" s="542"/>
      <c r="DQ91" s="543"/>
      <c r="DR91" s="543"/>
      <c r="DS91" s="43"/>
      <c r="EB91" s="542" t="str">
        <f>IF(AND($H$64&gt;=11, $H$64&lt;&gt;"Please Select"),"Is this site also utilized for field experience?","")</f>
        <v/>
      </c>
      <c r="EC91" s="542"/>
      <c r="ED91" s="543"/>
      <c r="EE91" s="543"/>
      <c r="EF91" s="43"/>
      <c r="EO91" s="542" t="str">
        <f>IF(AND($H$64&gt;=12, $H$64&lt;&gt;"Please Select"),"Is this site also utilized for field experience?","")</f>
        <v/>
      </c>
      <c r="EP91" s="542"/>
      <c r="EQ91" s="543"/>
      <c r="ER91" s="543"/>
      <c r="ES91" s="43"/>
      <c r="FB91" s="542" t="str">
        <f>IF(AND($H$64&gt;=13, $H$64&lt;&gt;"Please Select"),"Is this site also utilized for field experience?","")</f>
        <v/>
      </c>
      <c r="FC91" s="542"/>
      <c r="FD91" s="543"/>
      <c r="FE91" s="543"/>
      <c r="FF91" s="43"/>
      <c r="FO91" s="542" t="str">
        <f>IF(AND($H$64&gt;=14, $H$64&lt;&gt;"Please Select"),"Is this site also utilized for field experience?","")</f>
        <v/>
      </c>
      <c r="FP91" s="542"/>
      <c r="FQ91" s="543"/>
      <c r="FR91" s="543"/>
      <c r="FS91" s="43"/>
      <c r="GB91" s="542" t="str">
        <f>IF(AND($H$64&gt;=15, $H$64&lt;&gt;"Please Select"),"Is this site also utilized for field experience?","")</f>
        <v/>
      </c>
      <c r="GC91" s="542"/>
      <c r="GD91" s="543"/>
      <c r="GE91" s="543"/>
      <c r="GF91" s="43"/>
      <c r="GO91" s="542" t="str">
        <f>IF(AND($H$64&gt;=16, $H$64&lt;&gt;"Please Select"),"Is this site also utilized for field experience?","")</f>
        <v/>
      </c>
      <c r="GP91" s="542"/>
      <c r="GQ91" s="543"/>
      <c r="GR91" s="543"/>
      <c r="GS91" s="43"/>
      <c r="HB91" s="542" t="str">
        <f>IF(AND($H$64&gt;=17, $H$64&lt;&gt;"Please Select"),"Is this site also utilized for field experience?","")</f>
        <v/>
      </c>
      <c r="HC91" s="542"/>
      <c r="HD91" s="543"/>
      <c r="HE91" s="543"/>
      <c r="HF91" s="43"/>
      <c r="HO91" s="542" t="str">
        <f>IF(AND($H$64&gt;=18, $H$64&lt;&gt;"Please Select"),"Is this site also utilized for field experience?","")</f>
        <v/>
      </c>
      <c r="HP91" s="542"/>
      <c r="HQ91" s="543"/>
      <c r="HR91" s="543"/>
      <c r="HS91" s="43"/>
      <c r="IB91" s="542" t="str">
        <f>IF(AND($H$64&gt;=19, $H$64&lt;&gt;"Please Select"),"Is this site also utilized for field experience?","")</f>
        <v/>
      </c>
      <c r="IC91" s="542"/>
      <c r="ID91" s="543"/>
      <c r="IE91" s="543"/>
      <c r="IF91" s="43"/>
      <c r="IO91" s="542" t="str">
        <f>IF(AND($H$64&gt;=20, $H$64&lt;&gt;"Please Select"),"Is this site also utilized for field experience?","")</f>
        <v/>
      </c>
      <c r="IP91" s="542"/>
      <c r="IQ91" s="543"/>
      <c r="IR91" s="543"/>
      <c r="IS91" s="43"/>
      <c r="JB91" s="542" t="str">
        <f>IF(AND($H$64&gt;=21, $H$64&lt;&gt;"Please Select"),"Is this site also utilized for field experience?","")</f>
        <v/>
      </c>
      <c r="JC91" s="542"/>
      <c r="JD91" s="543"/>
      <c r="JE91" s="543"/>
      <c r="JF91" s="43"/>
      <c r="JO91" s="542" t="str">
        <f>IF(AND($H$64&gt;=22, $H$64&lt;&gt;"Please Select"),"Is this site also utilized for field experience?","")</f>
        <v/>
      </c>
      <c r="JP91" s="542"/>
      <c r="JQ91" s="543"/>
      <c r="JR91" s="543"/>
      <c r="JS91" s="43"/>
      <c r="KB91" s="542" t="str">
        <f>IF(AND($H$64&gt;=23, $H$64&lt;&gt;"Please Select"),"Is this site also utilized for field experience?","")</f>
        <v/>
      </c>
      <c r="KC91" s="542"/>
      <c r="KD91" s="543"/>
      <c r="KE91" s="543"/>
      <c r="KF91" s="43"/>
      <c r="KO91" s="542" t="str">
        <f>IF(AND($H$64&gt;=24, $H$64&lt;&gt;"Please Select"),"Is this site also utilized for field experience?","")</f>
        <v/>
      </c>
      <c r="KP91" s="542"/>
      <c r="KQ91" s="543"/>
      <c r="KR91" s="543"/>
      <c r="KS91" s="43"/>
      <c r="LB91" s="542" t="str">
        <f>IF(AND($H$64&gt;=25, $H$64&lt;&gt;"Please Select"),"Is this site also utilized for field experience?","")</f>
        <v/>
      </c>
      <c r="LC91" s="542"/>
      <c r="LD91" s="543"/>
      <c r="LE91" s="543"/>
      <c r="LF91" s="43"/>
      <c r="LO91" s="542" t="str">
        <f>IF(AND($H$64&gt;=26, $H$64&lt;&gt;"Please Select"),"Is this site also utilized for field experience?","")</f>
        <v/>
      </c>
      <c r="LP91" s="542"/>
      <c r="LQ91" s="543"/>
      <c r="LR91" s="543"/>
      <c r="LS91" s="43"/>
      <c r="MB91" s="542" t="str">
        <f>IF(AND($H$64&gt;=27, $H$64&lt;&gt;"Please Select"),"Is this site also utilized for field experience?","")</f>
        <v/>
      </c>
      <c r="MC91" s="542"/>
      <c r="MD91" s="543"/>
      <c r="ME91" s="543"/>
      <c r="MF91" s="43"/>
      <c r="MO91" s="542" t="str">
        <f>IF(AND($H$64&gt;=28, $H$64&lt;&gt;"Please Select"),"Is this site also utilized for field experience?","")</f>
        <v/>
      </c>
      <c r="MP91" s="542"/>
      <c r="MQ91" s="543"/>
      <c r="MR91" s="543"/>
      <c r="MS91" s="43"/>
      <c r="NB91" s="542" t="str">
        <f>IF(AND($H$64&gt;=29, $H$64&lt;&gt;"Please Select"),"Is this site also utilized for field experience?","")</f>
        <v/>
      </c>
      <c r="NC91" s="542"/>
      <c r="ND91" s="543"/>
      <c r="NE91" s="543"/>
      <c r="NF91" s="43"/>
      <c r="NO91" s="542" t="str">
        <f>IF(AND($H$64&gt;=30, $H$64&lt;&gt;"Please Select"),"Is this site also utilized for field experience?","")</f>
        <v/>
      </c>
      <c r="NP91" s="542"/>
      <c r="NQ91" s="543"/>
      <c r="NR91" s="543"/>
      <c r="NS91" s="43"/>
      <c r="OA91" s="63" t="s">
        <v>222</v>
      </c>
      <c r="OB91" s="115" t="str">
        <f>IF(ISNUMBER(MATCH(12,G87:NT87,0)), "Yes", "")</f>
        <v/>
      </c>
      <c r="OC91" s="63" t="s">
        <v>234</v>
      </c>
      <c r="OD91" s="115" t="str">
        <f>IF(ISNUMBER(MATCH(24,G87:NT87,0)), "Yes", "")</f>
        <v/>
      </c>
      <c r="OE91" s="63" t="s">
        <v>246</v>
      </c>
      <c r="OF91" s="115" t="str">
        <f>IF(ISNUMBER(MATCH(36,G87:NT87,0)), "Yes", "")</f>
        <v/>
      </c>
      <c r="OG91" s="63" t="s">
        <v>258</v>
      </c>
      <c r="OH91" s="115"/>
      <c r="OI91" s="63"/>
      <c r="OJ91" s="63"/>
    </row>
    <row r="92" spans="1:400" s="43" customFormat="1" ht="26.25" customHeight="1" x14ac:dyDescent="0.25">
      <c r="B92" s="36" t="str">
        <f>IF(AND($H$64&gt;=1, $H$64&lt;&gt;"Please Select"),"Total Number of Runs Per Year:","")</f>
        <v/>
      </c>
      <c r="D92" s="528"/>
      <c r="E92" s="528"/>
      <c r="O92" s="36" t="str">
        <f>IF(AND($H$64&gt;=2, $H$64&lt;&gt;"Please Select"),"Total Number of Runs Per Year:","")</f>
        <v/>
      </c>
      <c r="Q92" s="528"/>
      <c r="R92" s="528"/>
      <c r="AB92" s="36" t="str">
        <f>IF(AND($H$64&gt;=3, $H$64&lt;&gt;"Please Select"),"Total Number of Runs Per Year:","")</f>
        <v/>
      </c>
      <c r="AD92" s="528"/>
      <c r="AE92" s="528"/>
      <c r="AO92" s="36" t="str">
        <f>IF(AND($H$64&gt;=4, $H$64&lt;&gt;"Please Select"),"Total Number of Runs Per Year:","")</f>
        <v/>
      </c>
      <c r="AQ92" s="528"/>
      <c r="AR92" s="528"/>
      <c r="BB92" s="36" t="str">
        <f>IF(AND($H$64&gt;=5, $H$64&lt;&gt;"Please Select"),"Total Number of Runs Per Year:","")</f>
        <v/>
      </c>
      <c r="BD92" s="528"/>
      <c r="BE92" s="528"/>
      <c r="BO92" s="36" t="str">
        <f>IF(AND($H$64&gt;=6, $H$64&lt;&gt;"Please Select"),"Total Number of Runs Per Year:","")</f>
        <v/>
      </c>
      <c r="BQ92" s="528"/>
      <c r="BR92" s="528"/>
      <c r="CB92" s="36" t="str">
        <f>IF(AND($H$64&gt;=7, $H$64&lt;&gt;"Please Select"),"Total Number of Runs Per Year:","")</f>
        <v/>
      </c>
      <c r="CD92" s="528"/>
      <c r="CE92" s="528"/>
      <c r="CO92" s="36" t="str">
        <f>IF(AND($H$64&gt;=8, $H$64&lt;&gt;"Please Select"),"Total Number of Runs Per Year:","")</f>
        <v/>
      </c>
      <c r="CQ92" s="528"/>
      <c r="CR92" s="528"/>
      <c r="DB92" s="36" t="str">
        <f>IF(AND($H$64&gt;=9, $H$64&lt;&gt;"Please Select"),"Total Number of Runs Per Year:","")</f>
        <v/>
      </c>
      <c r="DD92" s="528"/>
      <c r="DE92" s="528"/>
      <c r="DO92" s="36" t="str">
        <f>IF(AND($H$64&gt;=10, $H$64&lt;&gt;"Please Select"),"Total Number of Runs Per Year:","")</f>
        <v/>
      </c>
      <c r="DQ92" s="528"/>
      <c r="DR92" s="528"/>
      <c r="EB92" s="36" t="str">
        <f>IF(AND($H$64&gt;=11, $H$64&lt;&gt;"Please Select"),"Total Number of Runs Per Year:","")</f>
        <v/>
      </c>
      <c r="ED92" s="528"/>
      <c r="EE92" s="528"/>
      <c r="EO92" s="36" t="str">
        <f>IF(AND($H$64&gt;=12, $H$64&lt;&gt;"Please Select"),"Total Number of Runs Per Year:","")</f>
        <v/>
      </c>
      <c r="EQ92" s="528"/>
      <c r="ER92" s="528"/>
      <c r="FB92" s="36" t="str">
        <f>IF(AND($H$64&gt;=13, $H$64&lt;&gt;"Please Select"),"Total Number of Runs Per Year:","")</f>
        <v/>
      </c>
      <c r="FD92" s="528"/>
      <c r="FE92" s="528"/>
      <c r="FO92" s="36" t="str">
        <f>IF(AND($H$64&gt;=14, $H$64&lt;&gt;"Please Select"),"Total Number of Runs Per Year:","")</f>
        <v/>
      </c>
      <c r="FQ92" s="528"/>
      <c r="FR92" s="528"/>
      <c r="GB92" s="36" t="str">
        <f>IF(AND($H$64&gt;=15, $H$64&lt;&gt;"Please Select"),"Total Number of Runs Per Year:","")</f>
        <v/>
      </c>
      <c r="GD92" s="528"/>
      <c r="GE92" s="528"/>
      <c r="GO92" s="36" t="str">
        <f>IF(AND($H$64&gt;=16, $H$64&lt;&gt;"Please Select"),"Total Number of Runs Per Year:","")</f>
        <v/>
      </c>
      <c r="GQ92" s="528"/>
      <c r="GR92" s="528"/>
      <c r="HB92" s="36" t="str">
        <f>IF(AND($H$64&gt;=17, $H$64&lt;&gt;"Please Select"),"Total Number of Runs Per Year:","")</f>
        <v/>
      </c>
      <c r="HD92" s="528"/>
      <c r="HE92" s="528"/>
      <c r="HO92" s="36" t="str">
        <f>IF(AND($H$64&gt;=18, $H$64&lt;&gt;"Please Select"),"Total Number of Runs Per Year:","")</f>
        <v/>
      </c>
      <c r="HQ92" s="528"/>
      <c r="HR92" s="528"/>
      <c r="IB92" s="36" t="str">
        <f>IF(AND($H$64&gt;=19, $H$64&lt;&gt;"Please Select"),"Total Number of Runs Per Year:","")</f>
        <v/>
      </c>
      <c r="ID92" s="528"/>
      <c r="IE92" s="528"/>
      <c r="IO92" s="36" t="str">
        <f>IF(AND($H$64&gt;=20, $H$64&lt;&gt;"Please Select"),"Total Number of Runs Per Year:","")</f>
        <v/>
      </c>
      <c r="IQ92" s="528"/>
      <c r="IR92" s="528"/>
      <c r="JB92" s="36" t="str">
        <f>IF(AND($H$64&gt;=21, $H$64&lt;&gt;"Please Select"),"Total Number of Runs Per Year:","")</f>
        <v/>
      </c>
      <c r="JD92" s="528"/>
      <c r="JE92" s="528"/>
      <c r="JO92" s="36" t="str">
        <f>IF(AND($H$64&gt;=22, $H$64&lt;&gt;"Please Select"),"Total Number of Runs Per Year:","")</f>
        <v/>
      </c>
      <c r="JQ92" s="528"/>
      <c r="JR92" s="528"/>
      <c r="KB92" s="36" t="str">
        <f>IF(AND($H$64&gt;=23, $H$64&lt;&gt;"Please Select"),"Total Number of Runs Per Year:","")</f>
        <v/>
      </c>
      <c r="KD92" s="528"/>
      <c r="KE92" s="528"/>
      <c r="KO92" s="36" t="str">
        <f>IF(AND($H$64&gt;=24, $H$64&lt;&gt;"Please Select"),"Total Number of Runs Per Year:","")</f>
        <v/>
      </c>
      <c r="KQ92" s="528"/>
      <c r="KR92" s="528"/>
      <c r="LB92" s="36" t="str">
        <f>IF(AND($H$64&gt;=25, $H$64&lt;&gt;"Please Select"),"Total Number of Runs Per Year:","")</f>
        <v/>
      </c>
      <c r="LD92" s="528"/>
      <c r="LE92" s="528"/>
      <c r="LO92" s="36" t="str">
        <f>IF(AND($H$64&gt;=26, $H$64&lt;&gt;"Please Select"),"Total Number of Runs Per Year:","")</f>
        <v/>
      </c>
      <c r="LQ92" s="528"/>
      <c r="LR92" s="528"/>
      <c r="MB92" s="36" t="str">
        <f>IF(AND($H$64&gt;=27, $H$64&lt;&gt;"Please Select"),"Total Number of Runs Per Year:","")</f>
        <v/>
      </c>
      <c r="MD92" s="528"/>
      <c r="ME92" s="528"/>
      <c r="MO92" s="36" t="str">
        <f>IF(AND($H$64&gt;=28, $H$64&lt;&gt;"Please Select"),"Total Number of Runs Per Year:","")</f>
        <v/>
      </c>
      <c r="MQ92" s="528"/>
      <c r="MR92" s="528"/>
      <c r="NB92" s="36" t="str">
        <f>IF(AND($H$64&gt;=29, $H$64&lt;&gt;"Please Select"),"Total Number of Runs Per Year:","")</f>
        <v/>
      </c>
      <c r="ND92" s="528"/>
      <c r="NE92" s="528"/>
      <c r="NO92" s="36" t="str">
        <f>IF(AND($H$64&gt;=30, $H$64&lt;&gt;"Please Select"),"Total Number of Runs Per Year:","")</f>
        <v/>
      </c>
      <c r="NQ92" s="528"/>
      <c r="NR92" s="528"/>
    </row>
    <row r="93" spans="1:400" s="41" customFormat="1" ht="21.75" customHeight="1" x14ac:dyDescent="0.2">
      <c r="B93" s="32"/>
      <c r="C93" s="32"/>
      <c r="D93" s="536"/>
      <c r="E93" s="536"/>
      <c r="F93" s="32"/>
      <c r="O93" s="32"/>
      <c r="P93" s="32"/>
      <c r="Q93" s="536"/>
      <c r="R93" s="536"/>
      <c r="S93" s="32"/>
      <c r="AB93" s="32"/>
      <c r="AC93" s="32"/>
      <c r="AD93" s="536"/>
      <c r="AE93" s="536"/>
      <c r="AF93" s="32"/>
      <c r="AO93" s="32"/>
      <c r="AP93" s="32"/>
      <c r="AQ93" s="536"/>
      <c r="AR93" s="536"/>
      <c r="AS93" s="32"/>
      <c r="BB93" s="32"/>
      <c r="BC93" s="32"/>
      <c r="BD93" s="536"/>
      <c r="BE93" s="536"/>
      <c r="BF93" s="32"/>
      <c r="BO93" s="32"/>
      <c r="BP93" s="32"/>
      <c r="BQ93" s="536"/>
      <c r="BR93" s="536"/>
      <c r="BS93" s="32"/>
      <c r="CB93" s="32"/>
      <c r="CC93" s="32"/>
      <c r="CD93" s="536"/>
      <c r="CE93" s="536"/>
      <c r="CF93" s="32"/>
      <c r="CO93" s="32"/>
      <c r="CP93" s="32"/>
      <c r="CQ93" s="536"/>
      <c r="CR93" s="536"/>
      <c r="CS93" s="32"/>
      <c r="DB93" s="32"/>
      <c r="DC93" s="32"/>
      <c r="DD93" s="536"/>
      <c r="DE93" s="536"/>
      <c r="DF93" s="32"/>
      <c r="DO93" s="32"/>
      <c r="DP93" s="32"/>
      <c r="DQ93" s="536"/>
      <c r="DR93" s="536"/>
      <c r="DS93" s="32"/>
      <c r="EB93" s="32"/>
      <c r="EC93" s="32"/>
      <c r="ED93" s="536"/>
      <c r="EE93" s="536"/>
      <c r="EF93" s="32"/>
      <c r="EO93" s="32"/>
      <c r="EP93" s="32"/>
      <c r="EQ93" s="536"/>
      <c r="ER93" s="536"/>
      <c r="ES93" s="32"/>
      <c r="FB93" s="32"/>
      <c r="FC93" s="32"/>
      <c r="FD93" s="536"/>
      <c r="FE93" s="536"/>
      <c r="FF93" s="32"/>
      <c r="FO93" s="32"/>
      <c r="FP93" s="32"/>
      <c r="FQ93" s="536"/>
      <c r="FR93" s="536"/>
      <c r="FS93" s="32"/>
      <c r="GB93" s="32"/>
      <c r="GC93" s="32"/>
      <c r="GD93" s="536"/>
      <c r="GE93" s="536"/>
      <c r="GF93" s="32"/>
      <c r="GO93" s="32"/>
      <c r="GP93" s="32"/>
      <c r="GQ93" s="536"/>
      <c r="GR93" s="536"/>
      <c r="GS93" s="32"/>
      <c r="HB93" s="32"/>
      <c r="HC93" s="32"/>
      <c r="HD93" s="536"/>
      <c r="HE93" s="536"/>
      <c r="HF93" s="32"/>
      <c r="HO93" s="32"/>
      <c r="HP93" s="32"/>
      <c r="HQ93" s="536"/>
      <c r="HR93" s="536"/>
      <c r="HS93" s="32"/>
      <c r="IB93" s="32"/>
      <c r="IC93" s="32"/>
      <c r="ID93" s="536"/>
      <c r="IE93" s="536"/>
      <c r="IF93" s="32"/>
      <c r="IO93" s="32"/>
      <c r="IP93" s="32"/>
      <c r="IQ93" s="536"/>
      <c r="IR93" s="536"/>
      <c r="IS93" s="32"/>
      <c r="JB93" s="32"/>
      <c r="JC93" s="32"/>
      <c r="JD93" s="536"/>
      <c r="JE93" s="536"/>
      <c r="JF93" s="32"/>
      <c r="JO93" s="32"/>
      <c r="JP93" s="32"/>
      <c r="JQ93" s="536"/>
      <c r="JR93" s="536"/>
      <c r="JS93" s="32"/>
      <c r="KB93" s="32"/>
      <c r="KC93" s="32"/>
      <c r="KD93" s="536"/>
      <c r="KE93" s="536"/>
      <c r="KF93" s="32"/>
      <c r="KO93" s="32"/>
      <c r="KP93" s="32"/>
      <c r="KQ93" s="536"/>
      <c r="KR93" s="536"/>
      <c r="KS93" s="32"/>
      <c r="LB93" s="32"/>
      <c r="LC93" s="32"/>
      <c r="LD93" s="536"/>
      <c r="LE93" s="536"/>
      <c r="LF93" s="32"/>
      <c r="LO93" s="32"/>
      <c r="LP93" s="32"/>
      <c r="LQ93" s="536"/>
      <c r="LR93" s="536"/>
      <c r="LS93" s="32"/>
      <c r="MB93" s="32"/>
      <c r="MC93" s="32"/>
      <c r="MD93" s="536"/>
      <c r="ME93" s="536"/>
      <c r="MF93" s="32"/>
      <c r="MO93" s="32"/>
      <c r="MP93" s="32"/>
      <c r="MQ93" s="536"/>
      <c r="MR93" s="536"/>
      <c r="MS93" s="32"/>
      <c r="NB93" s="32"/>
      <c r="NC93" s="32"/>
      <c r="ND93" s="536"/>
      <c r="NE93" s="536"/>
      <c r="NF93" s="32"/>
      <c r="NO93" s="32"/>
      <c r="NP93" s="32"/>
      <c r="NQ93" s="536"/>
      <c r="NR93" s="536"/>
      <c r="NS93" s="32"/>
    </row>
    <row r="94" spans="1:400" s="41" customFormat="1" ht="27" customHeight="1" x14ac:dyDescent="0.2">
      <c r="B94" s="32"/>
      <c r="O94" s="32"/>
      <c r="AB94" s="32"/>
      <c r="AO94" s="32"/>
      <c r="BB94" s="32"/>
      <c r="BO94" s="32"/>
      <c r="CB94" s="32"/>
      <c r="CO94" s="32"/>
      <c r="DB94" s="32"/>
      <c r="DO94" s="32"/>
      <c r="EB94" s="32"/>
      <c r="EO94" s="32"/>
      <c r="FB94" s="32"/>
      <c r="FO94" s="32"/>
      <c r="GB94" s="32"/>
      <c r="GO94" s="32"/>
      <c r="HB94" s="32"/>
      <c r="HO94" s="32"/>
      <c r="IB94" s="32"/>
      <c r="IO94" s="32"/>
      <c r="JB94" s="32"/>
      <c r="JO94" s="32"/>
      <c r="KB94" s="32"/>
      <c r="KO94" s="32"/>
      <c r="LB94" s="32"/>
      <c r="LO94" s="32"/>
      <c r="MB94" s="32"/>
      <c r="MO94" s="32"/>
      <c r="NB94" s="32"/>
      <c r="NO94" s="32"/>
    </row>
    <row r="95" spans="1:400" s="41" customFormat="1" ht="35.25" customHeight="1" x14ac:dyDescent="0.2">
      <c r="B95" s="541" t="str">
        <f>IF(AND($H$64&gt;=1, $H$64&lt;&gt;"Please Select"),"Total # Active Preceptors at this Site:
(based on the list below)","")</f>
        <v/>
      </c>
      <c r="C95" s="541"/>
      <c r="D95" s="544" t="str">
        <f>IF(A$97&gt;=1,SUM(A$97),"")</f>
        <v/>
      </c>
      <c r="E95" s="544"/>
      <c r="O95" s="541" t="str">
        <f>IF(AND($H$64&gt;=2, $H$64&lt;&gt;"Please Select"),"Total # Active Preceptors at this Site:
(based on the list below)","")</f>
        <v/>
      </c>
      <c r="P95" s="541"/>
      <c r="Q95" s="544" t="str">
        <f>IF(N$97&gt;=1,SUM(N$97),"")</f>
        <v/>
      </c>
      <c r="R95" s="544"/>
      <c r="AB95" s="541" t="str">
        <f>IF(AND($H$64&gt;=3, $H$64&lt;&gt;"Please Select"),"Total # Active Preceptors at this Site:
(based on the list below)","")</f>
        <v/>
      </c>
      <c r="AC95" s="541"/>
      <c r="AD95" s="540" t="str">
        <f>IF(AA$97&gt;=1,SUM(AA$97),"")</f>
        <v/>
      </c>
      <c r="AE95" s="540"/>
      <c r="AO95" s="541" t="str">
        <f>IF(AND($H$64&gt;=4, $H$64&lt;&gt;"Please Select"),"Total # Active Preceptors at this Site:
(based on the list below)","")</f>
        <v/>
      </c>
      <c r="AP95" s="541"/>
      <c r="AQ95" s="540" t="str">
        <f>IF(AN$97&gt;=1,SUM(AN$97),"")</f>
        <v/>
      </c>
      <c r="AR95" s="540"/>
      <c r="BB95" s="541" t="str">
        <f>IF(AND($H$64&gt;=5, $H$64&lt;&gt;"Please Select"),"Total # Active Preceptors at this Site:
(based on the list below)","")</f>
        <v/>
      </c>
      <c r="BC95" s="541"/>
      <c r="BD95" s="540" t="str">
        <f>IF(BA$97&gt;=1,SUM(BA$97),"")</f>
        <v/>
      </c>
      <c r="BE95" s="540"/>
      <c r="BO95" s="541" t="str">
        <f>IF(AND($H$64&gt;=6, $H$64&lt;&gt;"Please Select"),"Total # Active Preceptors at this Site:
(based on the list below)","")</f>
        <v/>
      </c>
      <c r="BP95" s="541"/>
      <c r="BQ95" s="540" t="str">
        <f>IF(BN$97&gt;=1,SUM(BN$97),"")</f>
        <v/>
      </c>
      <c r="BR95" s="540"/>
      <c r="CB95" s="541" t="str">
        <f>IF(AND($H$64&gt;=7, $H$64&lt;&gt;"Please Select"),"Total # Active Preceptors at this Site:
(based on the list below)","")</f>
        <v/>
      </c>
      <c r="CC95" s="541"/>
      <c r="CD95" s="540" t="str">
        <f>IF(CA$97&gt;=1,SUM(CA$97),"")</f>
        <v/>
      </c>
      <c r="CE95" s="540"/>
      <c r="CO95" s="541" t="str">
        <f>IF(AND($H$64&gt;=8, $H$64&lt;&gt;"Please Select"),"Total # Active Preceptors at this Site:
(based on the list below)","")</f>
        <v/>
      </c>
      <c r="CP95" s="541"/>
      <c r="CQ95" s="540" t="str">
        <f>IF(CN$97&gt;=1,SUM(CN$97),"")</f>
        <v/>
      </c>
      <c r="CR95" s="540"/>
      <c r="DB95" s="541" t="str">
        <f>IF(AND($H$64&gt;=9, $H$64&lt;&gt;"Please Select"),"Total # Active Preceptors at this Site:
(based on the list below)","")</f>
        <v/>
      </c>
      <c r="DC95" s="541"/>
      <c r="DD95" s="540" t="str">
        <f>IF(DA$97&gt;=1,SUM(DA$97),"")</f>
        <v/>
      </c>
      <c r="DE95" s="540"/>
      <c r="DO95" s="541" t="str">
        <f>IF(AND($H$64&gt;=10, $H$64&lt;&gt;"Please Select"),"Total # Active Preceptors at this Site:
(based on the list below)","")</f>
        <v/>
      </c>
      <c r="DP95" s="541"/>
      <c r="DQ95" s="540" t="str">
        <f>IF(DN$97&gt;=1,SUM(DN$97),"")</f>
        <v/>
      </c>
      <c r="DR95" s="540"/>
      <c r="EB95" s="541" t="str">
        <f>IF(AND($H$64&gt;=11, $H$64&lt;&gt;"Please Select"),"Total # Active Preceptors at this Site:
(based on the list below)","")</f>
        <v/>
      </c>
      <c r="EC95" s="541"/>
      <c r="ED95" s="540" t="str">
        <f>IF(EA$97&gt;=1,SUM(EA$97),"")</f>
        <v/>
      </c>
      <c r="EE95" s="540"/>
      <c r="EO95" s="541" t="str">
        <f>IF(AND($H$64&gt;=12, $H$64&lt;&gt;"Please Select"),"Total # Active Preceptors at this Site:
(based on the list below)","")</f>
        <v/>
      </c>
      <c r="EP95" s="541"/>
      <c r="EQ95" s="540" t="str">
        <f>IF(EN$97&gt;=1,SUM(EN$97),"")</f>
        <v/>
      </c>
      <c r="ER95" s="540"/>
      <c r="FB95" s="541" t="str">
        <f>IF(AND($H$64&gt;=13, $H$64&lt;&gt;"Please Select"),"Total # Active Preceptors at this Site:
(based on the list below)","")</f>
        <v/>
      </c>
      <c r="FC95" s="541"/>
      <c r="FD95" s="540" t="str">
        <f>IF(FA$97&gt;=1,SUM(FA$97),"")</f>
        <v/>
      </c>
      <c r="FE95" s="540"/>
      <c r="FO95" s="541" t="str">
        <f>IF(AND($H$64&gt;=14, $H$64&lt;&gt;"Please Select"),"Total # Active Preceptors at this Site:
(based on the list below)","")</f>
        <v/>
      </c>
      <c r="FP95" s="541"/>
      <c r="FQ95" s="540" t="str">
        <f>IF(FN$97&gt;=1,SUM(FN$97),"")</f>
        <v/>
      </c>
      <c r="FR95" s="540"/>
      <c r="GB95" s="541" t="str">
        <f>IF(AND($H$64&gt;=15, $H$64&lt;&gt;"Please Select"),"Total # Active Preceptors at this Site:
(based on the list below)","")</f>
        <v/>
      </c>
      <c r="GC95" s="541"/>
      <c r="GD95" s="540" t="str">
        <f>IF(GA$97&gt;=1,SUM(GA$97),"")</f>
        <v/>
      </c>
      <c r="GE95" s="540"/>
      <c r="GO95" s="541" t="str">
        <f>IF(AND($H$64&gt;=16, $H$64&lt;&gt;"Please Select"),"Total # Active Preceptors at this Site:
(based on the list below)","")</f>
        <v/>
      </c>
      <c r="GP95" s="541"/>
      <c r="GQ95" s="540" t="str">
        <f>IF(GN$97&gt;=1,SUM(GN$97),"")</f>
        <v/>
      </c>
      <c r="GR95" s="540"/>
      <c r="HB95" s="541" t="str">
        <f>IF(AND($H$64&gt;=17, $H$64&lt;&gt;"Please Select"),"Total # Active Preceptors at this Site:
(based on the list below)","")</f>
        <v/>
      </c>
      <c r="HC95" s="541"/>
      <c r="HD95" s="540" t="str">
        <f>IF(HA$97&gt;=1,SUM(HA$97),"")</f>
        <v/>
      </c>
      <c r="HE95" s="540"/>
      <c r="HO95" s="541" t="str">
        <f>IF(AND($H$64&gt;=18, $H$64&lt;&gt;"Please Select"),"Total # Active Preceptors at this Site:
(based on the list below)","")</f>
        <v/>
      </c>
      <c r="HP95" s="541"/>
      <c r="HQ95" s="540" t="str">
        <f>IF(HN$97&gt;=1,SUM(HN$97),"")</f>
        <v/>
      </c>
      <c r="HR95" s="540"/>
      <c r="IB95" s="541" t="str">
        <f>IF(AND($H$64&gt;=19, $H$64&lt;&gt;"Please Select"),"Total # Active Preceptors at this Site:
(based on the list below)","")</f>
        <v/>
      </c>
      <c r="IC95" s="541"/>
      <c r="ID95" s="540" t="str">
        <f>IF(IA$97&gt;=1,SUM(IA$97),"")</f>
        <v/>
      </c>
      <c r="IE95" s="540"/>
      <c r="IO95" s="541" t="str">
        <f>IF(AND($H$64&gt;=20, $H$64&lt;&gt;"Please Select"),"Total # Active Preceptors at this Site:
(based on the list below)","")</f>
        <v/>
      </c>
      <c r="IP95" s="541"/>
      <c r="IQ95" s="540" t="str">
        <f>IF(IN$97&gt;=1,SUM(IN$97),"")</f>
        <v/>
      </c>
      <c r="IR95" s="540"/>
      <c r="JB95" s="541" t="str">
        <f>IF(AND($H$64&gt;=21, $H$64&lt;&gt;"Please Select"),"Total # Active Preceptors at this Site:
(based on the list below)","")</f>
        <v/>
      </c>
      <c r="JC95" s="541"/>
      <c r="JD95" s="540" t="str">
        <f>IF(JA$97&gt;=1,SUM(JA$97),"")</f>
        <v/>
      </c>
      <c r="JE95" s="540"/>
      <c r="JO95" s="541" t="str">
        <f>IF(AND($H$64&gt;=22, $H$64&lt;&gt;"Please Select"),"Total # Active Preceptors at this Site:
(based on the list below)","")</f>
        <v/>
      </c>
      <c r="JP95" s="541"/>
      <c r="JQ95" s="540" t="str">
        <f>IF(JN$97&gt;=1,SUM(JN$97),"")</f>
        <v/>
      </c>
      <c r="JR95" s="540"/>
      <c r="KB95" s="541" t="str">
        <f>IF(AND($H$64&gt;=23, $H$64&lt;&gt;"Please Select"),"Total # Active Preceptors at this Site:
(based on the list below)","")</f>
        <v/>
      </c>
      <c r="KC95" s="541"/>
      <c r="KD95" s="540" t="str">
        <f>IF(KA$97&gt;=1,SUM(KA$97),"")</f>
        <v/>
      </c>
      <c r="KE95" s="540"/>
      <c r="KO95" s="541" t="str">
        <f>IF(AND($H$64&gt;=24, $H$64&lt;&gt;"Please Select"),"Total # Active Preceptors at this Site:
(based on the list below)","")</f>
        <v/>
      </c>
      <c r="KP95" s="541"/>
      <c r="KQ95" s="540" t="str">
        <f>IF(KN$97&gt;=1,SUM(KN$97),"")</f>
        <v/>
      </c>
      <c r="KR95" s="540"/>
      <c r="LB95" s="541" t="str">
        <f>IF(AND($H$64&gt;=25, $H$64&lt;&gt;"Please Select"),"Total # Active Preceptors at this Site:
(based on the list below)","")</f>
        <v/>
      </c>
      <c r="LC95" s="541"/>
      <c r="LD95" s="540" t="str">
        <f>IF(LA$97&gt;=1,SUM(LA$97),"")</f>
        <v/>
      </c>
      <c r="LE95" s="540"/>
      <c r="LO95" s="541" t="str">
        <f>IF(AND($H$64&gt;=26, $H$64&lt;&gt;"Please Select"),"Total # Active Preceptors at this Site:
(based on the list below)","")</f>
        <v/>
      </c>
      <c r="LP95" s="541"/>
      <c r="LQ95" s="540" t="str">
        <f>IF(LN$97&gt;=1,SUM(LN$97),"")</f>
        <v/>
      </c>
      <c r="LR95" s="540"/>
      <c r="MB95" s="541" t="str">
        <f>IF(AND($H$64&gt;=27, $H$64&lt;&gt;"Please Select"),"Total # Active Preceptors at this Site:
(based on the list below)","")</f>
        <v/>
      </c>
      <c r="MC95" s="541"/>
      <c r="MD95" s="540" t="str">
        <f>IF(MA$97&gt;=1,SUM(MA$97),"")</f>
        <v/>
      </c>
      <c r="ME95" s="540"/>
      <c r="MO95" s="541" t="str">
        <f>IF(AND($H$64&gt;=28, $H$64&lt;&gt;"Please Select"),"Total # Active Preceptors at this Site:
(based on the list below)","")</f>
        <v/>
      </c>
      <c r="MP95" s="541"/>
      <c r="MQ95" s="540" t="str">
        <f>IF(MN$97&gt;=1,SUM(MN$97),"")</f>
        <v/>
      </c>
      <c r="MR95" s="540"/>
      <c r="NB95" s="541" t="str">
        <f>IF(AND($H$64&gt;=29, $H$64&lt;&gt;"Please Select"),"Total # Active Preceptors at this Site:
(based on the list below)","")</f>
        <v/>
      </c>
      <c r="NC95" s="541"/>
      <c r="ND95" s="540" t="str">
        <f>IF(NA$97&gt;=1,SUM(NA$97),"")</f>
        <v/>
      </c>
      <c r="NE95" s="540"/>
      <c r="NO95" s="541" t="str">
        <f>IF(AND($H$64&gt;=30, $H$64&lt;&gt;"Please Select"),"Total # Active Preceptors at this Site:
(based on the list below)","")</f>
        <v/>
      </c>
      <c r="NP95" s="541"/>
      <c r="NQ95" s="540" t="str">
        <f>IF(NN$97&gt;=1,SUM(NN$97),"")</f>
        <v/>
      </c>
      <c r="NR95" s="540"/>
    </row>
    <row r="96" spans="1:400" s="41" customFormat="1" ht="182.45" customHeight="1" x14ac:dyDescent="0.2">
      <c r="A96" s="87"/>
      <c r="B96" s="537" t="str">
        <f>IF(AND($H$64&gt;=1,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C96" s="537"/>
      <c r="D96" s="537"/>
      <c r="E96" s="537"/>
      <c r="F96" s="537"/>
      <c r="G96" s="537"/>
      <c r="H96" s="537"/>
      <c r="I96" s="87"/>
      <c r="O96" s="537" t="str">
        <f>IF(AND($H$64&gt;=2,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P96" s="537"/>
      <c r="Q96" s="537"/>
      <c r="R96" s="537"/>
      <c r="S96" s="537"/>
      <c r="T96" s="537"/>
      <c r="U96" s="537"/>
      <c r="AB96" s="537" t="str">
        <f>IF(AND($H$64&gt;=3,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IF(AND($H$64&gt;=3,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AC96" s="537"/>
      <c r="AD96" s="537"/>
      <c r="AE96" s="537"/>
      <c r="AF96" s="537"/>
      <c r="AG96" s="537"/>
      <c r="AH96" s="537"/>
      <c r="AO96" s="537" t="str">
        <f>IF(AND($H$64&gt;=4,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IF(AND($H$64&gt;=4,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AP96" s="537"/>
      <c r="AQ96" s="537"/>
      <c r="AR96" s="537"/>
      <c r="AS96" s="537"/>
      <c r="AT96" s="537"/>
      <c r="AU96" s="537"/>
      <c r="BB96" s="537" t="str">
        <f>IF(AND($H$64&gt;=5,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IF(AND($H$64&gt;=5,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BC96" s="537"/>
      <c r="BD96" s="537"/>
      <c r="BE96" s="537"/>
      <c r="BF96" s="537"/>
      <c r="BG96" s="537"/>
      <c r="BH96" s="537"/>
      <c r="BO96" s="537" t="str">
        <f>IF(AND($H$64&gt;=6,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IF(AND($H$64&gt;=6,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BP96" s="537"/>
      <c r="BQ96" s="537"/>
      <c r="BR96" s="537"/>
      <c r="BS96" s="537"/>
      <c r="BT96" s="537"/>
      <c r="BU96" s="537"/>
      <c r="CB96" s="537" t="str">
        <f>IF(AND($H$64&gt;=7,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IF(AND($H$64&gt;=7,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CC96" s="537"/>
      <c r="CD96" s="537"/>
      <c r="CE96" s="537"/>
      <c r="CF96" s="537"/>
      <c r="CG96" s="537"/>
      <c r="CH96" s="537"/>
      <c r="CO96" s="537" t="str">
        <f>IF(AND($H$64&gt;=8,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IF(AND($H$64&gt;=8,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CP96" s="537"/>
      <c r="CQ96" s="537"/>
      <c r="CR96" s="537"/>
      <c r="CS96" s="537"/>
      <c r="CT96" s="537"/>
      <c r="CU96" s="537"/>
      <c r="DB96" s="537" t="str">
        <f>IF(AND($H$64&gt;=9,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IF(AND($H$64&gt;=9,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DC96" s="537"/>
      <c r="DD96" s="537"/>
      <c r="DE96" s="537"/>
      <c r="DF96" s="537"/>
      <c r="DG96" s="537"/>
      <c r="DH96" s="537"/>
      <c r="DO96" s="537" t="str">
        <f>IF(AND($H$64&gt;=10,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IF(AND($H$64&gt;=10,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DP96" s="537"/>
      <c r="DQ96" s="537"/>
      <c r="DR96" s="537"/>
      <c r="DS96" s="537"/>
      <c r="DT96" s="537"/>
      <c r="DU96" s="537"/>
      <c r="EB96" s="537" t="str">
        <f>IF(AND($H$64&gt;=11,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IF(AND($H$64&gt;=11,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EC96" s="537"/>
      <c r="ED96" s="537"/>
      <c r="EE96" s="537"/>
      <c r="EF96" s="537"/>
      <c r="EG96" s="537"/>
      <c r="EH96" s="537"/>
      <c r="EO96" s="537" t="str">
        <f>IF(AND($H$64&gt;=12,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IF(AND($H$64&gt;=12,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EP96" s="537"/>
      <c r="EQ96" s="537"/>
      <c r="ER96" s="537"/>
      <c r="ES96" s="537"/>
      <c r="ET96" s="537"/>
      <c r="EU96" s="537"/>
      <c r="FB96" s="537" t="str">
        <f>IF(AND($H$64&gt;=13,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IF(AND($H$64&gt;=13,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FC96" s="537"/>
      <c r="FD96" s="537"/>
      <c r="FE96" s="537"/>
      <c r="FF96" s="537"/>
      <c r="FG96" s="537"/>
      <c r="FH96" s="537"/>
      <c r="FO96" s="537" t="str">
        <f>IF(AND($H$64&gt;=14,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IF(AND($H$64&gt;=14,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FP96" s="537"/>
      <c r="FQ96" s="537"/>
      <c r="FR96" s="537"/>
      <c r="FS96" s="537"/>
      <c r="FT96" s="537"/>
      <c r="FU96" s="537"/>
      <c r="GB96" s="537" t="str">
        <f>IF(AND($H$64&gt;=15,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IF(AND($H$64&gt;=15,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GC96" s="537"/>
      <c r="GD96" s="537"/>
      <c r="GE96" s="537"/>
      <c r="GF96" s="537"/>
      <c r="GG96" s="537"/>
      <c r="GH96" s="537"/>
      <c r="GO96" s="537" t="str">
        <f>IF(AND($H$64&gt;=16,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IF(AND($H$64&gt;=16,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GP96" s="537"/>
      <c r="GQ96" s="537"/>
      <c r="GR96" s="537"/>
      <c r="GS96" s="537"/>
      <c r="GT96" s="537"/>
      <c r="GU96" s="537"/>
      <c r="HB96" s="537" t="str">
        <f>IF(AND($H$64&gt;=17,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IF(AND($H$64&gt;=17,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HC96" s="537"/>
      <c r="HD96" s="537"/>
      <c r="HE96" s="537"/>
      <c r="HF96" s="537"/>
      <c r="HG96" s="537"/>
      <c r="HH96" s="537"/>
      <c r="HO96" s="537" t="str">
        <f>IF(AND($H$64&gt;=18,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IF(AND($H$64&gt;=18,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HP96" s="537"/>
      <c r="HQ96" s="537"/>
      <c r="HR96" s="537"/>
      <c r="HS96" s="537"/>
      <c r="HT96" s="537"/>
      <c r="HU96" s="537"/>
      <c r="IB96" s="537" t="str">
        <f>IF(AND($H$64&gt;=19,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IF(AND($H$64&gt;=19,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IC96" s="537"/>
      <c r="ID96" s="537"/>
      <c r="IE96" s="537"/>
      <c r="IF96" s="537"/>
      <c r="IG96" s="537"/>
      <c r="IH96" s="537"/>
      <c r="IO96" s="537" t="str">
        <f>IF(AND($H$64&gt;=20,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IF(AND($H$64&gt;=20,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IP96" s="537"/>
      <c r="IQ96" s="537"/>
      <c r="IR96" s="537"/>
      <c r="IS96" s="537"/>
      <c r="IT96" s="537"/>
      <c r="IU96" s="537"/>
      <c r="JB96" s="537" t="str">
        <f>IF(AND($H$64&gt;=21,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IF(AND($H$64&gt;=21,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JC96" s="537"/>
      <c r="JD96" s="537"/>
      <c r="JE96" s="537"/>
      <c r="JF96" s="537"/>
      <c r="JG96" s="537"/>
      <c r="JH96" s="537"/>
      <c r="JO96" s="537" t="str">
        <f>IF(AND($H$64&gt;=22,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IF(AND($H$64&gt;=22,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JP96" s="537"/>
      <c r="JQ96" s="537"/>
      <c r="JR96" s="537"/>
      <c r="JS96" s="537"/>
      <c r="JT96" s="537"/>
      <c r="JU96" s="537"/>
      <c r="KB96" s="537" t="str">
        <f>IF(AND($H$64&gt;=23,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IF(AND($H$64&gt;=23,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KC96" s="537"/>
      <c r="KD96" s="537"/>
      <c r="KE96" s="537"/>
      <c r="KF96" s="537"/>
      <c r="KG96" s="537"/>
      <c r="KH96" s="537"/>
      <c r="KO96" s="537" t="str">
        <f>IF(AND($H$64&gt;=24,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IF(AND($H$64&gt;=24,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KP96" s="537"/>
      <c r="KQ96" s="537"/>
      <c r="KR96" s="537"/>
      <c r="KS96" s="537"/>
      <c r="KT96" s="537"/>
      <c r="KU96" s="537"/>
      <c r="LB96" s="537" t="str">
        <f>IF(AND($H$64&gt;=25,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IF(AND($H$64&gt;=25,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LC96" s="537"/>
      <c r="LD96" s="537"/>
      <c r="LE96" s="537"/>
      <c r="LF96" s="537"/>
      <c r="LG96" s="537"/>
      <c r="LH96" s="537"/>
      <c r="LO96" s="537" t="str">
        <f>IF(AND($H$64&gt;=26,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IF(AND($H$64&gt;=26,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LP96" s="537"/>
      <c r="LQ96" s="537"/>
      <c r="LR96" s="537"/>
      <c r="LS96" s="537"/>
      <c r="LT96" s="537"/>
      <c r="LU96" s="537"/>
      <c r="MB96" s="537" t="str">
        <f>IF(AND($H$64&gt;=27,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IF(AND($H$64&gt;=27,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MC96" s="537"/>
      <c r="MD96" s="537"/>
      <c r="ME96" s="537"/>
      <c r="MF96" s="537"/>
      <c r="MG96" s="537"/>
      <c r="MH96" s="537"/>
      <c r="MO96" s="537" t="str">
        <f>IF(AND($H$64&gt;=28,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IF(AND($H$64&gt;=28,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MP96" s="537"/>
      <c r="MQ96" s="537"/>
      <c r="MR96" s="537"/>
      <c r="MS96" s="537"/>
      <c r="MT96" s="537"/>
      <c r="MU96" s="537"/>
      <c r="NB96" s="537" t="str">
        <f>IF(AND($H$64&gt;=29,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IF(AND($H$64&gt;=29,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NC96" s="537"/>
      <c r="ND96" s="537"/>
      <c r="NE96" s="537"/>
      <c r="NF96" s="537"/>
      <c r="NG96" s="537"/>
      <c r="NH96" s="537"/>
      <c r="NO96" s="537" t="str">
        <f>IF(AND($H$64&gt;=30, $H$64&lt;&gt;"Please Select",Instructions!A12="CoAEMSP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IF(AND($H$64&gt;=30, $H$64&lt;&gt;"Please Select",Instructions!A12&lt;&gt;"CoAEMSP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NP96" s="537"/>
      <c r="NQ96" s="537"/>
      <c r="NR96" s="537"/>
      <c r="NS96" s="537"/>
      <c r="NT96" s="537"/>
      <c r="NU96" s="537"/>
    </row>
    <row r="97" spans="1:386" s="41" customFormat="1" ht="31.5" customHeight="1" x14ac:dyDescent="0.2">
      <c r="A97" s="177">
        <f>COUNT(A98:A122)</f>
        <v>0</v>
      </c>
      <c r="B97" s="538" t="str">
        <f>IF(AND($H$64&gt;=1, $H$64&lt;&gt;"Please Select"),"Capstone Field Internship Preceptor Name","")</f>
        <v/>
      </c>
      <c r="C97" s="538"/>
      <c r="D97" s="538"/>
      <c r="E97" s="539" t="str">
        <f>IF(AND($H$64&gt;=1, $H$64&lt;&gt;"Please Select"),"Date Completed 
Preceptor Training","")</f>
        <v/>
      </c>
      <c r="F97" s="539"/>
      <c r="G97" s="539" t="str">
        <f>IF(OR(E98="Pending", E99="Pending", E100="Pending", E101="Pending", E102="Pending", E103="Pending", E104="Pending", E105="Pending", E106="Pending", E107="Pending", E108="Pending", E109="Pending", E110="Pending", E111="Pending", E112="Pending", E113="Pending", E114="Pending", E115="Pending", E116="Pending", E117="Pending", E118="Pending", E119="Pending", E120="Pending", E121="Pending", E122="Pending"), "Date Training Will Be Completed", "")</f>
        <v/>
      </c>
      <c r="H97" s="539"/>
      <c r="I97" s="177">
        <f>COUNT(I98:I122)</f>
        <v>0</v>
      </c>
      <c r="N97" s="177">
        <f>COUNT(N98:N122)</f>
        <v>0</v>
      </c>
      <c r="O97" s="538" t="str">
        <f>IF(AND($H$64&gt;=2, $H$64&lt;&gt;"Please Select"),"Capstone Field Internship Preceptor Name","")</f>
        <v/>
      </c>
      <c r="P97" s="538"/>
      <c r="Q97" s="538"/>
      <c r="R97" s="539" t="str">
        <f>IF(AND($H$64&gt;=2, $H$64&lt;&gt;"Please Select"),"Date Completed 
Preceptor Training","")</f>
        <v/>
      </c>
      <c r="S97" s="539"/>
      <c r="T97" s="539" t="str">
        <f>IF(OR(R98="Pending", R99="Pending", R100="Pending", R101="Pending", R102="Pending", R103="Pending", R104="Pending", R105="Pending", R106="Pending", R107="Pending", R108="Pending", R109="Pending", R110="Pending", R111="Pending", R112="Pending", R113="Pending", R114="Pending", R115="Pending", R116="Pending", R117="Pending", R118="Pending", R119="Pending", R120="Pending", R121="Pending", R122="Pending"), "Date Training Will Be Completed", "")</f>
        <v/>
      </c>
      <c r="U97" s="539"/>
      <c r="V97" s="177">
        <f>COUNT(V98:V122)</f>
        <v>0</v>
      </c>
      <c r="AA97" s="177">
        <f>COUNT(AA98:AA122)</f>
        <v>0</v>
      </c>
      <c r="AB97" s="538" t="str">
        <f>IF(AND($H$64&gt;=3, $H$64&lt;&gt;"Please Select"),"Capstone Field Internship Preceptor Name","")</f>
        <v/>
      </c>
      <c r="AC97" s="538"/>
      <c r="AD97" s="538"/>
      <c r="AE97" s="539" t="str">
        <f>IF(AND($H$64&gt;=3, $H$64&lt;&gt;"Please Select"),"Date Completed 
Preceptor Training","")</f>
        <v/>
      </c>
      <c r="AF97" s="539"/>
      <c r="AG97" s="539" t="str">
        <f>IF(OR(AE98="Pending", AE99="Pending", AE100="Pending", AE101="Pending", AE102="Pending", AE103="Pending", AE104="Pending", AE105="Pending", AE106="Pending", AE107="Pending", AE108="Pending", AE109="Pending", AE110="Pending", AE111="Pending", AE112="Pending", AE113="Pending", AE114="Pending", AE115="Pending", AE116="Pending", AE117="Pending", AE118="Pending", AE119="Pending", AE120="Pending", AE121="Pending", AE122="Pending"), "Date Training Will Be Completed", "")</f>
        <v/>
      </c>
      <c r="AH97" s="539"/>
      <c r="AI97" s="177">
        <f>COUNT(AI98:AI122)</f>
        <v>0</v>
      </c>
      <c r="AN97" s="177">
        <f>COUNT(AN98:AN122)</f>
        <v>0</v>
      </c>
      <c r="AO97" s="538" t="str">
        <f>IF(AND($H$64&gt;=4, $H$64&lt;&gt;"Please Select"),"Capstone Field Internship Preceptor Name","")</f>
        <v/>
      </c>
      <c r="AP97" s="538"/>
      <c r="AQ97" s="538"/>
      <c r="AR97" s="539" t="str">
        <f>IF(AND($H$64&gt;=4, $H$64&lt;&gt;"Please Select"),"Date Completed 
Preceptor Training","")</f>
        <v/>
      </c>
      <c r="AS97" s="539"/>
      <c r="AT97" s="539" t="str">
        <f>IF(OR(AR98="Pending", AR99="Pending", AR100="Pending", AR101="Pending", AR102="Pending", AR103="Pending", AR104="Pending", AR105="Pending", AR106="Pending", AR107="Pending", AR108="Pending", AR109="Pending", AR110="Pending", AR111="Pending", AR112="Pending", AR113="Pending", AR114="Pending", AR115="Pending", AR116="Pending", AR117="Pending", AR118="Pending", AR119="Pending", AR120="Pending", AR121="Pending", AR122="Pending"), "Date Training Will Be Completed", "")</f>
        <v/>
      </c>
      <c r="AU97" s="539"/>
      <c r="AV97" s="177">
        <f>COUNT(AV98:AV122)</f>
        <v>0</v>
      </c>
      <c r="BA97" s="177">
        <f>COUNT(BA98:BA122)</f>
        <v>0</v>
      </c>
      <c r="BB97" s="538" t="str">
        <f>IF(AND($H$64&gt;=5, $H$64&lt;&gt;"Please Select"),"Capstone Field Internship Preceptor Name","")</f>
        <v/>
      </c>
      <c r="BC97" s="538"/>
      <c r="BD97" s="538"/>
      <c r="BE97" s="539" t="str">
        <f>IF(AND($H$64&gt;=5, $H$64&lt;&gt;"Please Select"),"Date Completed 
Preceptor Training","")</f>
        <v/>
      </c>
      <c r="BF97" s="539"/>
      <c r="BG97" s="539" t="str">
        <f>IF(OR(BE98="Pending", BE99="Pending", BE100="Pending", BE101="Pending", BE102="Pending", BE103="Pending", BE104="Pending", BE105="Pending", BE106="Pending", BE107="Pending", BE108="Pending", BE109="Pending", BE110="Pending", BE111="Pending", BE112="Pending", BE113="Pending", BE114="Pending", BE115="Pending", BE116="Pending", BE117="Pending", BE118="Pending", BE119="Pending", BE120="Pending", BE121="Pending", BE122="Pending"), "Date Training Will Be Completed", "")</f>
        <v/>
      </c>
      <c r="BH97" s="539"/>
      <c r="BI97" s="177">
        <f>COUNT(BI98:BI122)</f>
        <v>0</v>
      </c>
      <c r="BN97" s="177">
        <f>COUNT(BN98:BN122)</f>
        <v>0</v>
      </c>
      <c r="BO97" s="538" t="str">
        <f>IF(AND($H$64&gt;=6, $H$64&lt;&gt;"Please Select"),"Capstone Field Internship Preceptor Name","")</f>
        <v/>
      </c>
      <c r="BP97" s="538"/>
      <c r="BQ97" s="538"/>
      <c r="BR97" s="539" t="str">
        <f>IF(AND($H$64&gt;=6, $H$64&lt;&gt;"Please Select"),"Date Completed 
Preceptor Training","")</f>
        <v/>
      </c>
      <c r="BS97" s="539"/>
      <c r="BT97" s="539" t="str">
        <f>IF(OR(BR98="Pending", BR99="Pending", BR100="Pending", BR101="Pending", BR102="Pending", BR103="Pending", BR104="Pending", BR105="Pending", BR106="Pending", BR107="Pending", BR108="Pending", BR109="Pending", BR110="Pending", BR111="Pending", BR112="Pending", BR113="Pending", BR114="Pending", BR115="Pending", BR116="Pending", BR117="Pending", BR118="Pending", BR119="Pending", BR120="Pending", BR121="Pending", BR122="Pending"), "Date Training Will Be Completed", "")</f>
        <v/>
      </c>
      <c r="BU97" s="539"/>
      <c r="BV97" s="177">
        <f>COUNT(BV98:BV122)</f>
        <v>0</v>
      </c>
      <c r="CA97" s="177">
        <f>COUNT(CA98:CA122)</f>
        <v>0</v>
      </c>
      <c r="CB97" s="538" t="str">
        <f>IF(AND($H$64&gt;=7, $H$64&lt;&gt;"Please Select"),"Capstone Field Internship Preceptor Name","")</f>
        <v/>
      </c>
      <c r="CC97" s="538"/>
      <c r="CD97" s="538"/>
      <c r="CE97" s="539" t="str">
        <f>IF(AND($H$64&gt;=7, $H$64&lt;&gt;"Please Select"),"Date Completed 
Preceptor Training","")</f>
        <v/>
      </c>
      <c r="CF97" s="539"/>
      <c r="CG97" s="539" t="str">
        <f>IF(OR(CE98="Pending", CE99="Pending", CE100="Pending", CE101="Pending", CE102="Pending", CE103="Pending", CE104="Pending", CE105="Pending", CE106="Pending", CE107="Pending", CE108="Pending", CE109="Pending", CE110="Pending", CE111="Pending", CE112="Pending", CE113="Pending", CE114="Pending", CE115="Pending", CE116="Pending", CE117="Pending", CE118="Pending", CE119="Pending", CE120="Pending", CE121="Pending", CE122="Pending"), "Date Training Will Be Completed", "")</f>
        <v/>
      </c>
      <c r="CH97" s="539"/>
      <c r="CI97" s="177">
        <f>COUNT(CI98:CI122)</f>
        <v>0</v>
      </c>
      <c r="CN97" s="177">
        <f>COUNT(CN98:CN122)</f>
        <v>0</v>
      </c>
      <c r="CO97" s="538" t="str">
        <f>IF(AND($H$64&gt;=8, $H$64&lt;&gt;"Please Select"),"Capstone Field Internship Preceptor Name","")</f>
        <v/>
      </c>
      <c r="CP97" s="538"/>
      <c r="CQ97" s="538"/>
      <c r="CR97" s="539" t="str">
        <f>IF(AND($H$64&gt;=8, $H$64&lt;&gt;"Please Select"),"Date Completed 
Preceptor Training","")</f>
        <v/>
      </c>
      <c r="CS97" s="539"/>
      <c r="CT97" s="539" t="str">
        <f>IF(OR(CR98="Pending", CR99="Pending", CR100="Pending", CR101="Pending", CR102="Pending", CR103="Pending", CR104="Pending", CR105="Pending", CR106="Pending", CR107="Pending", CR108="Pending", CR109="Pending", CR110="Pending", CR111="Pending", CR112="Pending", CR113="Pending", CR114="Pending", CR115="Pending", CR116="Pending", CR117="Pending", CR118="Pending", CR119="Pending", CR120="Pending", CR121="Pending", CR122="Pending"), "Date Training Will Be Completed", "")</f>
        <v/>
      </c>
      <c r="CU97" s="539"/>
      <c r="CV97" s="177">
        <f>COUNT(CV98:CV122)</f>
        <v>0</v>
      </c>
      <c r="DA97" s="177">
        <f>COUNT(DA98:DA122)</f>
        <v>0</v>
      </c>
      <c r="DB97" s="538" t="str">
        <f>IF(AND($H$64&gt;=9, $H$64&lt;&gt;"Please Select"),"Capstone Field Internship Preceptor Name","")</f>
        <v/>
      </c>
      <c r="DC97" s="538"/>
      <c r="DD97" s="538"/>
      <c r="DE97" s="539" t="str">
        <f>IF(AND($H$64&gt;=9, $H$64&lt;&gt;"Please Select"),"Date Completed 
Preceptor Training","")</f>
        <v/>
      </c>
      <c r="DF97" s="539"/>
      <c r="DG97" s="539" t="str">
        <f>IF(OR(DE98="Pending", DE99="Pending", DE100="Pending", DE101="Pending", DE102="Pending", DE103="Pending", DE104="Pending", DE105="Pending", DE106="Pending", DE107="Pending", DE108="Pending", DE109="Pending", DE110="Pending", DE111="Pending", DE112="Pending", DE113="Pending", DE114="Pending", DE115="Pending", DE116="Pending", DE117="Pending", DE118="Pending", DE119="Pending", DE120="Pending", DE121="Pending", DE122="Pending"), "Date Training Will Be Completed", "")</f>
        <v/>
      </c>
      <c r="DH97" s="539"/>
      <c r="DI97" s="177">
        <f>COUNT(DI98:DI122)</f>
        <v>0</v>
      </c>
      <c r="DN97" s="177">
        <f>COUNT(DN98:DN122)</f>
        <v>0</v>
      </c>
      <c r="DO97" s="538" t="str">
        <f>IF(AND($H$64&gt;=10, $H$64&lt;&gt;"Please Select"),"Capstone Field Internship Preceptor Name","")</f>
        <v/>
      </c>
      <c r="DP97" s="538"/>
      <c r="DQ97" s="538"/>
      <c r="DR97" s="539" t="str">
        <f>IF(AND($H$64&gt;=10, $H$64&lt;&gt;"Please Select"),"Date Completed 
Preceptor Training","")</f>
        <v/>
      </c>
      <c r="DS97" s="539"/>
      <c r="DT97" s="539" t="str">
        <f>IF(OR(DR98="Pending", DR99="Pending", DR100="Pending", DR101="Pending", DR102="Pending", DR103="Pending", DR104="Pending", DR105="Pending", DR106="Pending", DR107="Pending", DR108="Pending", DR109="Pending", DR110="Pending", DR111="Pending", DR112="Pending", DR113="Pending", DR114="Pending", DR115="Pending", DR116="Pending", DR117="Pending", DR118="Pending", DR119="Pending", DR120="Pending", DR121="Pending", DR122="Pending"), "Date Training Will Be Completed", "")</f>
        <v/>
      </c>
      <c r="DU97" s="539"/>
      <c r="DV97" s="177">
        <f>COUNT(DV98:DV122)</f>
        <v>0</v>
      </c>
      <c r="EA97" s="177">
        <f>COUNT(EA98:EA122)</f>
        <v>0</v>
      </c>
      <c r="EB97" s="538" t="str">
        <f>IF(AND($H$64&gt;=11, $H$64&lt;&gt;"Please Select"),"Capstone Field Internship Preceptor Name","")</f>
        <v/>
      </c>
      <c r="EC97" s="538"/>
      <c r="ED97" s="538"/>
      <c r="EE97" s="539" t="str">
        <f>IF(AND($H$64&gt;=11, $H$64&lt;&gt;"Please Select"),"Date Completed 
Preceptor Training","")</f>
        <v/>
      </c>
      <c r="EF97" s="539"/>
      <c r="EG97" s="539" t="str">
        <f>IF(OR(EE98="Pending", EE99="Pending", EE100="Pending", EE101="Pending", EE102="Pending", EE103="Pending", EE104="Pending", EE105="Pending", EE106="Pending", EE107="Pending", EE108="Pending", EE109="Pending", EE110="Pending", EE111="Pending", EE112="Pending", EE113="Pending", EE114="Pending", EE115="Pending", EE116="Pending", EE117="Pending", EE118="Pending", EE119="Pending", EE120="Pending", EE121="Pending", EE122="Pending"), "Date Training Will Be Completed", "")</f>
        <v/>
      </c>
      <c r="EH97" s="539"/>
      <c r="EI97" s="177">
        <f>COUNT(EI98:EI122)</f>
        <v>0</v>
      </c>
      <c r="EN97" s="177">
        <f>COUNT(EN98:EN122)</f>
        <v>0</v>
      </c>
      <c r="EO97" s="538" t="str">
        <f>IF(AND($H$64&gt;=12, $H$64&lt;&gt;"Please Select"),"Capstone Field Internship Preceptor Name","")</f>
        <v/>
      </c>
      <c r="EP97" s="538"/>
      <c r="EQ97" s="538"/>
      <c r="ER97" s="539" t="str">
        <f>IF(AND($H$64&gt;=12, $H$64&lt;&gt;"Please Select"),"Date Completed 
Preceptor Training","")</f>
        <v/>
      </c>
      <c r="ES97" s="539"/>
      <c r="ET97" s="539" t="str">
        <f>IF(OR(ER98="Pending", ER99="Pending", ER100="Pending", ER101="Pending", ER102="Pending", ER103="Pending", ER104="Pending", ER105="Pending", ER106="Pending", ER107="Pending", ER108="Pending", ER109="Pending", ER110="Pending", ER111="Pending", ER112="Pending", ER113="Pending", ER114="Pending", ER115="Pending", ER116="Pending", ER117="Pending", ER118="Pending", ER119="Pending", ER120="Pending", ER121="Pending", ER122="Pending"), "Date Training Will Be Completed", "")</f>
        <v/>
      </c>
      <c r="EU97" s="539"/>
      <c r="EV97" s="177">
        <f>COUNT(EV98:EV122)</f>
        <v>0</v>
      </c>
      <c r="FA97" s="177">
        <f>COUNT(FA98:FA122)</f>
        <v>0</v>
      </c>
      <c r="FB97" s="538" t="str">
        <f>IF(AND($H$64&gt;=13, $H$64&lt;&gt;"Please Select"),"Capstone Field Internship Preceptor Name","")</f>
        <v/>
      </c>
      <c r="FC97" s="538"/>
      <c r="FD97" s="538"/>
      <c r="FE97" s="539" t="str">
        <f>IF(AND($H$64&gt;=13, $H$64&lt;&gt;"Please Select"),"Date Completed 
Preceptor Training","")</f>
        <v/>
      </c>
      <c r="FF97" s="539"/>
      <c r="FG97" s="539" t="str">
        <f>IF(OR(FE98="Pending", FE99="Pending", FE100="Pending", FE101="Pending", FE102="Pending", FE103="Pending", FE104="Pending", FE105="Pending", FE106="Pending", FE107="Pending", FE108="Pending", FE109="Pending", FE110="Pending", FE111="Pending", FE112="Pending", FE113="Pending", FE114="Pending", FE115="Pending", FE116="Pending", FE117="Pending", FE118="Pending", FE119="Pending", FE120="Pending", FE121="Pending", FE122="Pending"), "Date Training Will Be Completed", "")</f>
        <v/>
      </c>
      <c r="FH97" s="539"/>
      <c r="FI97" s="177">
        <f>COUNT(FI98:FI122)</f>
        <v>0</v>
      </c>
      <c r="FN97" s="177">
        <f>COUNT(FN98:FN122)</f>
        <v>0</v>
      </c>
      <c r="FO97" s="538" t="str">
        <f>IF(AND($H$64&gt;=14, $H$64&lt;&gt;"Please Select"),"Capstone Field Internship Preceptor Name","")</f>
        <v/>
      </c>
      <c r="FP97" s="538"/>
      <c r="FQ97" s="538"/>
      <c r="FR97" s="539" t="str">
        <f>IF(AND($H$64&gt;=14, $H$64&lt;&gt;"Please Select"),"Date Completed 
Preceptor Training","")</f>
        <v/>
      </c>
      <c r="FS97" s="539"/>
      <c r="FT97" s="539" t="str">
        <f>IF(OR(FR98="Pending", FR99="Pending", FR100="Pending", FR101="Pending", FR102="Pending", FR103="Pending", FR104="Pending", FR105="Pending", FR106="Pending", FR107="Pending", FR108="Pending", FR109="Pending", FR110="Pending", FR111="Pending", FR112="Pending", FR113="Pending", FR114="Pending", FR115="Pending", FR116="Pending", FR117="Pending", FR118="Pending", FR119="Pending", FR120="Pending", FR121="Pending", FR122="Pending"), "Date Training Will Be Completed", "")</f>
        <v/>
      </c>
      <c r="FU97" s="539"/>
      <c r="FV97" s="177">
        <f>COUNT(FV98:FV122)</f>
        <v>0</v>
      </c>
      <c r="GA97" s="177">
        <f>COUNT(GA98:GA122)</f>
        <v>0</v>
      </c>
      <c r="GB97" s="538" t="str">
        <f>IF(AND($H$64&gt;=15, $H$64&lt;&gt;"Please Select"),"Capstone Field Internship Preceptor Name","")</f>
        <v/>
      </c>
      <c r="GC97" s="538"/>
      <c r="GD97" s="538"/>
      <c r="GE97" s="539" t="str">
        <f>IF(AND($H$64&gt;=15, $H$64&lt;&gt;"Please Select"),"Date Completed 
Preceptor Training","")</f>
        <v/>
      </c>
      <c r="GF97" s="539"/>
      <c r="GG97" s="539" t="str">
        <f>IF(OR(GE98="Pending", GE99="Pending", GE100="Pending", GE101="Pending", GE102="Pending", GE103="Pending", GE104="Pending", GE105="Pending", GE106="Pending", GE107="Pending", GE108="Pending", GE109="Pending", GE110="Pending", GE111="Pending", GE112="Pending", GE113="Pending", GE114="Pending", GE115="Pending", GE116="Pending", GE117="Pending", GE118="Pending", GE119="Pending", GE120="Pending", GE121="Pending", GE122="Pending"), "Date Training Will Be Completed", "")</f>
        <v/>
      </c>
      <c r="GH97" s="539"/>
      <c r="GI97" s="177">
        <f>COUNT(GI98:GI122)</f>
        <v>0</v>
      </c>
      <c r="GN97" s="177">
        <f>COUNT(GN98:GN122)</f>
        <v>0</v>
      </c>
      <c r="GO97" s="538" t="str">
        <f>IF(AND($H$64&gt;=16, $H$64&lt;&gt;"Please Select"),"Capstone Field Internship Preceptor Name","")</f>
        <v/>
      </c>
      <c r="GP97" s="538"/>
      <c r="GQ97" s="538"/>
      <c r="GR97" s="539" t="str">
        <f>IF(AND($H$64&gt;=16, $H$64&lt;&gt;"Please Select"),"Date Completed 
Preceptor Training","")</f>
        <v/>
      </c>
      <c r="GS97" s="539"/>
      <c r="GT97" s="539" t="str">
        <f>IF(OR(GR98="Pending", GR99="Pending", GR100="Pending", GR101="Pending", GR102="Pending", GR103="Pending", GR104="Pending", GR105="Pending", GR106="Pending", GR107="Pending", GR108="Pending", GR109="Pending", GR110="Pending", GR111="Pending", GR112="Pending", GR113="Pending", GR114="Pending", GR115="Pending", GR116="Pending", GR117="Pending", GR118="Pending", GR119="Pending", GR120="Pending", GR121="Pending", GR122="Pending"), "Date Training Will Be Completed", "")</f>
        <v/>
      </c>
      <c r="GU97" s="539"/>
      <c r="GV97" s="177">
        <f>COUNT(GV98:GV122)</f>
        <v>0</v>
      </c>
      <c r="HA97" s="177">
        <f>COUNT(HA98:HA122)</f>
        <v>0</v>
      </c>
      <c r="HB97" s="538" t="str">
        <f>IF(AND($H$64&gt;=17, $H$64&lt;&gt;"Please Select"),"Capstone Field Internship Preceptor Name","")</f>
        <v/>
      </c>
      <c r="HC97" s="538"/>
      <c r="HD97" s="538"/>
      <c r="HE97" s="539" t="str">
        <f>IF(AND($H$64&gt;=17, $H$64&lt;&gt;"Please Select"),"Date Completed 
Preceptor Training","")</f>
        <v/>
      </c>
      <c r="HF97" s="539"/>
      <c r="HG97" s="539" t="str">
        <f>IF(OR(HE98="Pending", HE99="Pending", HE100="Pending", HE101="Pending", HE102="Pending", HE103="Pending", HE104="Pending", HE105="Pending", HE106="Pending", HE107="Pending", HE108="Pending", HE109="Pending", HE110="Pending", HE111="Pending", HE112="Pending", HE113="Pending", HE114="Pending", HE115="Pending", HE116="Pending", HE117="Pending", HE118="Pending", HE119="Pending", HE120="Pending", HE121="Pending", HE122="Pending"), "Date Training Will Be Completed", "")</f>
        <v/>
      </c>
      <c r="HH97" s="539"/>
      <c r="HI97" s="177">
        <f>COUNT(HI98:HI122)</f>
        <v>0</v>
      </c>
      <c r="HN97" s="177">
        <f>COUNT(HN98:HN122)</f>
        <v>0</v>
      </c>
      <c r="HO97" s="538" t="str">
        <f>IF(AND($H$64&gt;=18, $H$64&lt;&gt;"Please Select"),"Capstone Field Internship Preceptor Name","")</f>
        <v/>
      </c>
      <c r="HP97" s="538"/>
      <c r="HQ97" s="538"/>
      <c r="HR97" s="539" t="str">
        <f>IF(AND($H$64&gt;=18, $H$64&lt;&gt;"Please Select"),"Date Completed 
Preceptor Training","")</f>
        <v/>
      </c>
      <c r="HS97" s="539"/>
      <c r="HT97" s="539" t="str">
        <f>IF(OR(HR98="Pending", HR99="Pending", HR100="Pending", HR101="Pending", HR102="Pending", HR103="Pending", HR104="Pending", HR105="Pending", HR106="Pending", HR107="Pending", HR108="Pending", HR109="Pending", HR110="Pending", HR111="Pending", HR112="Pending", HR113="Pending", HR114="Pending", HR115="Pending", HR116="Pending", HR117="Pending", HR118="Pending", HR119="Pending", HR120="Pending", HR121="Pending", HR122="Pending"), "Date Training Will Be Completed", "")</f>
        <v/>
      </c>
      <c r="HU97" s="539"/>
      <c r="HV97" s="177">
        <f>COUNT(HV98:HV122)</f>
        <v>0</v>
      </c>
      <c r="IA97" s="177">
        <f>COUNT(IA98:IA122)</f>
        <v>0</v>
      </c>
      <c r="IB97" s="538" t="str">
        <f>IF(AND($H$64&gt;=19, $H$64&lt;&gt;"Please Select"),"Capstone Field Internship Preceptor Name","")</f>
        <v/>
      </c>
      <c r="IC97" s="538"/>
      <c r="ID97" s="538"/>
      <c r="IE97" s="539" t="str">
        <f>IF(AND($H$64&gt;=19, $H$64&lt;&gt;"Please Select"),"Date Completed 
Preceptor Training","")</f>
        <v/>
      </c>
      <c r="IF97" s="539"/>
      <c r="IG97" s="539" t="str">
        <f>IF(OR(IE98="Pending", IE99="Pending", IE100="Pending", IE101="Pending", IE102="Pending", IE103="Pending", IE104="Pending", IE105="Pending", IE106="Pending", IE107="Pending", IE108="Pending", IE109="Pending", IE110="Pending", IE111="Pending", IE112="Pending", IE113="Pending", IE114="Pending", IE115="Pending", IE116="Pending", IE117="Pending", IE118="Pending", IE119="Pending", IE120="Pending", IE121="Pending", IE122="Pending"), "Date Training Will Be Completed", "")</f>
        <v/>
      </c>
      <c r="IH97" s="539"/>
      <c r="II97" s="177">
        <f>COUNT(II98:II122)</f>
        <v>0</v>
      </c>
      <c r="IN97" s="177">
        <f>COUNT(IN98:IN122)</f>
        <v>0</v>
      </c>
      <c r="IO97" s="538" t="str">
        <f>IF(AND($H$64&gt;=20, $H$64&lt;&gt;"Please Select"),"Capstone Field Internship Preceptor Name","")</f>
        <v/>
      </c>
      <c r="IP97" s="538"/>
      <c r="IQ97" s="538"/>
      <c r="IR97" s="539" t="str">
        <f>IF(AND($H$64&gt;=20, $H$64&lt;&gt;"Please Select"),"Date Completed 
Preceptor Training","")</f>
        <v/>
      </c>
      <c r="IS97" s="539"/>
      <c r="IT97" s="539" t="str">
        <f>IF(OR(IR98="Pending", IR99="Pending", IR100="Pending", IR101="Pending", IR102="Pending", IR103="Pending", IR104="Pending", IR105="Pending", IR106="Pending", IR107="Pending", IR108="Pending", IR109="Pending", IR110="Pending", IR111="Pending", IR112="Pending", IR113="Pending", IR114="Pending", IR115="Pending", IR116="Pending", IR117="Pending", IR118="Pending", IR119="Pending", IR120="Pending", IR121="Pending", IR122="Pending"), "Date Training Will Be Completed", "")</f>
        <v/>
      </c>
      <c r="IU97" s="539"/>
      <c r="IV97" s="177">
        <f>COUNT(IV98:IV122)</f>
        <v>0</v>
      </c>
      <c r="JA97" s="177">
        <f>COUNT(JA98:JA122)</f>
        <v>0</v>
      </c>
      <c r="JB97" s="538" t="str">
        <f>IF(AND($H$64&gt;=21, $H$64&lt;&gt;"Please Select"),"Capstone Field Internship Preceptor Name","")</f>
        <v/>
      </c>
      <c r="JC97" s="538"/>
      <c r="JD97" s="538"/>
      <c r="JE97" s="539" t="str">
        <f>IF(AND($H$64&gt;=21, $H$64&lt;&gt;"Please Select"),"Date Completed 
Preceptor Training","")</f>
        <v/>
      </c>
      <c r="JF97" s="539"/>
      <c r="JG97" s="539" t="str">
        <f>IF(OR(JE98="Pending", JE99="Pending", JE100="Pending", JE101="Pending", JE102="Pending", JE103="Pending", JE104="Pending", JE105="Pending", JE106="Pending", JE107="Pending", JE108="Pending", JE109="Pending", JE110="Pending", JE111="Pending", JE112="Pending", JE113="Pending", JE114="Pending", JE115="Pending", JE116="Pending", JE117="Pending", JE118="Pending", JE119="Pending", JE120="Pending", JE121="Pending", JE122="Pending"), "Date Training Will Be Completed", "")</f>
        <v/>
      </c>
      <c r="JH97" s="539"/>
      <c r="JI97" s="177">
        <f>COUNT(JI98:JI122)</f>
        <v>0</v>
      </c>
      <c r="JN97" s="177">
        <f>COUNT(JN98:JN122)</f>
        <v>0</v>
      </c>
      <c r="JO97" s="538" t="str">
        <f>IF(AND($H$64&gt;=22, $H$64&lt;&gt;"Please Select"),"Capstone Field Internship Preceptor Name","")</f>
        <v/>
      </c>
      <c r="JP97" s="538"/>
      <c r="JQ97" s="538"/>
      <c r="JR97" s="539" t="str">
        <f>IF(AND($H$64&gt;=22, $H$64&lt;&gt;"Please Select"),"Date Completed 
Preceptor Training","")</f>
        <v/>
      </c>
      <c r="JS97" s="539"/>
      <c r="JT97" s="539" t="str">
        <f>IF(OR(JR98="Pending", JR99="Pending", JR100="Pending", JR101="Pending", JR102="Pending", JR103="Pending", JR104="Pending", JR105="Pending", JR106="Pending", JR107="Pending", JR108="Pending", JR109="Pending", JR110="Pending", JR111="Pending", JR112="Pending", JR113="Pending", JR114="Pending", JR115="Pending", JR116="Pending", JR117="Pending", JR118="Pending", JR119="Pending", JR120="Pending", JR121="Pending", JR122="Pending"), "Date Training Will Be Completed", "")</f>
        <v/>
      </c>
      <c r="JU97" s="539"/>
      <c r="JV97" s="177">
        <f>COUNT(JV98:JV122)</f>
        <v>0</v>
      </c>
      <c r="KA97" s="177">
        <f>COUNT(KA98:KA122)</f>
        <v>0</v>
      </c>
      <c r="KB97" s="538" t="str">
        <f>IF(AND($H$64&gt;=23, $H$64&lt;&gt;"Please Select"),"Capstone Field Internship Preceptor Name","")</f>
        <v/>
      </c>
      <c r="KC97" s="538"/>
      <c r="KD97" s="538"/>
      <c r="KE97" s="539" t="str">
        <f>IF(AND($H$64&gt;=23, $H$64&lt;&gt;"Please Select"),"Date Completed 
Preceptor Training","")</f>
        <v/>
      </c>
      <c r="KF97" s="539"/>
      <c r="KG97" s="539" t="str">
        <f>IF(OR(KE98="Pending", KE99="Pending", KE100="Pending", KE101="Pending", KE102="Pending", KE103="Pending", KE104="Pending", KE105="Pending", KE106="Pending", KE107="Pending", KE108="Pending", KE109="Pending", KE110="Pending", KE111="Pending", KE112="Pending", KE113="Pending", KE114="Pending", KE115="Pending", KE116="Pending", KE117="Pending", KE118="Pending", KE119="Pending", KE120="Pending", KE121="Pending", KE122="Pending"), "Date Training Will Be Completed", "")</f>
        <v/>
      </c>
      <c r="KH97" s="539"/>
      <c r="KI97" s="177">
        <f>COUNT(KI98:KI122)</f>
        <v>0</v>
      </c>
      <c r="KN97" s="177">
        <f>COUNT(KN98:KN122)</f>
        <v>0</v>
      </c>
      <c r="KO97" s="538" t="str">
        <f>IF(AND($H$64&gt;=24, $H$64&lt;&gt;"Please Select"),"Capstone Field Internship Preceptor Name","")</f>
        <v/>
      </c>
      <c r="KP97" s="538"/>
      <c r="KQ97" s="538"/>
      <c r="KR97" s="539" t="str">
        <f>IF(AND($H$64&gt;=24, $H$64&lt;&gt;"Please Select"),"Date Completed 
Preceptor Training","")</f>
        <v/>
      </c>
      <c r="KS97" s="539"/>
      <c r="KT97" s="539" t="str">
        <f>IF(OR(KR98="Pending", KR99="Pending", KR100="Pending", KR101="Pending", KR102="Pending", KR103="Pending", KR104="Pending", KR105="Pending", KR106="Pending", KR107="Pending", KR108="Pending", KR109="Pending", KR110="Pending", KR111="Pending", KR112="Pending", KR113="Pending", KR114="Pending", KR115="Pending", KR116="Pending", KR117="Pending", KR118="Pending", KR119="Pending", KR120="Pending", KR121="Pending", KR122="Pending"), "Date Training Will Be Completed", "")</f>
        <v/>
      </c>
      <c r="KU97" s="539"/>
      <c r="KV97" s="177">
        <f>COUNT(KV98:KV122)</f>
        <v>0</v>
      </c>
      <c r="LA97" s="177">
        <f>COUNT(LA98:LA122)</f>
        <v>0</v>
      </c>
      <c r="LB97" s="538" t="str">
        <f>IF(AND($H$64&gt;=25, $H$64&lt;&gt;"Please Select"),"Capstone Field Internship Preceptor Name","")</f>
        <v/>
      </c>
      <c r="LC97" s="538"/>
      <c r="LD97" s="538"/>
      <c r="LE97" s="539" t="str">
        <f>IF(AND($H$64&gt;=25, $H$64&lt;&gt;"Please Select"),"Date Completed 
Preceptor Training","")</f>
        <v/>
      </c>
      <c r="LF97" s="539"/>
      <c r="LG97" s="539" t="str">
        <f>IF(OR(LE98="Pending", LE99="Pending", LE100="Pending", LE101="Pending", LE102="Pending", LE103="Pending", LE104="Pending", LE105="Pending", LE106="Pending", LE107="Pending", LE108="Pending", LE109="Pending", LE110="Pending", LE111="Pending", LE112="Pending", LE113="Pending", LE114="Pending", LE115="Pending", LE116="Pending", LE117="Pending", LE118="Pending", LE119="Pending", LE120="Pending", LE121="Pending", LE122="Pending"), "Date Training Will Be Completed", "")</f>
        <v/>
      </c>
      <c r="LH97" s="539"/>
      <c r="LI97" s="177">
        <f>COUNT(LI98:LI122)</f>
        <v>0</v>
      </c>
      <c r="LN97" s="177">
        <f>COUNT(LN98:LN122)</f>
        <v>0</v>
      </c>
      <c r="LO97" s="538" t="str">
        <f>IF(AND($H$64&gt;=26, $H$64&lt;&gt;"Please Select"),"Capstone Field Internship Preceptor Name","")</f>
        <v/>
      </c>
      <c r="LP97" s="538"/>
      <c r="LQ97" s="538"/>
      <c r="LR97" s="539" t="str">
        <f>IF(AND($H$64&gt;=26, $H$64&lt;&gt;"Please Select"),"Date Completed 
Preceptor Training","")</f>
        <v/>
      </c>
      <c r="LS97" s="539"/>
      <c r="LT97" s="539" t="str">
        <f>IF(OR(LR98="Pending", LR99="Pending", LR100="Pending", LR101="Pending", LR102="Pending", LR103="Pending", LR104="Pending", LR105="Pending", LR106="Pending", LR107="Pending", LR108="Pending", LR109="Pending", LR110="Pending", LR111="Pending", LR112="Pending", LR113="Pending", LR114="Pending", LR115="Pending", LR116="Pending", LR117="Pending", LR118="Pending", LR119="Pending", LR120="Pending", LR121="Pending", LR122="Pending"), "Date Training Will Be Completed", "")</f>
        <v/>
      </c>
      <c r="LU97" s="539"/>
      <c r="LV97" s="177">
        <f>COUNT(LV98:LV122)</f>
        <v>0</v>
      </c>
      <c r="MA97" s="177">
        <f>COUNT(MA98:MA122)</f>
        <v>0</v>
      </c>
      <c r="MB97" s="538" t="str">
        <f>IF(AND($H$64&gt;=27, $H$64&lt;&gt;"Please Select"),"Capstone Field Internship Preceptor Name","")</f>
        <v/>
      </c>
      <c r="MC97" s="538"/>
      <c r="MD97" s="538"/>
      <c r="ME97" s="539" t="str">
        <f>IF(AND($H$64&gt;=27, $H$64&lt;&gt;"Please Select"),"Date Completed 
Preceptor Training","")</f>
        <v/>
      </c>
      <c r="MF97" s="539"/>
      <c r="MG97" s="539" t="str">
        <f>IF(OR(ME98="Pending", ME99="Pending", ME100="Pending", ME101="Pending", ME102="Pending", ME103="Pending", ME104="Pending", ME105="Pending", ME106="Pending", ME107="Pending", ME108="Pending", ME109="Pending", ME110="Pending", ME111="Pending", ME112="Pending", ME113="Pending", ME114="Pending", ME115="Pending", ME116="Pending", ME117="Pending", ME118="Pending", ME119="Pending", ME120="Pending", ME121="Pending", ME122="Pending"), "Date Training Will Be Completed", "")</f>
        <v/>
      </c>
      <c r="MH97" s="539"/>
      <c r="MI97" s="177">
        <f>COUNT(MI98:MI122)</f>
        <v>0</v>
      </c>
      <c r="MN97" s="177">
        <f>COUNT(MN98:MN122)</f>
        <v>0</v>
      </c>
      <c r="MO97" s="538" t="str">
        <f>IF(AND($H$64&gt;=28, $H$64&lt;&gt;"Please Select"),"Capstone Field Internship Preceptor Name","")</f>
        <v/>
      </c>
      <c r="MP97" s="538"/>
      <c r="MQ97" s="538"/>
      <c r="MR97" s="539" t="str">
        <f>IF(AND($H$64&gt;=28, $H$64&lt;&gt;"Please Select"),"Date Completed 
Preceptor Training","")</f>
        <v/>
      </c>
      <c r="MS97" s="539"/>
      <c r="MT97" s="539" t="str">
        <f>IF(OR(MR98="Pending", MR99="Pending", MR100="Pending", MR101="Pending", MR102="Pending", MR103="Pending", MR104="Pending", MR105="Pending", MR106="Pending", MR107="Pending", MR108="Pending", MR109="Pending", MR110="Pending", MR111="Pending", MR112="Pending", MR113="Pending", MR114="Pending", MR115="Pending", MR116="Pending", MR117="Pending", MR118="Pending", MR119="Pending", MR120="Pending", MR121="Pending", MR122="Pending"), "Date Training Will Be Completed", "")</f>
        <v/>
      </c>
      <c r="MU97" s="539"/>
      <c r="MV97" s="177">
        <f>COUNT(MV98:MV122)</f>
        <v>0</v>
      </c>
      <c r="NA97" s="177">
        <f>COUNT(NA98:NA122)</f>
        <v>0</v>
      </c>
      <c r="NB97" s="538" t="str">
        <f>IF(AND($H$64&gt;=29, $H$64&lt;&gt;"Please Select"),"Capstone Field Internship Preceptor Name","")</f>
        <v/>
      </c>
      <c r="NC97" s="538"/>
      <c r="ND97" s="538"/>
      <c r="NE97" s="539" t="str">
        <f>IF(AND($H$64&gt;=29, $H$64&lt;&gt;"Please Select"),"Date Completed 
Preceptor Training","")</f>
        <v/>
      </c>
      <c r="NF97" s="539"/>
      <c r="NG97" s="539" t="str">
        <f>IF(OR(NE98="Pending", NE99="Pending", NE100="Pending", NE101="Pending", NE102="Pending", NE103="Pending", NE104="Pending", NE105="Pending", NE106="Pending", NE107="Pending", NE108="Pending", NE109="Pending", NE110="Pending", NE111="Pending", NE112="Pending", NE113="Pending", NE114="Pending", NE115="Pending", NE116="Pending", NE117="Pending", NE118="Pending", NE119="Pending", NE120="Pending", NE121="Pending", NE122="Pending"), "Date Training Will Be Completed", "")</f>
        <v/>
      </c>
      <c r="NH97" s="539"/>
      <c r="NI97" s="177">
        <f>COUNT(NI98:NI122)</f>
        <v>0</v>
      </c>
      <c r="NN97" s="177">
        <f>COUNT(NN98:NN122)</f>
        <v>0</v>
      </c>
      <c r="NO97" s="538" t="str">
        <f>IF(AND($H$64&gt;=30, $H$64&lt;&gt;"Please Select"),"Capstone Field Internship Preceptor Name","")</f>
        <v/>
      </c>
      <c r="NP97" s="538"/>
      <c r="NQ97" s="538"/>
      <c r="NR97" s="539" t="str">
        <f>IF(AND($H$64&gt;=30, $H$64&lt;&gt;"Please Select"),"Date Completed 
Preceptor Training","")</f>
        <v/>
      </c>
      <c r="NS97" s="539"/>
      <c r="NT97" s="539" t="str">
        <f>IF(OR(NR98="Pending", NR99="Pending", NR100="Pending", NR101="Pending", NR102="Pending", NR103="Pending", NR104="Pending", NR105="Pending", NR106="Pending", NR107="Pending", NR108="Pending", NR109="Pending", NR110="Pending", NR111="Pending", NR112="Pending", NR113="Pending", NR114="Pending", NR115="Pending", NR116="Pending", NR117="Pending", NR118="Pending", NR119="Pending", NR120="Pending", NR121="Pending", NR122="Pending"), "Date Training Will Be Completed", "")</f>
        <v/>
      </c>
      <c r="NU97" s="539"/>
      <c r="NV97" s="177">
        <f>COUNT(NV98:NV122)</f>
        <v>0</v>
      </c>
    </row>
    <row r="98" spans="1:386" s="41" customFormat="1" ht="18" customHeight="1" x14ac:dyDescent="0.2">
      <c r="A98" s="177" t="str">
        <f>IF(B98&lt;&gt;"",1,"")</f>
        <v/>
      </c>
      <c r="B98" s="533"/>
      <c r="C98" s="533"/>
      <c r="D98" s="533"/>
      <c r="E98" s="535"/>
      <c r="F98" s="534"/>
      <c r="G98" s="535"/>
      <c r="H98" s="535"/>
      <c r="I98" s="177" t="str">
        <f>IF(E98="Pending",1,"")</f>
        <v/>
      </c>
      <c r="N98" s="177" t="str">
        <f>IF(O98&lt;&gt;"",26,"")</f>
        <v/>
      </c>
      <c r="O98" s="533"/>
      <c r="P98" s="533"/>
      <c r="Q98" s="533"/>
      <c r="R98" s="534"/>
      <c r="S98" s="534"/>
      <c r="T98" s="535"/>
      <c r="U98" s="534"/>
      <c r="V98" s="177" t="str">
        <f>IF(R98="Pending",1,"")</f>
        <v/>
      </c>
      <c r="AA98" s="177" t="str">
        <f>IF(AB98&lt;&gt;"",51,"")</f>
        <v/>
      </c>
      <c r="AB98" s="533"/>
      <c r="AC98" s="533"/>
      <c r="AD98" s="533"/>
      <c r="AE98" s="534"/>
      <c r="AF98" s="534"/>
      <c r="AG98" s="535"/>
      <c r="AH98" s="534"/>
      <c r="AI98" s="177" t="str">
        <f>IF(AE98="Pending",1,"")</f>
        <v/>
      </c>
      <c r="AN98" s="177" t="str">
        <f>IF(AO98&lt;&gt;"",76,"")</f>
        <v/>
      </c>
      <c r="AO98" s="533"/>
      <c r="AP98" s="533"/>
      <c r="AQ98" s="533"/>
      <c r="AR98" s="534"/>
      <c r="AS98" s="534"/>
      <c r="AT98" s="534"/>
      <c r="AU98" s="534"/>
      <c r="AV98" s="177" t="str">
        <f>IF(AR98="Pending",1,"")</f>
        <v/>
      </c>
      <c r="BA98" s="177" t="str">
        <f>IF(BB98&lt;&gt;"",101,"")</f>
        <v/>
      </c>
      <c r="BB98" s="533"/>
      <c r="BC98" s="533"/>
      <c r="BD98" s="533"/>
      <c r="BE98" s="534"/>
      <c r="BF98" s="534"/>
      <c r="BG98" s="534"/>
      <c r="BH98" s="534"/>
      <c r="BI98" s="177" t="str">
        <f>IF(BE98="Pending",1,"")</f>
        <v/>
      </c>
      <c r="BN98" s="177" t="str">
        <f>IF(BO98&lt;&gt;"",126,"")</f>
        <v/>
      </c>
      <c r="BO98" s="533"/>
      <c r="BP98" s="533"/>
      <c r="BQ98" s="533"/>
      <c r="BR98" s="534"/>
      <c r="BS98" s="534"/>
      <c r="BT98" s="534"/>
      <c r="BU98" s="534"/>
      <c r="BV98" s="177" t="str">
        <f>IF(BR98="Pending",1,"")</f>
        <v/>
      </c>
      <c r="CA98" s="177" t="str">
        <f>IF(CB98&lt;&gt;"",151,"")</f>
        <v/>
      </c>
      <c r="CB98" s="533"/>
      <c r="CC98" s="533"/>
      <c r="CD98" s="533"/>
      <c r="CE98" s="534"/>
      <c r="CF98" s="534"/>
      <c r="CG98" s="534"/>
      <c r="CH98" s="534"/>
      <c r="CI98" s="177" t="str">
        <f>IF(CE98="Pending",1,"")</f>
        <v/>
      </c>
      <c r="CN98" s="177" t="str">
        <f>IF(CO98&lt;&gt;"",176,"")</f>
        <v/>
      </c>
      <c r="CO98" s="533"/>
      <c r="CP98" s="533"/>
      <c r="CQ98" s="533"/>
      <c r="CR98" s="534"/>
      <c r="CS98" s="534"/>
      <c r="CT98" s="534"/>
      <c r="CU98" s="534"/>
      <c r="CV98" s="177" t="str">
        <f>IF(CR98="Pending",1,"")</f>
        <v/>
      </c>
      <c r="DA98" s="177" t="str">
        <f>IF(DB98&lt;&gt;"",201,"")</f>
        <v/>
      </c>
      <c r="DB98" s="533"/>
      <c r="DC98" s="533"/>
      <c r="DD98" s="533"/>
      <c r="DE98" s="534"/>
      <c r="DF98" s="534"/>
      <c r="DG98" s="534"/>
      <c r="DH98" s="534"/>
      <c r="DI98" s="177" t="str">
        <f>IF(DE98="Pending",1,"")</f>
        <v/>
      </c>
      <c r="DN98" s="177" t="str">
        <f>IF(DO98&lt;&gt;"",226,"")</f>
        <v/>
      </c>
      <c r="DO98" s="533"/>
      <c r="DP98" s="533"/>
      <c r="DQ98" s="533"/>
      <c r="DR98" s="534"/>
      <c r="DS98" s="534"/>
      <c r="DT98" s="534"/>
      <c r="DU98" s="534"/>
      <c r="DV98" s="177" t="str">
        <f>IF(DR98="Pending",1,"")</f>
        <v/>
      </c>
      <c r="EA98" s="177" t="str">
        <f>IF(EB98&lt;&gt;"",1,"")</f>
        <v/>
      </c>
      <c r="EB98" s="533"/>
      <c r="EC98" s="533"/>
      <c r="ED98" s="533"/>
      <c r="EE98" s="534"/>
      <c r="EF98" s="534"/>
      <c r="EG98" s="534"/>
      <c r="EH98" s="534"/>
      <c r="EI98" s="177" t="str">
        <f>IF(EE98="Pending",1,"")</f>
        <v/>
      </c>
      <c r="EN98" s="177" t="str">
        <f>IF(EO98&lt;&gt;"",1,"")</f>
        <v/>
      </c>
      <c r="EO98" s="533"/>
      <c r="EP98" s="533"/>
      <c r="EQ98" s="533"/>
      <c r="ER98" s="534"/>
      <c r="ES98" s="534"/>
      <c r="ET98" s="534"/>
      <c r="EU98" s="534"/>
      <c r="EV98" s="177" t="str">
        <f>IF(ER98="Pending",1,"")</f>
        <v/>
      </c>
      <c r="FA98" s="177" t="str">
        <f>IF(FB98&lt;&gt;"",1,"")</f>
        <v/>
      </c>
      <c r="FB98" s="533"/>
      <c r="FC98" s="533"/>
      <c r="FD98" s="533"/>
      <c r="FE98" s="534"/>
      <c r="FF98" s="534"/>
      <c r="FG98" s="534"/>
      <c r="FH98" s="534"/>
      <c r="FI98" s="177" t="str">
        <f>IF(FE98="Pending",1,"")</f>
        <v/>
      </c>
      <c r="FN98" s="177" t="str">
        <f>IF(FO98&lt;&gt;"",1,"")</f>
        <v/>
      </c>
      <c r="FO98" s="533"/>
      <c r="FP98" s="533"/>
      <c r="FQ98" s="533"/>
      <c r="FR98" s="534"/>
      <c r="FS98" s="534"/>
      <c r="FT98" s="534"/>
      <c r="FU98" s="534"/>
      <c r="FV98" s="177" t="str">
        <f>IF(FR98="Pending",1,"")</f>
        <v/>
      </c>
      <c r="GA98" s="177" t="str">
        <f>IF(GB98&lt;&gt;"",1,"")</f>
        <v/>
      </c>
      <c r="GB98" s="533"/>
      <c r="GC98" s="533"/>
      <c r="GD98" s="533"/>
      <c r="GE98" s="534"/>
      <c r="GF98" s="534"/>
      <c r="GG98" s="534"/>
      <c r="GH98" s="534"/>
      <c r="GI98" s="177" t="str">
        <f>IF(GE98="Pending",1,"")</f>
        <v/>
      </c>
      <c r="GN98" s="177" t="str">
        <f>IF(GO98&lt;&gt;"",1,"")</f>
        <v/>
      </c>
      <c r="GO98" s="533"/>
      <c r="GP98" s="533"/>
      <c r="GQ98" s="533"/>
      <c r="GR98" s="534"/>
      <c r="GS98" s="534"/>
      <c r="GT98" s="534"/>
      <c r="GU98" s="534"/>
      <c r="GV98" s="177" t="str">
        <f>IF(GR98="Pending",1,"")</f>
        <v/>
      </c>
      <c r="HA98" s="177" t="str">
        <f>IF(HB98&lt;&gt;"",1,"")</f>
        <v/>
      </c>
      <c r="HB98" s="533"/>
      <c r="HC98" s="533"/>
      <c r="HD98" s="533"/>
      <c r="HE98" s="534"/>
      <c r="HF98" s="534"/>
      <c r="HG98" s="534"/>
      <c r="HH98" s="534"/>
      <c r="HI98" s="177" t="str">
        <f>IF(HE98="Pending",1,"")</f>
        <v/>
      </c>
      <c r="HN98" s="177" t="str">
        <f>IF(HO98&lt;&gt;"",1,"")</f>
        <v/>
      </c>
      <c r="HO98" s="533"/>
      <c r="HP98" s="533"/>
      <c r="HQ98" s="533"/>
      <c r="HR98" s="534"/>
      <c r="HS98" s="534"/>
      <c r="HT98" s="534"/>
      <c r="HU98" s="534"/>
      <c r="HV98" s="177" t="str">
        <f>IF(HR98="Pending",1,"")</f>
        <v/>
      </c>
      <c r="IA98" s="177" t="str">
        <f>IF(IB98&lt;&gt;"",1,"")</f>
        <v/>
      </c>
      <c r="IB98" s="533"/>
      <c r="IC98" s="533"/>
      <c r="ID98" s="533"/>
      <c r="IE98" s="534"/>
      <c r="IF98" s="534"/>
      <c r="IG98" s="534"/>
      <c r="IH98" s="534"/>
      <c r="II98" s="177" t="str">
        <f>IF(IE98="Pending",1,"")</f>
        <v/>
      </c>
      <c r="IN98" s="177" t="str">
        <f>IF(IO98&lt;&gt;"",1,"")</f>
        <v/>
      </c>
      <c r="IO98" s="533"/>
      <c r="IP98" s="533"/>
      <c r="IQ98" s="533"/>
      <c r="IR98" s="534"/>
      <c r="IS98" s="534"/>
      <c r="IT98" s="534"/>
      <c r="IU98" s="534"/>
      <c r="IV98" s="177" t="str">
        <f>IF(IR98="Pending",1,"")</f>
        <v/>
      </c>
      <c r="JA98" s="177" t="str">
        <f>IF(JB98&lt;&gt;"",1,"")</f>
        <v/>
      </c>
      <c r="JB98" s="533"/>
      <c r="JC98" s="533"/>
      <c r="JD98" s="533"/>
      <c r="JE98" s="534"/>
      <c r="JF98" s="534"/>
      <c r="JG98" s="534"/>
      <c r="JH98" s="534"/>
      <c r="JI98" s="177" t="str">
        <f>IF(JE98="Pending",1,"")</f>
        <v/>
      </c>
      <c r="JN98" s="177" t="str">
        <f>IF(JO98&lt;&gt;"",1,"")</f>
        <v/>
      </c>
      <c r="JO98" s="533"/>
      <c r="JP98" s="533"/>
      <c r="JQ98" s="533"/>
      <c r="JR98" s="534"/>
      <c r="JS98" s="534"/>
      <c r="JT98" s="534"/>
      <c r="JU98" s="534"/>
      <c r="JV98" s="177" t="str">
        <f>IF(JR98="Pending",1,"")</f>
        <v/>
      </c>
      <c r="KA98" s="177" t="str">
        <f>IF(KB98&lt;&gt;"",1,"")</f>
        <v/>
      </c>
      <c r="KB98" s="533"/>
      <c r="KC98" s="533"/>
      <c r="KD98" s="533"/>
      <c r="KE98" s="534"/>
      <c r="KF98" s="534"/>
      <c r="KG98" s="534"/>
      <c r="KH98" s="534"/>
      <c r="KI98" s="177" t="str">
        <f>IF(KE98="Pending",1,"")</f>
        <v/>
      </c>
      <c r="KN98" s="177" t="str">
        <f>IF(KO98&lt;&gt;"",1,"")</f>
        <v/>
      </c>
      <c r="KO98" s="533"/>
      <c r="KP98" s="533"/>
      <c r="KQ98" s="533"/>
      <c r="KR98" s="534"/>
      <c r="KS98" s="534"/>
      <c r="KT98" s="534"/>
      <c r="KU98" s="534"/>
      <c r="KV98" s="177" t="str">
        <f>IF(KR98="Pending",1,"")</f>
        <v/>
      </c>
      <c r="LA98" s="177" t="str">
        <f>IF(LB98&lt;&gt;"",1,"")</f>
        <v/>
      </c>
      <c r="LB98" s="533"/>
      <c r="LC98" s="533"/>
      <c r="LD98" s="533"/>
      <c r="LE98" s="534"/>
      <c r="LF98" s="534"/>
      <c r="LG98" s="534"/>
      <c r="LH98" s="534"/>
      <c r="LI98" s="177" t="str">
        <f>IF(LE98="Pending",1,"")</f>
        <v/>
      </c>
      <c r="LN98" s="177" t="str">
        <f>IF(LO98&lt;&gt;"",1,"")</f>
        <v/>
      </c>
      <c r="LO98" s="533"/>
      <c r="LP98" s="533"/>
      <c r="LQ98" s="533"/>
      <c r="LR98" s="534"/>
      <c r="LS98" s="534"/>
      <c r="LT98" s="534"/>
      <c r="LU98" s="534"/>
      <c r="LV98" s="177" t="str">
        <f>IF(LR98="Pending",1,"")</f>
        <v/>
      </c>
      <c r="MA98" s="177" t="str">
        <f>IF(MB98&lt;&gt;"",1,"")</f>
        <v/>
      </c>
      <c r="MB98" s="533"/>
      <c r="MC98" s="533"/>
      <c r="MD98" s="533"/>
      <c r="ME98" s="534"/>
      <c r="MF98" s="534"/>
      <c r="MG98" s="534"/>
      <c r="MH98" s="534"/>
      <c r="MI98" s="177" t="str">
        <f>IF(ME98="Pending",1,"")</f>
        <v/>
      </c>
      <c r="MN98" s="177" t="str">
        <f>IF(MO98&lt;&gt;"",1,"")</f>
        <v/>
      </c>
      <c r="MO98" s="533"/>
      <c r="MP98" s="533"/>
      <c r="MQ98" s="533"/>
      <c r="MR98" s="534"/>
      <c r="MS98" s="534"/>
      <c r="MT98" s="534"/>
      <c r="MU98" s="534"/>
      <c r="MV98" s="177" t="str">
        <f>IF(MR98="Pending",1,"")</f>
        <v/>
      </c>
      <c r="NA98" s="177" t="str">
        <f>IF(NB98&lt;&gt;"",1,"")</f>
        <v/>
      </c>
      <c r="NB98" s="533"/>
      <c r="NC98" s="533"/>
      <c r="ND98" s="533"/>
      <c r="NE98" s="534"/>
      <c r="NF98" s="534"/>
      <c r="NG98" s="534"/>
      <c r="NH98" s="534"/>
      <c r="NI98" s="177" t="str">
        <f>IF(NE98="Pending",1,"")</f>
        <v/>
      </c>
      <c r="NN98" s="177" t="str">
        <f>IF(NO98&lt;&gt;"",1,"")</f>
        <v/>
      </c>
      <c r="NO98" s="533"/>
      <c r="NP98" s="533"/>
      <c r="NQ98" s="533"/>
      <c r="NR98" s="534"/>
      <c r="NS98" s="534"/>
      <c r="NT98" s="554"/>
      <c r="NU98" s="534"/>
      <c r="NV98" s="177" t="str">
        <f>IF(NR98="Pending",1,"")</f>
        <v/>
      </c>
    </row>
    <row r="99" spans="1:386" s="41" customFormat="1" ht="18" customHeight="1" x14ac:dyDescent="0.2">
      <c r="A99" s="177" t="str">
        <f>IF(B99&lt;&gt;"",2,"")</f>
        <v/>
      </c>
      <c r="B99" s="533"/>
      <c r="C99" s="533"/>
      <c r="D99" s="533"/>
      <c r="E99" s="534"/>
      <c r="F99" s="534"/>
      <c r="G99" s="535"/>
      <c r="H99" s="535"/>
      <c r="I99" s="177" t="str">
        <f t="shared" ref="I99:I122" si="0">IF(E99="Pending",1,"")</f>
        <v/>
      </c>
      <c r="N99" s="177" t="str">
        <f>IF(O99&lt;&gt;"",27,"")</f>
        <v/>
      </c>
      <c r="O99" s="533"/>
      <c r="P99" s="533"/>
      <c r="Q99" s="533"/>
      <c r="R99" s="534"/>
      <c r="S99" s="534"/>
      <c r="T99" s="534"/>
      <c r="U99" s="534"/>
      <c r="V99" s="177" t="str">
        <f t="shared" ref="V99:V122" si="1">IF(R99="Pending",1,"")</f>
        <v/>
      </c>
      <c r="AA99" s="177" t="str">
        <f>IF(AB99&lt;&gt;"",52,"")</f>
        <v/>
      </c>
      <c r="AB99" s="533"/>
      <c r="AC99" s="533"/>
      <c r="AD99" s="533"/>
      <c r="AE99" s="534"/>
      <c r="AF99" s="534"/>
      <c r="AG99" s="534"/>
      <c r="AH99" s="534"/>
      <c r="AI99" s="177" t="str">
        <f t="shared" ref="AI99:AI122" si="2">IF(AE99="Pending",1,"")</f>
        <v/>
      </c>
      <c r="AN99" s="177" t="str">
        <f>IF(AO99&lt;&gt;"",77,"")</f>
        <v/>
      </c>
      <c r="AO99" s="533"/>
      <c r="AP99" s="533"/>
      <c r="AQ99" s="533"/>
      <c r="AR99" s="534"/>
      <c r="AS99" s="534"/>
      <c r="AT99" s="534"/>
      <c r="AU99" s="534"/>
      <c r="AV99" s="177" t="str">
        <f t="shared" ref="AV99:AV122" si="3">IF(AR99="Pending",1,"")</f>
        <v/>
      </c>
      <c r="BA99" s="177" t="str">
        <f>IF(BB99&lt;&gt;"",102,"")</f>
        <v/>
      </c>
      <c r="BB99" s="533"/>
      <c r="BC99" s="533"/>
      <c r="BD99" s="533"/>
      <c r="BE99" s="534"/>
      <c r="BF99" s="534"/>
      <c r="BG99" s="534"/>
      <c r="BH99" s="534"/>
      <c r="BI99" s="177" t="str">
        <f t="shared" ref="BI99:BI122" si="4">IF(BE99="Pending",1,"")</f>
        <v/>
      </c>
      <c r="BN99" s="177" t="str">
        <f>IF(BO99&lt;&gt;"",127,"")</f>
        <v/>
      </c>
      <c r="BO99" s="533"/>
      <c r="BP99" s="533"/>
      <c r="BQ99" s="533"/>
      <c r="BR99" s="534"/>
      <c r="BS99" s="534"/>
      <c r="BT99" s="534"/>
      <c r="BU99" s="534"/>
      <c r="BV99" s="177" t="str">
        <f t="shared" ref="BV99:BV122" si="5">IF(BR99="Pending",1,"")</f>
        <v/>
      </c>
      <c r="CA99" s="177" t="str">
        <f>IF(CB99&lt;&gt;"",152,"")</f>
        <v/>
      </c>
      <c r="CB99" s="533"/>
      <c r="CC99" s="533"/>
      <c r="CD99" s="533"/>
      <c r="CE99" s="534"/>
      <c r="CF99" s="534"/>
      <c r="CG99" s="534"/>
      <c r="CH99" s="534"/>
      <c r="CI99" s="177" t="str">
        <f t="shared" ref="CI99:CI122" si="6">IF(CE99="Pending",1,"")</f>
        <v/>
      </c>
      <c r="CN99" s="177" t="str">
        <f>IF(CO99&lt;&gt;"",177,"")</f>
        <v/>
      </c>
      <c r="CO99" s="533"/>
      <c r="CP99" s="533"/>
      <c r="CQ99" s="533"/>
      <c r="CR99" s="534"/>
      <c r="CS99" s="534"/>
      <c r="CT99" s="534"/>
      <c r="CU99" s="534"/>
      <c r="CV99" s="177" t="str">
        <f t="shared" ref="CV99:CV122" si="7">IF(CR99="Pending",1,"")</f>
        <v/>
      </c>
      <c r="DA99" s="177" t="str">
        <f>IF(DB99&lt;&gt;"",202,"")</f>
        <v/>
      </c>
      <c r="DB99" s="533"/>
      <c r="DC99" s="533"/>
      <c r="DD99" s="533"/>
      <c r="DE99" s="534"/>
      <c r="DF99" s="534"/>
      <c r="DG99" s="534"/>
      <c r="DH99" s="534"/>
      <c r="DI99" s="177" t="str">
        <f t="shared" ref="DI99:DI122" si="8">IF(DE99="Pending",1,"")</f>
        <v/>
      </c>
      <c r="DN99" s="177" t="str">
        <f>IF(DO99&lt;&gt;"",227,"")</f>
        <v/>
      </c>
      <c r="DO99" s="533"/>
      <c r="DP99" s="533"/>
      <c r="DQ99" s="533"/>
      <c r="DR99" s="534"/>
      <c r="DS99" s="534"/>
      <c r="DT99" s="534"/>
      <c r="DU99" s="534"/>
      <c r="DV99" s="177" t="str">
        <f t="shared" ref="DV99:DV122" si="9">IF(DR99="Pending",1,"")</f>
        <v/>
      </c>
      <c r="EA99" s="177" t="str">
        <f t="shared" ref="EA99:EA122" si="10">IF(EB99&lt;&gt;"",1,"")</f>
        <v/>
      </c>
      <c r="EB99" s="533"/>
      <c r="EC99" s="533"/>
      <c r="ED99" s="533"/>
      <c r="EE99" s="534"/>
      <c r="EF99" s="534"/>
      <c r="EG99" s="534"/>
      <c r="EH99" s="534"/>
      <c r="EI99" s="177" t="str">
        <f t="shared" ref="EI99:EI122" si="11">IF(EE99="Pending",1,"")</f>
        <v/>
      </c>
      <c r="EN99" s="177" t="str">
        <f t="shared" ref="EN99:EN122" si="12">IF(EO99&lt;&gt;"",1,"")</f>
        <v/>
      </c>
      <c r="EO99" s="533"/>
      <c r="EP99" s="533"/>
      <c r="EQ99" s="533"/>
      <c r="ER99" s="534"/>
      <c r="ES99" s="534"/>
      <c r="ET99" s="534"/>
      <c r="EU99" s="534"/>
      <c r="EV99" s="177" t="str">
        <f t="shared" ref="EV99:EV122" si="13">IF(ER99="Pending",1,"")</f>
        <v/>
      </c>
      <c r="FA99" s="177" t="str">
        <f t="shared" ref="FA99:FA122" si="14">IF(FB99&lt;&gt;"",1,"")</f>
        <v/>
      </c>
      <c r="FB99" s="533"/>
      <c r="FC99" s="533"/>
      <c r="FD99" s="533"/>
      <c r="FE99" s="534"/>
      <c r="FF99" s="534"/>
      <c r="FG99" s="534"/>
      <c r="FH99" s="534"/>
      <c r="FI99" s="177" t="str">
        <f t="shared" ref="FI99:FI122" si="15">IF(FE99="Pending",1,"")</f>
        <v/>
      </c>
      <c r="FN99" s="177" t="str">
        <f t="shared" ref="FN99:FN122" si="16">IF(FO99&lt;&gt;"",1,"")</f>
        <v/>
      </c>
      <c r="FO99" s="533"/>
      <c r="FP99" s="533"/>
      <c r="FQ99" s="533"/>
      <c r="FR99" s="534"/>
      <c r="FS99" s="534"/>
      <c r="FT99" s="534"/>
      <c r="FU99" s="534"/>
      <c r="FV99" s="177" t="str">
        <f t="shared" ref="FV99:FV122" si="17">IF(FR99="Pending",1,"")</f>
        <v/>
      </c>
      <c r="GA99" s="177" t="str">
        <f t="shared" ref="GA99:GA122" si="18">IF(GB99&lt;&gt;"",1,"")</f>
        <v/>
      </c>
      <c r="GB99" s="533"/>
      <c r="GC99" s="533"/>
      <c r="GD99" s="533"/>
      <c r="GE99" s="534"/>
      <c r="GF99" s="534"/>
      <c r="GG99" s="534"/>
      <c r="GH99" s="534"/>
      <c r="GI99" s="177" t="str">
        <f t="shared" ref="GI99:GI122" si="19">IF(GE99="Pending",1,"")</f>
        <v/>
      </c>
      <c r="GN99" s="177" t="str">
        <f t="shared" ref="GN99:GN122" si="20">IF(GO99&lt;&gt;"",1,"")</f>
        <v/>
      </c>
      <c r="GO99" s="533"/>
      <c r="GP99" s="533"/>
      <c r="GQ99" s="533"/>
      <c r="GR99" s="534"/>
      <c r="GS99" s="534"/>
      <c r="GT99" s="534"/>
      <c r="GU99" s="534"/>
      <c r="GV99" s="177" t="str">
        <f t="shared" ref="GV99:GV122" si="21">IF(GR99="Pending",1,"")</f>
        <v/>
      </c>
      <c r="HA99" s="177" t="str">
        <f t="shared" ref="HA99:HA122" si="22">IF(HB99&lt;&gt;"",1,"")</f>
        <v/>
      </c>
      <c r="HB99" s="533"/>
      <c r="HC99" s="533"/>
      <c r="HD99" s="533"/>
      <c r="HE99" s="534"/>
      <c r="HF99" s="534"/>
      <c r="HG99" s="534"/>
      <c r="HH99" s="534"/>
      <c r="HI99" s="177" t="str">
        <f t="shared" ref="HI99:HI122" si="23">IF(HE99="Pending",1,"")</f>
        <v/>
      </c>
      <c r="HN99" s="177" t="str">
        <f t="shared" ref="HN99:HN122" si="24">IF(HO99&lt;&gt;"",1,"")</f>
        <v/>
      </c>
      <c r="HO99" s="533"/>
      <c r="HP99" s="533"/>
      <c r="HQ99" s="533"/>
      <c r="HR99" s="534"/>
      <c r="HS99" s="534"/>
      <c r="HT99" s="534"/>
      <c r="HU99" s="534"/>
      <c r="HV99" s="177" t="str">
        <f t="shared" ref="HV99:HV122" si="25">IF(HR99="Pending",1,"")</f>
        <v/>
      </c>
      <c r="IA99" s="177" t="str">
        <f t="shared" ref="IA99:IA122" si="26">IF(IB99&lt;&gt;"",1,"")</f>
        <v/>
      </c>
      <c r="IB99" s="533"/>
      <c r="IC99" s="533"/>
      <c r="ID99" s="533"/>
      <c r="IE99" s="534"/>
      <c r="IF99" s="534"/>
      <c r="IG99" s="534"/>
      <c r="IH99" s="534"/>
      <c r="II99" s="177" t="str">
        <f t="shared" ref="II99:II122" si="27">IF(IE99="Pending",1,"")</f>
        <v/>
      </c>
      <c r="IN99" s="177" t="str">
        <f t="shared" ref="IN99:IN122" si="28">IF(IO99&lt;&gt;"",1,"")</f>
        <v/>
      </c>
      <c r="IO99" s="533"/>
      <c r="IP99" s="533"/>
      <c r="IQ99" s="533"/>
      <c r="IR99" s="534"/>
      <c r="IS99" s="534"/>
      <c r="IT99" s="534"/>
      <c r="IU99" s="534"/>
      <c r="IV99" s="177" t="str">
        <f t="shared" ref="IV99:IV122" si="29">IF(IR99="Pending",1,"")</f>
        <v/>
      </c>
      <c r="JA99" s="177" t="str">
        <f t="shared" ref="JA99:JA122" si="30">IF(JB99&lt;&gt;"",1,"")</f>
        <v/>
      </c>
      <c r="JB99" s="533"/>
      <c r="JC99" s="533"/>
      <c r="JD99" s="533"/>
      <c r="JE99" s="534"/>
      <c r="JF99" s="534"/>
      <c r="JG99" s="534"/>
      <c r="JH99" s="534"/>
      <c r="JI99" s="177" t="str">
        <f t="shared" ref="JI99:JI122" si="31">IF(JE99="Pending",1,"")</f>
        <v/>
      </c>
      <c r="JN99" s="177" t="str">
        <f t="shared" ref="JN99:JN122" si="32">IF(JO99&lt;&gt;"",1,"")</f>
        <v/>
      </c>
      <c r="JO99" s="533"/>
      <c r="JP99" s="533"/>
      <c r="JQ99" s="533"/>
      <c r="JR99" s="534"/>
      <c r="JS99" s="534"/>
      <c r="JT99" s="534"/>
      <c r="JU99" s="534"/>
      <c r="JV99" s="177" t="str">
        <f t="shared" ref="JV99:JV122" si="33">IF(JR99="Pending",1,"")</f>
        <v/>
      </c>
      <c r="KA99" s="177" t="str">
        <f t="shared" ref="KA99:KA122" si="34">IF(KB99&lt;&gt;"",1,"")</f>
        <v/>
      </c>
      <c r="KB99" s="533"/>
      <c r="KC99" s="533"/>
      <c r="KD99" s="533"/>
      <c r="KE99" s="534"/>
      <c r="KF99" s="534"/>
      <c r="KG99" s="534"/>
      <c r="KH99" s="534"/>
      <c r="KI99" s="177" t="str">
        <f t="shared" ref="KI99:KI122" si="35">IF(KE99="Pending",1,"")</f>
        <v/>
      </c>
      <c r="KN99" s="177" t="str">
        <f t="shared" ref="KN99:KN122" si="36">IF(KO99&lt;&gt;"",1,"")</f>
        <v/>
      </c>
      <c r="KO99" s="533"/>
      <c r="KP99" s="533"/>
      <c r="KQ99" s="533"/>
      <c r="KR99" s="534"/>
      <c r="KS99" s="534"/>
      <c r="KT99" s="534"/>
      <c r="KU99" s="534"/>
      <c r="KV99" s="177" t="str">
        <f t="shared" ref="KV99:KV122" si="37">IF(KR99="Pending",1,"")</f>
        <v/>
      </c>
      <c r="LA99" s="177" t="str">
        <f t="shared" ref="LA99:LA122" si="38">IF(LB99&lt;&gt;"",1,"")</f>
        <v/>
      </c>
      <c r="LB99" s="533"/>
      <c r="LC99" s="533"/>
      <c r="LD99" s="533"/>
      <c r="LE99" s="534"/>
      <c r="LF99" s="534"/>
      <c r="LG99" s="534"/>
      <c r="LH99" s="534"/>
      <c r="LI99" s="177" t="str">
        <f t="shared" ref="LI99:LI122" si="39">IF(LE99="Pending",1,"")</f>
        <v/>
      </c>
      <c r="LN99" s="177" t="str">
        <f t="shared" ref="LN99:LN122" si="40">IF(LO99&lt;&gt;"",1,"")</f>
        <v/>
      </c>
      <c r="LO99" s="533"/>
      <c r="LP99" s="533"/>
      <c r="LQ99" s="533"/>
      <c r="LR99" s="534"/>
      <c r="LS99" s="534"/>
      <c r="LT99" s="534"/>
      <c r="LU99" s="534"/>
      <c r="LV99" s="177" t="str">
        <f t="shared" ref="LV99:LV122" si="41">IF(LR99="Pending",1,"")</f>
        <v/>
      </c>
      <c r="MA99" s="177" t="str">
        <f t="shared" ref="MA99:MA122" si="42">IF(MB99&lt;&gt;"",1,"")</f>
        <v/>
      </c>
      <c r="MB99" s="533"/>
      <c r="MC99" s="533"/>
      <c r="MD99" s="533"/>
      <c r="ME99" s="534"/>
      <c r="MF99" s="534"/>
      <c r="MG99" s="534"/>
      <c r="MH99" s="534"/>
      <c r="MI99" s="177" t="str">
        <f t="shared" ref="MI99:MI122" si="43">IF(ME99="Pending",1,"")</f>
        <v/>
      </c>
      <c r="MN99" s="177" t="str">
        <f t="shared" ref="MN99:MN122" si="44">IF(MO99&lt;&gt;"",1,"")</f>
        <v/>
      </c>
      <c r="MO99" s="533"/>
      <c r="MP99" s="533"/>
      <c r="MQ99" s="533"/>
      <c r="MR99" s="534"/>
      <c r="MS99" s="534"/>
      <c r="MT99" s="534"/>
      <c r="MU99" s="534"/>
      <c r="MV99" s="177" t="str">
        <f t="shared" ref="MV99:MV122" si="45">IF(MR99="Pending",1,"")</f>
        <v/>
      </c>
      <c r="NA99" s="177" t="str">
        <f t="shared" ref="NA99:NA122" si="46">IF(NB99&lt;&gt;"",1,"")</f>
        <v/>
      </c>
      <c r="NB99" s="533"/>
      <c r="NC99" s="533"/>
      <c r="ND99" s="533"/>
      <c r="NE99" s="534"/>
      <c r="NF99" s="534"/>
      <c r="NG99" s="534"/>
      <c r="NH99" s="534"/>
      <c r="NI99" s="177" t="str">
        <f t="shared" ref="NI99:NI122" si="47">IF(NE99="Pending",1,"")</f>
        <v/>
      </c>
      <c r="NN99" s="177" t="str">
        <f t="shared" ref="NN99:NN122" si="48">IF(NO99&lt;&gt;"",1,"")</f>
        <v/>
      </c>
      <c r="NO99" s="533"/>
      <c r="NP99" s="533"/>
      <c r="NQ99" s="533"/>
      <c r="NR99" s="534"/>
      <c r="NS99" s="534"/>
      <c r="NT99" s="535"/>
      <c r="NU99" s="534"/>
      <c r="NV99" s="177" t="str">
        <f t="shared" ref="NV99:NV122" si="49">IF(NR99="Pending",1,"")</f>
        <v/>
      </c>
    </row>
    <row r="100" spans="1:386" s="41" customFormat="1" ht="18" customHeight="1" x14ac:dyDescent="0.2">
      <c r="A100" s="177" t="str">
        <f>IF(B100&lt;&gt;"",3,"")</f>
        <v/>
      </c>
      <c r="B100" s="533"/>
      <c r="C100" s="533"/>
      <c r="D100" s="533"/>
      <c r="E100" s="534"/>
      <c r="F100" s="534"/>
      <c r="G100" s="535"/>
      <c r="H100" s="535"/>
      <c r="I100" s="177" t="str">
        <f t="shared" si="0"/>
        <v/>
      </c>
      <c r="N100" s="177" t="str">
        <f>IF(O100&lt;&gt;"",28,"")</f>
        <v/>
      </c>
      <c r="O100" s="533"/>
      <c r="P100" s="533"/>
      <c r="Q100" s="533"/>
      <c r="R100" s="534"/>
      <c r="S100" s="534"/>
      <c r="T100" s="534"/>
      <c r="U100" s="534"/>
      <c r="V100" s="177" t="str">
        <f t="shared" si="1"/>
        <v/>
      </c>
      <c r="AA100" s="177" t="str">
        <f>IF(AB100&lt;&gt;"",53,"")</f>
        <v/>
      </c>
      <c r="AB100" s="533"/>
      <c r="AC100" s="533"/>
      <c r="AD100" s="533"/>
      <c r="AE100" s="534"/>
      <c r="AF100" s="534"/>
      <c r="AG100" s="534"/>
      <c r="AH100" s="534"/>
      <c r="AI100" s="177" t="str">
        <f t="shared" si="2"/>
        <v/>
      </c>
      <c r="AN100" s="177" t="str">
        <f>IF(AO100&lt;&gt;"",78,"")</f>
        <v/>
      </c>
      <c r="AO100" s="533"/>
      <c r="AP100" s="533"/>
      <c r="AQ100" s="533"/>
      <c r="AR100" s="534"/>
      <c r="AS100" s="534"/>
      <c r="AT100" s="534"/>
      <c r="AU100" s="534"/>
      <c r="AV100" s="177" t="str">
        <f t="shared" si="3"/>
        <v/>
      </c>
      <c r="BA100" s="177" t="str">
        <f>IF(BB100&lt;&gt;"",103,"")</f>
        <v/>
      </c>
      <c r="BB100" s="533"/>
      <c r="BC100" s="533"/>
      <c r="BD100" s="533"/>
      <c r="BE100" s="534"/>
      <c r="BF100" s="534"/>
      <c r="BG100" s="534"/>
      <c r="BH100" s="534"/>
      <c r="BI100" s="177" t="str">
        <f t="shared" si="4"/>
        <v/>
      </c>
      <c r="BN100" s="177" t="str">
        <f>IF(BO100&lt;&gt;"",128,"")</f>
        <v/>
      </c>
      <c r="BO100" s="533"/>
      <c r="BP100" s="533"/>
      <c r="BQ100" s="533"/>
      <c r="BR100" s="534"/>
      <c r="BS100" s="534"/>
      <c r="BT100" s="534"/>
      <c r="BU100" s="534"/>
      <c r="BV100" s="177" t="str">
        <f t="shared" si="5"/>
        <v/>
      </c>
      <c r="CA100" s="177" t="str">
        <f>IF(CB100&lt;&gt;"",153,"")</f>
        <v/>
      </c>
      <c r="CB100" s="533"/>
      <c r="CC100" s="533"/>
      <c r="CD100" s="533"/>
      <c r="CE100" s="534"/>
      <c r="CF100" s="534"/>
      <c r="CG100" s="534"/>
      <c r="CH100" s="534"/>
      <c r="CI100" s="177" t="str">
        <f t="shared" si="6"/>
        <v/>
      </c>
      <c r="CN100" s="177" t="str">
        <f>IF(CO100&lt;&gt;"",178,"")</f>
        <v/>
      </c>
      <c r="CO100" s="533"/>
      <c r="CP100" s="533"/>
      <c r="CQ100" s="533"/>
      <c r="CR100" s="534"/>
      <c r="CS100" s="534"/>
      <c r="CT100" s="534"/>
      <c r="CU100" s="534"/>
      <c r="CV100" s="177" t="str">
        <f t="shared" si="7"/>
        <v/>
      </c>
      <c r="DA100" s="177" t="str">
        <f>IF(DB100&lt;&gt;"",203,"")</f>
        <v/>
      </c>
      <c r="DB100" s="533"/>
      <c r="DC100" s="533"/>
      <c r="DD100" s="533"/>
      <c r="DE100" s="534"/>
      <c r="DF100" s="534"/>
      <c r="DG100" s="534"/>
      <c r="DH100" s="534"/>
      <c r="DI100" s="177" t="str">
        <f t="shared" si="8"/>
        <v/>
      </c>
      <c r="DN100" s="177" t="str">
        <f>IF(DO100&lt;&gt;"",228,"")</f>
        <v/>
      </c>
      <c r="DO100" s="533"/>
      <c r="DP100" s="533"/>
      <c r="DQ100" s="533"/>
      <c r="DR100" s="534"/>
      <c r="DS100" s="534"/>
      <c r="DT100" s="534"/>
      <c r="DU100" s="534"/>
      <c r="DV100" s="177" t="str">
        <f t="shared" si="9"/>
        <v/>
      </c>
      <c r="EA100" s="177" t="str">
        <f t="shared" si="10"/>
        <v/>
      </c>
      <c r="EB100" s="533"/>
      <c r="EC100" s="533"/>
      <c r="ED100" s="533"/>
      <c r="EE100" s="534"/>
      <c r="EF100" s="534"/>
      <c r="EG100" s="534"/>
      <c r="EH100" s="534"/>
      <c r="EI100" s="177" t="str">
        <f t="shared" si="11"/>
        <v/>
      </c>
      <c r="EN100" s="177" t="str">
        <f t="shared" si="12"/>
        <v/>
      </c>
      <c r="EO100" s="533"/>
      <c r="EP100" s="533"/>
      <c r="EQ100" s="533"/>
      <c r="ER100" s="534"/>
      <c r="ES100" s="534"/>
      <c r="ET100" s="534"/>
      <c r="EU100" s="534"/>
      <c r="EV100" s="177" t="str">
        <f t="shared" si="13"/>
        <v/>
      </c>
      <c r="FA100" s="177" t="str">
        <f t="shared" si="14"/>
        <v/>
      </c>
      <c r="FB100" s="533"/>
      <c r="FC100" s="533"/>
      <c r="FD100" s="533"/>
      <c r="FE100" s="534"/>
      <c r="FF100" s="534"/>
      <c r="FG100" s="534"/>
      <c r="FH100" s="534"/>
      <c r="FI100" s="177" t="str">
        <f t="shared" si="15"/>
        <v/>
      </c>
      <c r="FN100" s="177" t="str">
        <f t="shared" si="16"/>
        <v/>
      </c>
      <c r="FO100" s="533"/>
      <c r="FP100" s="533"/>
      <c r="FQ100" s="533"/>
      <c r="FR100" s="534"/>
      <c r="FS100" s="534"/>
      <c r="FT100" s="534"/>
      <c r="FU100" s="534"/>
      <c r="FV100" s="177" t="str">
        <f t="shared" si="17"/>
        <v/>
      </c>
      <c r="GA100" s="177" t="str">
        <f t="shared" si="18"/>
        <v/>
      </c>
      <c r="GB100" s="533"/>
      <c r="GC100" s="533"/>
      <c r="GD100" s="533"/>
      <c r="GE100" s="534"/>
      <c r="GF100" s="534"/>
      <c r="GG100" s="534"/>
      <c r="GH100" s="534"/>
      <c r="GI100" s="177" t="str">
        <f t="shared" si="19"/>
        <v/>
      </c>
      <c r="GN100" s="177" t="str">
        <f t="shared" si="20"/>
        <v/>
      </c>
      <c r="GO100" s="533"/>
      <c r="GP100" s="533"/>
      <c r="GQ100" s="533"/>
      <c r="GR100" s="534"/>
      <c r="GS100" s="534"/>
      <c r="GT100" s="534"/>
      <c r="GU100" s="534"/>
      <c r="GV100" s="177" t="str">
        <f t="shared" si="21"/>
        <v/>
      </c>
      <c r="HA100" s="177" t="str">
        <f t="shared" si="22"/>
        <v/>
      </c>
      <c r="HB100" s="533"/>
      <c r="HC100" s="533"/>
      <c r="HD100" s="533"/>
      <c r="HE100" s="534"/>
      <c r="HF100" s="534"/>
      <c r="HG100" s="534"/>
      <c r="HH100" s="534"/>
      <c r="HI100" s="177" t="str">
        <f t="shared" si="23"/>
        <v/>
      </c>
      <c r="HN100" s="177" t="str">
        <f t="shared" si="24"/>
        <v/>
      </c>
      <c r="HO100" s="533"/>
      <c r="HP100" s="533"/>
      <c r="HQ100" s="533"/>
      <c r="HR100" s="534"/>
      <c r="HS100" s="534"/>
      <c r="HT100" s="534"/>
      <c r="HU100" s="534"/>
      <c r="HV100" s="177" t="str">
        <f t="shared" si="25"/>
        <v/>
      </c>
      <c r="IA100" s="177" t="str">
        <f t="shared" si="26"/>
        <v/>
      </c>
      <c r="IB100" s="533"/>
      <c r="IC100" s="533"/>
      <c r="ID100" s="533"/>
      <c r="IE100" s="534"/>
      <c r="IF100" s="534"/>
      <c r="IG100" s="534"/>
      <c r="IH100" s="534"/>
      <c r="II100" s="177" t="str">
        <f t="shared" si="27"/>
        <v/>
      </c>
      <c r="IN100" s="177" t="str">
        <f t="shared" si="28"/>
        <v/>
      </c>
      <c r="IO100" s="533"/>
      <c r="IP100" s="533"/>
      <c r="IQ100" s="533"/>
      <c r="IR100" s="534"/>
      <c r="IS100" s="534"/>
      <c r="IT100" s="534"/>
      <c r="IU100" s="534"/>
      <c r="IV100" s="177" t="str">
        <f t="shared" si="29"/>
        <v/>
      </c>
      <c r="JA100" s="177" t="str">
        <f t="shared" si="30"/>
        <v/>
      </c>
      <c r="JB100" s="533"/>
      <c r="JC100" s="533"/>
      <c r="JD100" s="533"/>
      <c r="JE100" s="534"/>
      <c r="JF100" s="534"/>
      <c r="JG100" s="534"/>
      <c r="JH100" s="534"/>
      <c r="JI100" s="177" t="str">
        <f t="shared" si="31"/>
        <v/>
      </c>
      <c r="JN100" s="177" t="str">
        <f t="shared" si="32"/>
        <v/>
      </c>
      <c r="JO100" s="533"/>
      <c r="JP100" s="533"/>
      <c r="JQ100" s="533"/>
      <c r="JR100" s="534"/>
      <c r="JS100" s="534"/>
      <c r="JT100" s="534"/>
      <c r="JU100" s="534"/>
      <c r="JV100" s="177" t="str">
        <f t="shared" si="33"/>
        <v/>
      </c>
      <c r="KA100" s="177" t="str">
        <f t="shared" si="34"/>
        <v/>
      </c>
      <c r="KB100" s="533"/>
      <c r="KC100" s="533"/>
      <c r="KD100" s="533"/>
      <c r="KE100" s="534"/>
      <c r="KF100" s="534"/>
      <c r="KG100" s="534"/>
      <c r="KH100" s="534"/>
      <c r="KI100" s="177" t="str">
        <f t="shared" si="35"/>
        <v/>
      </c>
      <c r="KN100" s="177" t="str">
        <f t="shared" si="36"/>
        <v/>
      </c>
      <c r="KO100" s="533"/>
      <c r="KP100" s="533"/>
      <c r="KQ100" s="533"/>
      <c r="KR100" s="534"/>
      <c r="KS100" s="534"/>
      <c r="KT100" s="534"/>
      <c r="KU100" s="534"/>
      <c r="KV100" s="177" t="str">
        <f t="shared" si="37"/>
        <v/>
      </c>
      <c r="LA100" s="177" t="str">
        <f t="shared" si="38"/>
        <v/>
      </c>
      <c r="LB100" s="533"/>
      <c r="LC100" s="533"/>
      <c r="LD100" s="533"/>
      <c r="LE100" s="534"/>
      <c r="LF100" s="534"/>
      <c r="LG100" s="534"/>
      <c r="LH100" s="534"/>
      <c r="LI100" s="177" t="str">
        <f t="shared" si="39"/>
        <v/>
      </c>
      <c r="LN100" s="177" t="str">
        <f t="shared" si="40"/>
        <v/>
      </c>
      <c r="LO100" s="533"/>
      <c r="LP100" s="533"/>
      <c r="LQ100" s="533"/>
      <c r="LR100" s="534"/>
      <c r="LS100" s="534"/>
      <c r="LT100" s="534"/>
      <c r="LU100" s="534"/>
      <c r="LV100" s="177" t="str">
        <f t="shared" si="41"/>
        <v/>
      </c>
      <c r="MA100" s="177" t="str">
        <f t="shared" si="42"/>
        <v/>
      </c>
      <c r="MB100" s="533"/>
      <c r="MC100" s="533"/>
      <c r="MD100" s="533"/>
      <c r="ME100" s="534"/>
      <c r="MF100" s="534"/>
      <c r="MG100" s="534"/>
      <c r="MH100" s="534"/>
      <c r="MI100" s="177" t="str">
        <f t="shared" si="43"/>
        <v/>
      </c>
      <c r="MN100" s="177" t="str">
        <f t="shared" si="44"/>
        <v/>
      </c>
      <c r="MO100" s="533"/>
      <c r="MP100" s="533"/>
      <c r="MQ100" s="533"/>
      <c r="MR100" s="534"/>
      <c r="MS100" s="534"/>
      <c r="MT100" s="534"/>
      <c r="MU100" s="534"/>
      <c r="MV100" s="177" t="str">
        <f t="shared" si="45"/>
        <v/>
      </c>
      <c r="NA100" s="177" t="str">
        <f t="shared" si="46"/>
        <v/>
      </c>
      <c r="NB100" s="533"/>
      <c r="NC100" s="533"/>
      <c r="ND100" s="533"/>
      <c r="NE100" s="534"/>
      <c r="NF100" s="534"/>
      <c r="NG100" s="534"/>
      <c r="NH100" s="534"/>
      <c r="NI100" s="177" t="str">
        <f t="shared" si="47"/>
        <v/>
      </c>
      <c r="NN100" s="177" t="str">
        <f t="shared" si="48"/>
        <v/>
      </c>
      <c r="NO100" s="533"/>
      <c r="NP100" s="533"/>
      <c r="NQ100" s="533"/>
      <c r="NR100" s="534"/>
      <c r="NS100" s="534"/>
      <c r="NT100" s="534"/>
      <c r="NU100" s="534"/>
      <c r="NV100" s="177" t="str">
        <f t="shared" si="49"/>
        <v/>
      </c>
    </row>
    <row r="101" spans="1:386" s="41" customFormat="1" ht="18" customHeight="1" x14ac:dyDescent="0.2">
      <c r="A101" s="177" t="str">
        <f>IF(B101&lt;&gt;"",4,"")</f>
        <v/>
      </c>
      <c r="B101" s="533"/>
      <c r="C101" s="533"/>
      <c r="D101" s="533"/>
      <c r="E101" s="534"/>
      <c r="F101" s="534"/>
      <c r="G101" s="535"/>
      <c r="H101" s="535"/>
      <c r="I101" s="177" t="str">
        <f t="shared" si="0"/>
        <v/>
      </c>
      <c r="N101" s="177" t="str">
        <f>IF(O101&lt;&gt;"",29,"")</f>
        <v/>
      </c>
      <c r="O101" s="533"/>
      <c r="P101" s="533"/>
      <c r="Q101" s="533"/>
      <c r="R101" s="534"/>
      <c r="S101" s="534"/>
      <c r="T101" s="534"/>
      <c r="U101" s="534"/>
      <c r="V101" s="177" t="str">
        <f t="shared" si="1"/>
        <v/>
      </c>
      <c r="AA101" s="177" t="str">
        <f>IF(AB101&lt;&gt;"",54,"")</f>
        <v/>
      </c>
      <c r="AB101" s="533"/>
      <c r="AC101" s="533"/>
      <c r="AD101" s="533"/>
      <c r="AE101" s="534"/>
      <c r="AF101" s="534"/>
      <c r="AG101" s="534"/>
      <c r="AH101" s="534"/>
      <c r="AI101" s="177" t="str">
        <f t="shared" si="2"/>
        <v/>
      </c>
      <c r="AN101" s="177" t="str">
        <f>IF(AO101&lt;&gt;"",79,"")</f>
        <v/>
      </c>
      <c r="AO101" s="533"/>
      <c r="AP101" s="533"/>
      <c r="AQ101" s="533"/>
      <c r="AR101" s="534"/>
      <c r="AS101" s="534"/>
      <c r="AT101" s="534"/>
      <c r="AU101" s="534"/>
      <c r="AV101" s="177" t="str">
        <f t="shared" si="3"/>
        <v/>
      </c>
      <c r="BA101" s="177" t="str">
        <f>IF(BB101&lt;&gt;"",104,"")</f>
        <v/>
      </c>
      <c r="BB101" s="533"/>
      <c r="BC101" s="533"/>
      <c r="BD101" s="533"/>
      <c r="BE101" s="534"/>
      <c r="BF101" s="534"/>
      <c r="BG101" s="534"/>
      <c r="BH101" s="534"/>
      <c r="BI101" s="177" t="str">
        <f t="shared" si="4"/>
        <v/>
      </c>
      <c r="BN101" s="177" t="str">
        <f>IF(BO101&lt;&gt;"",129,"")</f>
        <v/>
      </c>
      <c r="BO101" s="533"/>
      <c r="BP101" s="533"/>
      <c r="BQ101" s="533"/>
      <c r="BR101" s="534"/>
      <c r="BS101" s="534"/>
      <c r="BT101" s="534"/>
      <c r="BU101" s="534"/>
      <c r="BV101" s="177" t="str">
        <f t="shared" si="5"/>
        <v/>
      </c>
      <c r="CA101" s="177" t="str">
        <f>IF(CB101&lt;&gt;"",154,"")</f>
        <v/>
      </c>
      <c r="CB101" s="533"/>
      <c r="CC101" s="533"/>
      <c r="CD101" s="533"/>
      <c r="CE101" s="534"/>
      <c r="CF101" s="534"/>
      <c r="CG101" s="534"/>
      <c r="CH101" s="534"/>
      <c r="CI101" s="177" t="str">
        <f t="shared" si="6"/>
        <v/>
      </c>
      <c r="CN101" s="177" t="str">
        <f>IF(CO101&lt;&gt;"",179,"")</f>
        <v/>
      </c>
      <c r="CO101" s="533"/>
      <c r="CP101" s="533"/>
      <c r="CQ101" s="533"/>
      <c r="CR101" s="534"/>
      <c r="CS101" s="534"/>
      <c r="CT101" s="534"/>
      <c r="CU101" s="534"/>
      <c r="CV101" s="177" t="str">
        <f t="shared" si="7"/>
        <v/>
      </c>
      <c r="DA101" s="177" t="str">
        <f>IF(DB101&lt;&gt;"",204,"")</f>
        <v/>
      </c>
      <c r="DB101" s="533"/>
      <c r="DC101" s="533"/>
      <c r="DD101" s="533"/>
      <c r="DE101" s="534"/>
      <c r="DF101" s="534"/>
      <c r="DG101" s="534"/>
      <c r="DH101" s="534"/>
      <c r="DI101" s="177" t="str">
        <f t="shared" si="8"/>
        <v/>
      </c>
      <c r="DN101" s="177" t="str">
        <f>IF(DO101&lt;&gt;"",229,"")</f>
        <v/>
      </c>
      <c r="DO101" s="533"/>
      <c r="DP101" s="533"/>
      <c r="DQ101" s="533"/>
      <c r="DR101" s="534"/>
      <c r="DS101" s="534"/>
      <c r="DT101" s="534"/>
      <c r="DU101" s="534"/>
      <c r="DV101" s="177" t="str">
        <f t="shared" si="9"/>
        <v/>
      </c>
      <c r="EA101" s="177" t="str">
        <f t="shared" si="10"/>
        <v/>
      </c>
      <c r="EB101" s="533"/>
      <c r="EC101" s="533"/>
      <c r="ED101" s="533"/>
      <c r="EE101" s="534"/>
      <c r="EF101" s="534"/>
      <c r="EG101" s="534"/>
      <c r="EH101" s="534"/>
      <c r="EI101" s="177" t="str">
        <f t="shared" si="11"/>
        <v/>
      </c>
      <c r="EN101" s="177" t="str">
        <f t="shared" si="12"/>
        <v/>
      </c>
      <c r="EO101" s="533"/>
      <c r="EP101" s="533"/>
      <c r="EQ101" s="533"/>
      <c r="ER101" s="534"/>
      <c r="ES101" s="534"/>
      <c r="ET101" s="534"/>
      <c r="EU101" s="534"/>
      <c r="EV101" s="177" t="str">
        <f t="shared" si="13"/>
        <v/>
      </c>
      <c r="FA101" s="177" t="str">
        <f t="shared" si="14"/>
        <v/>
      </c>
      <c r="FB101" s="533"/>
      <c r="FC101" s="533"/>
      <c r="FD101" s="533"/>
      <c r="FE101" s="534"/>
      <c r="FF101" s="534"/>
      <c r="FG101" s="534"/>
      <c r="FH101" s="534"/>
      <c r="FI101" s="177" t="str">
        <f t="shared" si="15"/>
        <v/>
      </c>
      <c r="FN101" s="177" t="str">
        <f t="shared" si="16"/>
        <v/>
      </c>
      <c r="FO101" s="533"/>
      <c r="FP101" s="533"/>
      <c r="FQ101" s="533"/>
      <c r="FR101" s="534"/>
      <c r="FS101" s="534"/>
      <c r="FT101" s="534"/>
      <c r="FU101" s="534"/>
      <c r="FV101" s="177" t="str">
        <f t="shared" si="17"/>
        <v/>
      </c>
      <c r="GA101" s="177" t="str">
        <f t="shared" si="18"/>
        <v/>
      </c>
      <c r="GB101" s="533"/>
      <c r="GC101" s="533"/>
      <c r="GD101" s="533"/>
      <c r="GE101" s="534"/>
      <c r="GF101" s="534"/>
      <c r="GG101" s="534"/>
      <c r="GH101" s="534"/>
      <c r="GI101" s="177" t="str">
        <f t="shared" si="19"/>
        <v/>
      </c>
      <c r="GN101" s="177" t="str">
        <f t="shared" si="20"/>
        <v/>
      </c>
      <c r="GO101" s="533"/>
      <c r="GP101" s="533"/>
      <c r="GQ101" s="533"/>
      <c r="GR101" s="534"/>
      <c r="GS101" s="534"/>
      <c r="GT101" s="534"/>
      <c r="GU101" s="534"/>
      <c r="GV101" s="177" t="str">
        <f t="shared" si="21"/>
        <v/>
      </c>
      <c r="HA101" s="177" t="str">
        <f t="shared" si="22"/>
        <v/>
      </c>
      <c r="HB101" s="533"/>
      <c r="HC101" s="533"/>
      <c r="HD101" s="533"/>
      <c r="HE101" s="534"/>
      <c r="HF101" s="534"/>
      <c r="HG101" s="534"/>
      <c r="HH101" s="534"/>
      <c r="HI101" s="177" t="str">
        <f t="shared" si="23"/>
        <v/>
      </c>
      <c r="HN101" s="177" t="str">
        <f t="shared" si="24"/>
        <v/>
      </c>
      <c r="HO101" s="533"/>
      <c r="HP101" s="533"/>
      <c r="HQ101" s="533"/>
      <c r="HR101" s="534"/>
      <c r="HS101" s="534"/>
      <c r="HT101" s="534"/>
      <c r="HU101" s="534"/>
      <c r="HV101" s="177" t="str">
        <f t="shared" si="25"/>
        <v/>
      </c>
      <c r="IA101" s="177" t="str">
        <f t="shared" si="26"/>
        <v/>
      </c>
      <c r="IB101" s="533"/>
      <c r="IC101" s="533"/>
      <c r="ID101" s="533"/>
      <c r="IE101" s="534"/>
      <c r="IF101" s="534"/>
      <c r="IG101" s="534"/>
      <c r="IH101" s="534"/>
      <c r="II101" s="177" t="str">
        <f t="shared" si="27"/>
        <v/>
      </c>
      <c r="IN101" s="177" t="str">
        <f t="shared" si="28"/>
        <v/>
      </c>
      <c r="IO101" s="533"/>
      <c r="IP101" s="533"/>
      <c r="IQ101" s="533"/>
      <c r="IR101" s="534"/>
      <c r="IS101" s="534"/>
      <c r="IT101" s="534"/>
      <c r="IU101" s="534"/>
      <c r="IV101" s="177" t="str">
        <f t="shared" si="29"/>
        <v/>
      </c>
      <c r="JA101" s="177" t="str">
        <f t="shared" si="30"/>
        <v/>
      </c>
      <c r="JB101" s="533"/>
      <c r="JC101" s="533"/>
      <c r="JD101" s="533"/>
      <c r="JE101" s="534"/>
      <c r="JF101" s="534"/>
      <c r="JG101" s="534"/>
      <c r="JH101" s="534"/>
      <c r="JI101" s="177" t="str">
        <f t="shared" si="31"/>
        <v/>
      </c>
      <c r="JN101" s="177" t="str">
        <f t="shared" si="32"/>
        <v/>
      </c>
      <c r="JO101" s="533"/>
      <c r="JP101" s="533"/>
      <c r="JQ101" s="533"/>
      <c r="JR101" s="534"/>
      <c r="JS101" s="534"/>
      <c r="JT101" s="534"/>
      <c r="JU101" s="534"/>
      <c r="JV101" s="177" t="str">
        <f t="shared" si="33"/>
        <v/>
      </c>
      <c r="KA101" s="177" t="str">
        <f t="shared" si="34"/>
        <v/>
      </c>
      <c r="KB101" s="533"/>
      <c r="KC101" s="533"/>
      <c r="KD101" s="533"/>
      <c r="KE101" s="534"/>
      <c r="KF101" s="534"/>
      <c r="KG101" s="534"/>
      <c r="KH101" s="534"/>
      <c r="KI101" s="177" t="str">
        <f t="shared" si="35"/>
        <v/>
      </c>
      <c r="KN101" s="177" t="str">
        <f t="shared" si="36"/>
        <v/>
      </c>
      <c r="KO101" s="533"/>
      <c r="KP101" s="533"/>
      <c r="KQ101" s="533"/>
      <c r="KR101" s="534"/>
      <c r="KS101" s="534"/>
      <c r="KT101" s="534"/>
      <c r="KU101" s="534"/>
      <c r="KV101" s="177" t="str">
        <f t="shared" si="37"/>
        <v/>
      </c>
      <c r="LA101" s="177" t="str">
        <f t="shared" si="38"/>
        <v/>
      </c>
      <c r="LB101" s="533"/>
      <c r="LC101" s="533"/>
      <c r="LD101" s="533"/>
      <c r="LE101" s="534"/>
      <c r="LF101" s="534"/>
      <c r="LG101" s="534"/>
      <c r="LH101" s="534"/>
      <c r="LI101" s="177" t="str">
        <f t="shared" si="39"/>
        <v/>
      </c>
      <c r="LN101" s="177" t="str">
        <f t="shared" si="40"/>
        <v/>
      </c>
      <c r="LO101" s="533"/>
      <c r="LP101" s="533"/>
      <c r="LQ101" s="533"/>
      <c r="LR101" s="534"/>
      <c r="LS101" s="534"/>
      <c r="LT101" s="534"/>
      <c r="LU101" s="534"/>
      <c r="LV101" s="177" t="str">
        <f t="shared" si="41"/>
        <v/>
      </c>
      <c r="MA101" s="177" t="str">
        <f t="shared" si="42"/>
        <v/>
      </c>
      <c r="MB101" s="533"/>
      <c r="MC101" s="533"/>
      <c r="MD101" s="533"/>
      <c r="ME101" s="534"/>
      <c r="MF101" s="534"/>
      <c r="MG101" s="534"/>
      <c r="MH101" s="534"/>
      <c r="MI101" s="177" t="str">
        <f t="shared" si="43"/>
        <v/>
      </c>
      <c r="MN101" s="177" t="str">
        <f t="shared" si="44"/>
        <v/>
      </c>
      <c r="MO101" s="533"/>
      <c r="MP101" s="533"/>
      <c r="MQ101" s="533"/>
      <c r="MR101" s="534"/>
      <c r="MS101" s="534"/>
      <c r="MT101" s="534"/>
      <c r="MU101" s="534"/>
      <c r="MV101" s="177" t="str">
        <f t="shared" si="45"/>
        <v/>
      </c>
      <c r="NA101" s="177" t="str">
        <f t="shared" si="46"/>
        <v/>
      </c>
      <c r="NB101" s="533"/>
      <c r="NC101" s="533"/>
      <c r="ND101" s="533"/>
      <c r="NE101" s="534"/>
      <c r="NF101" s="534"/>
      <c r="NG101" s="534"/>
      <c r="NH101" s="534"/>
      <c r="NI101" s="177" t="str">
        <f t="shared" si="47"/>
        <v/>
      </c>
      <c r="NN101" s="177" t="str">
        <f t="shared" si="48"/>
        <v/>
      </c>
      <c r="NO101" s="533"/>
      <c r="NP101" s="533"/>
      <c r="NQ101" s="533"/>
      <c r="NR101" s="534"/>
      <c r="NS101" s="534"/>
      <c r="NT101" s="534"/>
      <c r="NU101" s="534"/>
      <c r="NV101" s="177" t="str">
        <f t="shared" si="49"/>
        <v/>
      </c>
    </row>
    <row r="102" spans="1:386" s="41" customFormat="1" ht="18" customHeight="1" x14ac:dyDescent="0.2">
      <c r="A102" s="177" t="str">
        <f>IF(B102&lt;&gt;"",5,"")</f>
        <v/>
      </c>
      <c r="B102" s="533"/>
      <c r="C102" s="533"/>
      <c r="D102" s="533"/>
      <c r="E102" s="534"/>
      <c r="F102" s="534"/>
      <c r="G102" s="535"/>
      <c r="H102" s="535"/>
      <c r="I102" s="177" t="str">
        <f t="shared" si="0"/>
        <v/>
      </c>
      <c r="N102" s="177" t="str">
        <f>IF(O102&lt;&gt;"",30,"")</f>
        <v/>
      </c>
      <c r="O102" s="533"/>
      <c r="P102" s="533"/>
      <c r="Q102" s="533"/>
      <c r="R102" s="534"/>
      <c r="S102" s="534"/>
      <c r="T102" s="534"/>
      <c r="U102" s="534"/>
      <c r="V102" s="177" t="str">
        <f t="shared" si="1"/>
        <v/>
      </c>
      <c r="AA102" s="177" t="str">
        <f>IF(AB102&lt;&gt;"",55,"")</f>
        <v/>
      </c>
      <c r="AB102" s="533"/>
      <c r="AC102" s="533"/>
      <c r="AD102" s="533"/>
      <c r="AE102" s="534"/>
      <c r="AF102" s="534"/>
      <c r="AG102" s="534"/>
      <c r="AH102" s="534"/>
      <c r="AI102" s="177" t="str">
        <f t="shared" si="2"/>
        <v/>
      </c>
      <c r="AN102" s="177" t="str">
        <f>IF(AO102&lt;&gt;"",80,"")</f>
        <v/>
      </c>
      <c r="AO102" s="533"/>
      <c r="AP102" s="533"/>
      <c r="AQ102" s="533"/>
      <c r="AR102" s="534"/>
      <c r="AS102" s="534"/>
      <c r="AT102" s="534"/>
      <c r="AU102" s="534"/>
      <c r="AV102" s="177" t="str">
        <f t="shared" si="3"/>
        <v/>
      </c>
      <c r="BA102" s="177" t="str">
        <f>IF(BB102&lt;&gt;"",105,"")</f>
        <v/>
      </c>
      <c r="BB102" s="533"/>
      <c r="BC102" s="533"/>
      <c r="BD102" s="533"/>
      <c r="BE102" s="534"/>
      <c r="BF102" s="534"/>
      <c r="BG102" s="534"/>
      <c r="BH102" s="534"/>
      <c r="BI102" s="177" t="str">
        <f t="shared" si="4"/>
        <v/>
      </c>
      <c r="BN102" s="177" t="str">
        <f>IF(BO102&lt;&gt;"",130,"")</f>
        <v/>
      </c>
      <c r="BO102" s="533"/>
      <c r="BP102" s="533"/>
      <c r="BQ102" s="533"/>
      <c r="BR102" s="534"/>
      <c r="BS102" s="534"/>
      <c r="BT102" s="534"/>
      <c r="BU102" s="534"/>
      <c r="BV102" s="177" t="str">
        <f t="shared" si="5"/>
        <v/>
      </c>
      <c r="CA102" s="177" t="str">
        <f>IF(CB102&lt;&gt;"",155,"")</f>
        <v/>
      </c>
      <c r="CB102" s="533"/>
      <c r="CC102" s="533"/>
      <c r="CD102" s="533"/>
      <c r="CE102" s="534"/>
      <c r="CF102" s="534"/>
      <c r="CG102" s="534"/>
      <c r="CH102" s="534"/>
      <c r="CI102" s="177" t="str">
        <f t="shared" si="6"/>
        <v/>
      </c>
      <c r="CN102" s="177" t="str">
        <f>IF(CO102&lt;&gt;"",180,"")</f>
        <v/>
      </c>
      <c r="CO102" s="533"/>
      <c r="CP102" s="533"/>
      <c r="CQ102" s="533"/>
      <c r="CR102" s="534"/>
      <c r="CS102" s="534"/>
      <c r="CT102" s="534"/>
      <c r="CU102" s="534"/>
      <c r="CV102" s="177" t="str">
        <f t="shared" si="7"/>
        <v/>
      </c>
      <c r="DA102" s="177" t="str">
        <f>IF(DB102&lt;&gt;"",205,"")</f>
        <v/>
      </c>
      <c r="DB102" s="533"/>
      <c r="DC102" s="533"/>
      <c r="DD102" s="533"/>
      <c r="DE102" s="534"/>
      <c r="DF102" s="534"/>
      <c r="DG102" s="534"/>
      <c r="DH102" s="534"/>
      <c r="DI102" s="177" t="str">
        <f t="shared" si="8"/>
        <v/>
      </c>
      <c r="DN102" s="177" t="str">
        <f>IF(DO102&lt;&gt;"",230,"")</f>
        <v/>
      </c>
      <c r="DO102" s="533"/>
      <c r="DP102" s="533"/>
      <c r="DQ102" s="533"/>
      <c r="DR102" s="534"/>
      <c r="DS102" s="534"/>
      <c r="DT102" s="534"/>
      <c r="DU102" s="534"/>
      <c r="DV102" s="177" t="str">
        <f t="shared" si="9"/>
        <v/>
      </c>
      <c r="EA102" s="177" t="str">
        <f t="shared" si="10"/>
        <v/>
      </c>
      <c r="EB102" s="533"/>
      <c r="EC102" s="533"/>
      <c r="ED102" s="533"/>
      <c r="EE102" s="534"/>
      <c r="EF102" s="534"/>
      <c r="EG102" s="534"/>
      <c r="EH102" s="534"/>
      <c r="EI102" s="177" t="str">
        <f t="shared" si="11"/>
        <v/>
      </c>
      <c r="EN102" s="177" t="str">
        <f t="shared" si="12"/>
        <v/>
      </c>
      <c r="EO102" s="533"/>
      <c r="EP102" s="533"/>
      <c r="EQ102" s="533"/>
      <c r="ER102" s="534"/>
      <c r="ES102" s="534"/>
      <c r="ET102" s="534"/>
      <c r="EU102" s="534"/>
      <c r="EV102" s="177" t="str">
        <f t="shared" si="13"/>
        <v/>
      </c>
      <c r="FA102" s="177" t="str">
        <f t="shared" si="14"/>
        <v/>
      </c>
      <c r="FB102" s="533"/>
      <c r="FC102" s="533"/>
      <c r="FD102" s="533"/>
      <c r="FE102" s="534"/>
      <c r="FF102" s="534"/>
      <c r="FG102" s="534"/>
      <c r="FH102" s="534"/>
      <c r="FI102" s="177" t="str">
        <f t="shared" si="15"/>
        <v/>
      </c>
      <c r="FN102" s="177" t="str">
        <f t="shared" si="16"/>
        <v/>
      </c>
      <c r="FO102" s="533"/>
      <c r="FP102" s="533"/>
      <c r="FQ102" s="533"/>
      <c r="FR102" s="534"/>
      <c r="FS102" s="534"/>
      <c r="FT102" s="534"/>
      <c r="FU102" s="534"/>
      <c r="FV102" s="177" t="str">
        <f t="shared" si="17"/>
        <v/>
      </c>
      <c r="GA102" s="177" t="str">
        <f t="shared" si="18"/>
        <v/>
      </c>
      <c r="GB102" s="533"/>
      <c r="GC102" s="533"/>
      <c r="GD102" s="533"/>
      <c r="GE102" s="534"/>
      <c r="GF102" s="534"/>
      <c r="GG102" s="534"/>
      <c r="GH102" s="534"/>
      <c r="GI102" s="177" t="str">
        <f t="shared" si="19"/>
        <v/>
      </c>
      <c r="GN102" s="177" t="str">
        <f t="shared" si="20"/>
        <v/>
      </c>
      <c r="GO102" s="533"/>
      <c r="GP102" s="533"/>
      <c r="GQ102" s="533"/>
      <c r="GR102" s="534"/>
      <c r="GS102" s="534"/>
      <c r="GT102" s="534"/>
      <c r="GU102" s="534"/>
      <c r="GV102" s="177" t="str">
        <f t="shared" si="21"/>
        <v/>
      </c>
      <c r="HA102" s="177" t="str">
        <f t="shared" si="22"/>
        <v/>
      </c>
      <c r="HB102" s="533"/>
      <c r="HC102" s="533"/>
      <c r="HD102" s="533"/>
      <c r="HE102" s="534"/>
      <c r="HF102" s="534"/>
      <c r="HG102" s="534"/>
      <c r="HH102" s="534"/>
      <c r="HI102" s="177" t="str">
        <f t="shared" si="23"/>
        <v/>
      </c>
      <c r="HN102" s="177" t="str">
        <f t="shared" si="24"/>
        <v/>
      </c>
      <c r="HO102" s="533"/>
      <c r="HP102" s="533"/>
      <c r="HQ102" s="533"/>
      <c r="HR102" s="534"/>
      <c r="HS102" s="534"/>
      <c r="HT102" s="534"/>
      <c r="HU102" s="534"/>
      <c r="HV102" s="177" t="str">
        <f t="shared" si="25"/>
        <v/>
      </c>
      <c r="IA102" s="177" t="str">
        <f t="shared" si="26"/>
        <v/>
      </c>
      <c r="IB102" s="533"/>
      <c r="IC102" s="533"/>
      <c r="ID102" s="533"/>
      <c r="IE102" s="534"/>
      <c r="IF102" s="534"/>
      <c r="IG102" s="534"/>
      <c r="IH102" s="534"/>
      <c r="II102" s="177" t="str">
        <f t="shared" si="27"/>
        <v/>
      </c>
      <c r="IN102" s="177" t="str">
        <f t="shared" si="28"/>
        <v/>
      </c>
      <c r="IO102" s="533"/>
      <c r="IP102" s="533"/>
      <c r="IQ102" s="533"/>
      <c r="IR102" s="534"/>
      <c r="IS102" s="534"/>
      <c r="IT102" s="534"/>
      <c r="IU102" s="534"/>
      <c r="IV102" s="177" t="str">
        <f t="shared" si="29"/>
        <v/>
      </c>
      <c r="JA102" s="177" t="str">
        <f t="shared" si="30"/>
        <v/>
      </c>
      <c r="JB102" s="533"/>
      <c r="JC102" s="533"/>
      <c r="JD102" s="533"/>
      <c r="JE102" s="534"/>
      <c r="JF102" s="534"/>
      <c r="JG102" s="534"/>
      <c r="JH102" s="534"/>
      <c r="JI102" s="177" t="str">
        <f t="shared" si="31"/>
        <v/>
      </c>
      <c r="JN102" s="177" t="str">
        <f t="shared" si="32"/>
        <v/>
      </c>
      <c r="JO102" s="533"/>
      <c r="JP102" s="533"/>
      <c r="JQ102" s="533"/>
      <c r="JR102" s="534"/>
      <c r="JS102" s="534"/>
      <c r="JT102" s="534"/>
      <c r="JU102" s="534"/>
      <c r="JV102" s="177" t="str">
        <f t="shared" si="33"/>
        <v/>
      </c>
      <c r="KA102" s="177" t="str">
        <f t="shared" si="34"/>
        <v/>
      </c>
      <c r="KB102" s="533"/>
      <c r="KC102" s="533"/>
      <c r="KD102" s="533"/>
      <c r="KE102" s="534"/>
      <c r="KF102" s="534"/>
      <c r="KG102" s="534"/>
      <c r="KH102" s="534"/>
      <c r="KI102" s="177" t="str">
        <f t="shared" si="35"/>
        <v/>
      </c>
      <c r="KN102" s="177" t="str">
        <f t="shared" si="36"/>
        <v/>
      </c>
      <c r="KO102" s="533"/>
      <c r="KP102" s="533"/>
      <c r="KQ102" s="533"/>
      <c r="KR102" s="534"/>
      <c r="KS102" s="534"/>
      <c r="KT102" s="534"/>
      <c r="KU102" s="534"/>
      <c r="KV102" s="177" t="str">
        <f t="shared" si="37"/>
        <v/>
      </c>
      <c r="LA102" s="177" t="str">
        <f t="shared" si="38"/>
        <v/>
      </c>
      <c r="LB102" s="533"/>
      <c r="LC102" s="533"/>
      <c r="LD102" s="533"/>
      <c r="LE102" s="534"/>
      <c r="LF102" s="534"/>
      <c r="LG102" s="534"/>
      <c r="LH102" s="534"/>
      <c r="LI102" s="177" t="str">
        <f t="shared" si="39"/>
        <v/>
      </c>
      <c r="LN102" s="177" t="str">
        <f t="shared" si="40"/>
        <v/>
      </c>
      <c r="LO102" s="533"/>
      <c r="LP102" s="533"/>
      <c r="LQ102" s="533"/>
      <c r="LR102" s="534"/>
      <c r="LS102" s="534"/>
      <c r="LT102" s="534"/>
      <c r="LU102" s="534"/>
      <c r="LV102" s="177" t="str">
        <f t="shared" si="41"/>
        <v/>
      </c>
      <c r="MA102" s="177" t="str">
        <f t="shared" si="42"/>
        <v/>
      </c>
      <c r="MB102" s="533"/>
      <c r="MC102" s="533"/>
      <c r="MD102" s="533"/>
      <c r="ME102" s="534"/>
      <c r="MF102" s="534"/>
      <c r="MG102" s="534"/>
      <c r="MH102" s="534"/>
      <c r="MI102" s="177" t="str">
        <f t="shared" si="43"/>
        <v/>
      </c>
      <c r="MN102" s="177" t="str">
        <f t="shared" si="44"/>
        <v/>
      </c>
      <c r="MO102" s="533"/>
      <c r="MP102" s="533"/>
      <c r="MQ102" s="533"/>
      <c r="MR102" s="534"/>
      <c r="MS102" s="534"/>
      <c r="MT102" s="534"/>
      <c r="MU102" s="534"/>
      <c r="MV102" s="177" t="str">
        <f t="shared" si="45"/>
        <v/>
      </c>
      <c r="NA102" s="177" t="str">
        <f t="shared" si="46"/>
        <v/>
      </c>
      <c r="NB102" s="533"/>
      <c r="NC102" s="533"/>
      <c r="ND102" s="533"/>
      <c r="NE102" s="534"/>
      <c r="NF102" s="534"/>
      <c r="NG102" s="534"/>
      <c r="NH102" s="534"/>
      <c r="NI102" s="177" t="str">
        <f t="shared" si="47"/>
        <v/>
      </c>
      <c r="NN102" s="177" t="str">
        <f t="shared" si="48"/>
        <v/>
      </c>
      <c r="NO102" s="533"/>
      <c r="NP102" s="533"/>
      <c r="NQ102" s="533"/>
      <c r="NR102" s="534"/>
      <c r="NS102" s="534"/>
      <c r="NT102" s="534"/>
      <c r="NU102" s="534"/>
      <c r="NV102" s="177" t="str">
        <f t="shared" si="49"/>
        <v/>
      </c>
    </row>
    <row r="103" spans="1:386" s="41" customFormat="1" ht="18" customHeight="1" x14ac:dyDescent="0.2">
      <c r="A103" s="177" t="str">
        <f>IF(B103&lt;&gt;"",6,"")</f>
        <v/>
      </c>
      <c r="B103" s="533"/>
      <c r="C103" s="533"/>
      <c r="D103" s="533"/>
      <c r="E103" s="534"/>
      <c r="F103" s="534"/>
      <c r="G103" s="535"/>
      <c r="H103" s="535"/>
      <c r="I103" s="177" t="str">
        <f t="shared" si="0"/>
        <v/>
      </c>
      <c r="N103" s="177" t="str">
        <f>IF(O103&lt;&gt;"",31,"")</f>
        <v/>
      </c>
      <c r="O103" s="533"/>
      <c r="P103" s="533"/>
      <c r="Q103" s="533"/>
      <c r="R103" s="534"/>
      <c r="S103" s="534"/>
      <c r="T103" s="534"/>
      <c r="U103" s="534"/>
      <c r="V103" s="177" t="str">
        <f t="shared" si="1"/>
        <v/>
      </c>
      <c r="AA103" s="177" t="str">
        <f>IF(AB103&lt;&gt;"",56,"")</f>
        <v/>
      </c>
      <c r="AB103" s="533"/>
      <c r="AC103" s="533"/>
      <c r="AD103" s="533"/>
      <c r="AE103" s="534"/>
      <c r="AF103" s="534"/>
      <c r="AG103" s="534"/>
      <c r="AH103" s="534"/>
      <c r="AI103" s="177" t="str">
        <f t="shared" si="2"/>
        <v/>
      </c>
      <c r="AN103" s="177" t="str">
        <f>IF(AO103&lt;&gt;"",81,"")</f>
        <v/>
      </c>
      <c r="AO103" s="533"/>
      <c r="AP103" s="533"/>
      <c r="AQ103" s="533"/>
      <c r="AR103" s="534"/>
      <c r="AS103" s="534"/>
      <c r="AT103" s="535"/>
      <c r="AU103" s="534"/>
      <c r="AV103" s="177" t="str">
        <f t="shared" si="3"/>
        <v/>
      </c>
      <c r="BA103" s="177" t="str">
        <f>IF(BB103&lt;&gt;"",106,"")</f>
        <v/>
      </c>
      <c r="BB103" s="533"/>
      <c r="BC103" s="533"/>
      <c r="BD103" s="533"/>
      <c r="BE103" s="534"/>
      <c r="BF103" s="534"/>
      <c r="BG103" s="534"/>
      <c r="BH103" s="534"/>
      <c r="BI103" s="177" t="str">
        <f t="shared" si="4"/>
        <v/>
      </c>
      <c r="BN103" s="177" t="str">
        <f>IF(BO103&lt;&gt;"",131,"")</f>
        <v/>
      </c>
      <c r="BO103" s="533"/>
      <c r="BP103" s="533"/>
      <c r="BQ103" s="533"/>
      <c r="BR103" s="534"/>
      <c r="BS103" s="534"/>
      <c r="BT103" s="534"/>
      <c r="BU103" s="534"/>
      <c r="BV103" s="177" t="str">
        <f t="shared" si="5"/>
        <v/>
      </c>
      <c r="CA103" s="177" t="str">
        <f>IF(CB103&lt;&gt;"",156,"")</f>
        <v/>
      </c>
      <c r="CB103" s="533"/>
      <c r="CC103" s="533"/>
      <c r="CD103" s="533"/>
      <c r="CE103" s="534"/>
      <c r="CF103" s="534"/>
      <c r="CG103" s="534"/>
      <c r="CH103" s="534"/>
      <c r="CI103" s="177" t="str">
        <f t="shared" si="6"/>
        <v/>
      </c>
      <c r="CN103" s="177" t="str">
        <f>IF(CO103&lt;&gt;"",181,"")</f>
        <v/>
      </c>
      <c r="CO103" s="533"/>
      <c r="CP103" s="533"/>
      <c r="CQ103" s="533"/>
      <c r="CR103" s="534"/>
      <c r="CS103" s="534"/>
      <c r="CT103" s="534"/>
      <c r="CU103" s="534"/>
      <c r="CV103" s="177" t="str">
        <f t="shared" si="7"/>
        <v/>
      </c>
      <c r="DA103" s="177" t="str">
        <f>IF(DB103&lt;&gt;"",206,"")</f>
        <v/>
      </c>
      <c r="DB103" s="533"/>
      <c r="DC103" s="533"/>
      <c r="DD103" s="533"/>
      <c r="DE103" s="534"/>
      <c r="DF103" s="534"/>
      <c r="DG103" s="534"/>
      <c r="DH103" s="534"/>
      <c r="DI103" s="177" t="str">
        <f t="shared" si="8"/>
        <v/>
      </c>
      <c r="DN103" s="177" t="str">
        <f>IF(DO103&lt;&gt;"",231,"")</f>
        <v/>
      </c>
      <c r="DO103" s="533"/>
      <c r="DP103" s="533"/>
      <c r="DQ103" s="533"/>
      <c r="DR103" s="534"/>
      <c r="DS103" s="534"/>
      <c r="DT103" s="534"/>
      <c r="DU103" s="534"/>
      <c r="DV103" s="177" t="str">
        <f t="shared" si="9"/>
        <v/>
      </c>
      <c r="EA103" s="177" t="str">
        <f t="shared" si="10"/>
        <v/>
      </c>
      <c r="EB103" s="533"/>
      <c r="EC103" s="533"/>
      <c r="ED103" s="533"/>
      <c r="EE103" s="534"/>
      <c r="EF103" s="534"/>
      <c r="EG103" s="534"/>
      <c r="EH103" s="534"/>
      <c r="EI103" s="177" t="str">
        <f t="shared" si="11"/>
        <v/>
      </c>
      <c r="EN103" s="177" t="str">
        <f t="shared" si="12"/>
        <v/>
      </c>
      <c r="EO103" s="533"/>
      <c r="EP103" s="533"/>
      <c r="EQ103" s="533"/>
      <c r="ER103" s="534"/>
      <c r="ES103" s="534"/>
      <c r="ET103" s="534"/>
      <c r="EU103" s="534"/>
      <c r="EV103" s="177" t="str">
        <f t="shared" si="13"/>
        <v/>
      </c>
      <c r="FA103" s="177" t="str">
        <f t="shared" si="14"/>
        <v/>
      </c>
      <c r="FB103" s="533"/>
      <c r="FC103" s="533"/>
      <c r="FD103" s="533"/>
      <c r="FE103" s="534"/>
      <c r="FF103" s="534"/>
      <c r="FG103" s="534"/>
      <c r="FH103" s="534"/>
      <c r="FI103" s="177" t="str">
        <f t="shared" si="15"/>
        <v/>
      </c>
      <c r="FN103" s="177" t="str">
        <f t="shared" si="16"/>
        <v/>
      </c>
      <c r="FO103" s="533"/>
      <c r="FP103" s="533"/>
      <c r="FQ103" s="533"/>
      <c r="FR103" s="534"/>
      <c r="FS103" s="534"/>
      <c r="FT103" s="534"/>
      <c r="FU103" s="534"/>
      <c r="FV103" s="177" t="str">
        <f t="shared" si="17"/>
        <v/>
      </c>
      <c r="GA103" s="177" t="str">
        <f t="shared" si="18"/>
        <v/>
      </c>
      <c r="GB103" s="533"/>
      <c r="GC103" s="533"/>
      <c r="GD103" s="533"/>
      <c r="GE103" s="534"/>
      <c r="GF103" s="534"/>
      <c r="GG103" s="534"/>
      <c r="GH103" s="534"/>
      <c r="GI103" s="177" t="str">
        <f t="shared" si="19"/>
        <v/>
      </c>
      <c r="GN103" s="177" t="str">
        <f t="shared" si="20"/>
        <v/>
      </c>
      <c r="GO103" s="533"/>
      <c r="GP103" s="533"/>
      <c r="GQ103" s="533"/>
      <c r="GR103" s="534"/>
      <c r="GS103" s="534"/>
      <c r="GT103" s="534"/>
      <c r="GU103" s="534"/>
      <c r="GV103" s="177" t="str">
        <f t="shared" si="21"/>
        <v/>
      </c>
      <c r="HA103" s="177" t="str">
        <f t="shared" si="22"/>
        <v/>
      </c>
      <c r="HB103" s="533"/>
      <c r="HC103" s="533"/>
      <c r="HD103" s="533"/>
      <c r="HE103" s="534"/>
      <c r="HF103" s="534"/>
      <c r="HG103" s="534"/>
      <c r="HH103" s="534"/>
      <c r="HI103" s="177" t="str">
        <f t="shared" si="23"/>
        <v/>
      </c>
      <c r="HN103" s="177" t="str">
        <f t="shared" si="24"/>
        <v/>
      </c>
      <c r="HO103" s="533"/>
      <c r="HP103" s="533"/>
      <c r="HQ103" s="533"/>
      <c r="HR103" s="534"/>
      <c r="HS103" s="534"/>
      <c r="HT103" s="534"/>
      <c r="HU103" s="534"/>
      <c r="HV103" s="177" t="str">
        <f t="shared" si="25"/>
        <v/>
      </c>
      <c r="IA103" s="177" t="str">
        <f t="shared" si="26"/>
        <v/>
      </c>
      <c r="IB103" s="533"/>
      <c r="IC103" s="533"/>
      <c r="ID103" s="533"/>
      <c r="IE103" s="534"/>
      <c r="IF103" s="534"/>
      <c r="IG103" s="534"/>
      <c r="IH103" s="534"/>
      <c r="II103" s="177" t="str">
        <f t="shared" si="27"/>
        <v/>
      </c>
      <c r="IN103" s="177" t="str">
        <f t="shared" si="28"/>
        <v/>
      </c>
      <c r="IO103" s="533"/>
      <c r="IP103" s="533"/>
      <c r="IQ103" s="533"/>
      <c r="IR103" s="534"/>
      <c r="IS103" s="534"/>
      <c r="IT103" s="534"/>
      <c r="IU103" s="534"/>
      <c r="IV103" s="177" t="str">
        <f t="shared" si="29"/>
        <v/>
      </c>
      <c r="JA103" s="177" t="str">
        <f t="shared" si="30"/>
        <v/>
      </c>
      <c r="JB103" s="533"/>
      <c r="JC103" s="533"/>
      <c r="JD103" s="533"/>
      <c r="JE103" s="534"/>
      <c r="JF103" s="534"/>
      <c r="JG103" s="534"/>
      <c r="JH103" s="534"/>
      <c r="JI103" s="177" t="str">
        <f t="shared" si="31"/>
        <v/>
      </c>
      <c r="JN103" s="177" t="str">
        <f t="shared" si="32"/>
        <v/>
      </c>
      <c r="JO103" s="533"/>
      <c r="JP103" s="533"/>
      <c r="JQ103" s="533"/>
      <c r="JR103" s="534"/>
      <c r="JS103" s="534"/>
      <c r="JT103" s="534"/>
      <c r="JU103" s="534"/>
      <c r="JV103" s="177" t="str">
        <f t="shared" si="33"/>
        <v/>
      </c>
      <c r="KA103" s="177" t="str">
        <f t="shared" si="34"/>
        <v/>
      </c>
      <c r="KB103" s="533"/>
      <c r="KC103" s="533"/>
      <c r="KD103" s="533"/>
      <c r="KE103" s="534"/>
      <c r="KF103" s="534"/>
      <c r="KG103" s="534"/>
      <c r="KH103" s="534"/>
      <c r="KI103" s="177" t="str">
        <f t="shared" si="35"/>
        <v/>
      </c>
      <c r="KN103" s="177" t="str">
        <f t="shared" si="36"/>
        <v/>
      </c>
      <c r="KO103" s="533"/>
      <c r="KP103" s="533"/>
      <c r="KQ103" s="533"/>
      <c r="KR103" s="534"/>
      <c r="KS103" s="534"/>
      <c r="KT103" s="534"/>
      <c r="KU103" s="534"/>
      <c r="KV103" s="177" t="str">
        <f t="shared" si="37"/>
        <v/>
      </c>
      <c r="LA103" s="177" t="str">
        <f t="shared" si="38"/>
        <v/>
      </c>
      <c r="LB103" s="533"/>
      <c r="LC103" s="533"/>
      <c r="LD103" s="533"/>
      <c r="LE103" s="534"/>
      <c r="LF103" s="534"/>
      <c r="LG103" s="534"/>
      <c r="LH103" s="534"/>
      <c r="LI103" s="177" t="str">
        <f t="shared" si="39"/>
        <v/>
      </c>
      <c r="LN103" s="177" t="str">
        <f t="shared" si="40"/>
        <v/>
      </c>
      <c r="LO103" s="533"/>
      <c r="LP103" s="533"/>
      <c r="LQ103" s="533"/>
      <c r="LR103" s="534"/>
      <c r="LS103" s="534"/>
      <c r="LT103" s="534"/>
      <c r="LU103" s="534"/>
      <c r="LV103" s="177" t="str">
        <f t="shared" si="41"/>
        <v/>
      </c>
      <c r="MA103" s="177" t="str">
        <f t="shared" si="42"/>
        <v/>
      </c>
      <c r="MB103" s="533"/>
      <c r="MC103" s="533"/>
      <c r="MD103" s="533"/>
      <c r="ME103" s="534"/>
      <c r="MF103" s="534"/>
      <c r="MG103" s="534"/>
      <c r="MH103" s="534"/>
      <c r="MI103" s="177" t="str">
        <f t="shared" si="43"/>
        <v/>
      </c>
      <c r="MN103" s="177" t="str">
        <f t="shared" si="44"/>
        <v/>
      </c>
      <c r="MO103" s="533"/>
      <c r="MP103" s="533"/>
      <c r="MQ103" s="533"/>
      <c r="MR103" s="534"/>
      <c r="MS103" s="534"/>
      <c r="MT103" s="534"/>
      <c r="MU103" s="534"/>
      <c r="MV103" s="177" t="str">
        <f t="shared" si="45"/>
        <v/>
      </c>
      <c r="NA103" s="177" t="str">
        <f t="shared" si="46"/>
        <v/>
      </c>
      <c r="NB103" s="533"/>
      <c r="NC103" s="533"/>
      <c r="ND103" s="533"/>
      <c r="NE103" s="534"/>
      <c r="NF103" s="534"/>
      <c r="NG103" s="534"/>
      <c r="NH103" s="534"/>
      <c r="NI103" s="177" t="str">
        <f t="shared" si="47"/>
        <v/>
      </c>
      <c r="NN103" s="177" t="str">
        <f t="shared" si="48"/>
        <v/>
      </c>
      <c r="NO103" s="533"/>
      <c r="NP103" s="533"/>
      <c r="NQ103" s="533"/>
      <c r="NR103" s="534"/>
      <c r="NS103" s="534"/>
      <c r="NT103" s="534"/>
      <c r="NU103" s="534"/>
      <c r="NV103" s="177" t="str">
        <f t="shared" si="49"/>
        <v/>
      </c>
    </row>
    <row r="104" spans="1:386" s="41" customFormat="1" ht="18" customHeight="1" x14ac:dyDescent="0.2">
      <c r="A104" s="177" t="str">
        <f>IF(B104&lt;&gt;"",7,"")</f>
        <v/>
      </c>
      <c r="B104" s="533"/>
      <c r="C104" s="533"/>
      <c r="D104" s="533"/>
      <c r="E104" s="534"/>
      <c r="F104" s="534"/>
      <c r="G104" s="535"/>
      <c r="H104" s="535"/>
      <c r="I104" s="177" t="str">
        <f t="shared" si="0"/>
        <v/>
      </c>
      <c r="N104" s="177" t="str">
        <f>IF(O104&lt;&gt;"",32,"")</f>
        <v/>
      </c>
      <c r="O104" s="533"/>
      <c r="P104" s="533"/>
      <c r="Q104" s="533"/>
      <c r="R104" s="534"/>
      <c r="S104" s="534"/>
      <c r="T104" s="534"/>
      <c r="U104" s="534"/>
      <c r="V104" s="177" t="str">
        <f t="shared" si="1"/>
        <v/>
      </c>
      <c r="AA104" s="177" t="str">
        <f>IF(AB104&lt;&gt;"",57,"")</f>
        <v/>
      </c>
      <c r="AB104" s="533"/>
      <c r="AC104" s="533"/>
      <c r="AD104" s="533"/>
      <c r="AE104" s="534"/>
      <c r="AF104" s="534"/>
      <c r="AG104" s="534"/>
      <c r="AH104" s="534"/>
      <c r="AI104" s="177" t="str">
        <f t="shared" si="2"/>
        <v/>
      </c>
      <c r="AN104" s="177" t="str">
        <f>IF(AO104&lt;&gt;"",82,"")</f>
        <v/>
      </c>
      <c r="AO104" s="533"/>
      <c r="AP104" s="533"/>
      <c r="AQ104" s="533"/>
      <c r="AR104" s="534"/>
      <c r="AS104" s="534"/>
      <c r="AT104" s="534"/>
      <c r="AU104" s="534"/>
      <c r="AV104" s="177" t="str">
        <f t="shared" si="3"/>
        <v/>
      </c>
      <c r="BA104" s="177" t="str">
        <f>IF(BB104&lt;&gt;"",107,"")</f>
        <v/>
      </c>
      <c r="BB104" s="533"/>
      <c r="BC104" s="533"/>
      <c r="BD104" s="533"/>
      <c r="BE104" s="534"/>
      <c r="BF104" s="534"/>
      <c r="BG104" s="534"/>
      <c r="BH104" s="534"/>
      <c r="BI104" s="177" t="str">
        <f t="shared" si="4"/>
        <v/>
      </c>
      <c r="BN104" s="177" t="str">
        <f>IF(BO104&lt;&gt;"",132,"")</f>
        <v/>
      </c>
      <c r="BO104" s="533"/>
      <c r="BP104" s="533"/>
      <c r="BQ104" s="533"/>
      <c r="BR104" s="534"/>
      <c r="BS104" s="534"/>
      <c r="BT104" s="534"/>
      <c r="BU104" s="534"/>
      <c r="BV104" s="177" t="str">
        <f t="shared" si="5"/>
        <v/>
      </c>
      <c r="CA104" s="177" t="str">
        <f>IF(CB104&lt;&gt;"",157,"")</f>
        <v/>
      </c>
      <c r="CB104" s="533"/>
      <c r="CC104" s="533"/>
      <c r="CD104" s="533"/>
      <c r="CE104" s="534"/>
      <c r="CF104" s="534"/>
      <c r="CG104" s="534"/>
      <c r="CH104" s="534"/>
      <c r="CI104" s="177" t="str">
        <f t="shared" si="6"/>
        <v/>
      </c>
      <c r="CN104" s="177" t="str">
        <f>IF(CO104&lt;&gt;"",182,"")</f>
        <v/>
      </c>
      <c r="CO104" s="533"/>
      <c r="CP104" s="533"/>
      <c r="CQ104" s="533"/>
      <c r="CR104" s="534"/>
      <c r="CS104" s="534"/>
      <c r="CT104" s="534"/>
      <c r="CU104" s="534"/>
      <c r="CV104" s="177" t="str">
        <f t="shared" si="7"/>
        <v/>
      </c>
      <c r="DA104" s="177" t="str">
        <f>IF(DB104&lt;&gt;"",207,"")</f>
        <v/>
      </c>
      <c r="DB104" s="533"/>
      <c r="DC104" s="533"/>
      <c r="DD104" s="533"/>
      <c r="DE104" s="534"/>
      <c r="DF104" s="534"/>
      <c r="DG104" s="534"/>
      <c r="DH104" s="534"/>
      <c r="DI104" s="177" t="str">
        <f t="shared" si="8"/>
        <v/>
      </c>
      <c r="DN104" s="177" t="str">
        <f>IF(DO104&lt;&gt;"",232,"")</f>
        <v/>
      </c>
      <c r="DO104" s="533"/>
      <c r="DP104" s="533"/>
      <c r="DQ104" s="533"/>
      <c r="DR104" s="534"/>
      <c r="DS104" s="534"/>
      <c r="DT104" s="534"/>
      <c r="DU104" s="534"/>
      <c r="DV104" s="177" t="str">
        <f t="shared" si="9"/>
        <v/>
      </c>
      <c r="EA104" s="177" t="str">
        <f t="shared" si="10"/>
        <v/>
      </c>
      <c r="EB104" s="533"/>
      <c r="EC104" s="533"/>
      <c r="ED104" s="533"/>
      <c r="EE104" s="534"/>
      <c r="EF104" s="534"/>
      <c r="EG104" s="534"/>
      <c r="EH104" s="534"/>
      <c r="EI104" s="177" t="str">
        <f t="shared" si="11"/>
        <v/>
      </c>
      <c r="EN104" s="177" t="str">
        <f t="shared" si="12"/>
        <v/>
      </c>
      <c r="EO104" s="533"/>
      <c r="EP104" s="533"/>
      <c r="EQ104" s="533"/>
      <c r="ER104" s="534"/>
      <c r="ES104" s="534"/>
      <c r="ET104" s="534"/>
      <c r="EU104" s="534"/>
      <c r="EV104" s="177" t="str">
        <f t="shared" si="13"/>
        <v/>
      </c>
      <c r="FA104" s="177" t="str">
        <f t="shared" si="14"/>
        <v/>
      </c>
      <c r="FB104" s="533"/>
      <c r="FC104" s="533"/>
      <c r="FD104" s="533"/>
      <c r="FE104" s="534"/>
      <c r="FF104" s="534"/>
      <c r="FG104" s="534"/>
      <c r="FH104" s="534"/>
      <c r="FI104" s="177" t="str">
        <f t="shared" si="15"/>
        <v/>
      </c>
      <c r="FN104" s="177" t="str">
        <f t="shared" si="16"/>
        <v/>
      </c>
      <c r="FO104" s="533"/>
      <c r="FP104" s="533"/>
      <c r="FQ104" s="533"/>
      <c r="FR104" s="534"/>
      <c r="FS104" s="534"/>
      <c r="FT104" s="534"/>
      <c r="FU104" s="534"/>
      <c r="FV104" s="177" t="str">
        <f t="shared" si="17"/>
        <v/>
      </c>
      <c r="GA104" s="177" t="str">
        <f t="shared" si="18"/>
        <v/>
      </c>
      <c r="GB104" s="533"/>
      <c r="GC104" s="533"/>
      <c r="GD104" s="533"/>
      <c r="GE104" s="534"/>
      <c r="GF104" s="534"/>
      <c r="GG104" s="534"/>
      <c r="GH104" s="534"/>
      <c r="GI104" s="177" t="str">
        <f t="shared" si="19"/>
        <v/>
      </c>
      <c r="GN104" s="177" t="str">
        <f t="shared" si="20"/>
        <v/>
      </c>
      <c r="GO104" s="533"/>
      <c r="GP104" s="533"/>
      <c r="GQ104" s="533"/>
      <c r="GR104" s="534"/>
      <c r="GS104" s="534"/>
      <c r="GT104" s="534"/>
      <c r="GU104" s="534"/>
      <c r="GV104" s="177" t="str">
        <f t="shared" si="21"/>
        <v/>
      </c>
      <c r="HA104" s="177" t="str">
        <f t="shared" si="22"/>
        <v/>
      </c>
      <c r="HB104" s="533"/>
      <c r="HC104" s="533"/>
      <c r="HD104" s="533"/>
      <c r="HE104" s="534"/>
      <c r="HF104" s="534"/>
      <c r="HG104" s="534"/>
      <c r="HH104" s="534"/>
      <c r="HI104" s="177" t="str">
        <f t="shared" si="23"/>
        <v/>
      </c>
      <c r="HN104" s="177" t="str">
        <f t="shared" si="24"/>
        <v/>
      </c>
      <c r="HO104" s="533"/>
      <c r="HP104" s="533"/>
      <c r="HQ104" s="533"/>
      <c r="HR104" s="534"/>
      <c r="HS104" s="534"/>
      <c r="HT104" s="534"/>
      <c r="HU104" s="534"/>
      <c r="HV104" s="177" t="str">
        <f t="shared" si="25"/>
        <v/>
      </c>
      <c r="IA104" s="177" t="str">
        <f t="shared" si="26"/>
        <v/>
      </c>
      <c r="IB104" s="533"/>
      <c r="IC104" s="533"/>
      <c r="ID104" s="533"/>
      <c r="IE104" s="534"/>
      <c r="IF104" s="534"/>
      <c r="IG104" s="534"/>
      <c r="IH104" s="534"/>
      <c r="II104" s="177" t="str">
        <f t="shared" si="27"/>
        <v/>
      </c>
      <c r="IN104" s="177" t="str">
        <f t="shared" si="28"/>
        <v/>
      </c>
      <c r="IO104" s="533"/>
      <c r="IP104" s="533"/>
      <c r="IQ104" s="533"/>
      <c r="IR104" s="534"/>
      <c r="IS104" s="534"/>
      <c r="IT104" s="534"/>
      <c r="IU104" s="534"/>
      <c r="IV104" s="177" t="str">
        <f t="shared" si="29"/>
        <v/>
      </c>
      <c r="JA104" s="177" t="str">
        <f t="shared" si="30"/>
        <v/>
      </c>
      <c r="JB104" s="533"/>
      <c r="JC104" s="533"/>
      <c r="JD104" s="533"/>
      <c r="JE104" s="534"/>
      <c r="JF104" s="534"/>
      <c r="JG104" s="534"/>
      <c r="JH104" s="534"/>
      <c r="JI104" s="177" t="str">
        <f t="shared" si="31"/>
        <v/>
      </c>
      <c r="JN104" s="177" t="str">
        <f t="shared" si="32"/>
        <v/>
      </c>
      <c r="JO104" s="533"/>
      <c r="JP104" s="533"/>
      <c r="JQ104" s="533"/>
      <c r="JR104" s="534"/>
      <c r="JS104" s="534"/>
      <c r="JT104" s="534"/>
      <c r="JU104" s="534"/>
      <c r="JV104" s="177" t="str">
        <f t="shared" si="33"/>
        <v/>
      </c>
      <c r="KA104" s="177" t="str">
        <f t="shared" si="34"/>
        <v/>
      </c>
      <c r="KB104" s="533"/>
      <c r="KC104" s="533"/>
      <c r="KD104" s="533"/>
      <c r="KE104" s="534"/>
      <c r="KF104" s="534"/>
      <c r="KG104" s="534"/>
      <c r="KH104" s="534"/>
      <c r="KI104" s="177" t="str">
        <f t="shared" si="35"/>
        <v/>
      </c>
      <c r="KN104" s="177" t="str">
        <f t="shared" si="36"/>
        <v/>
      </c>
      <c r="KO104" s="533"/>
      <c r="KP104" s="533"/>
      <c r="KQ104" s="533"/>
      <c r="KR104" s="534"/>
      <c r="KS104" s="534"/>
      <c r="KT104" s="534"/>
      <c r="KU104" s="534"/>
      <c r="KV104" s="177" t="str">
        <f t="shared" si="37"/>
        <v/>
      </c>
      <c r="LA104" s="177" t="str">
        <f t="shared" si="38"/>
        <v/>
      </c>
      <c r="LB104" s="533"/>
      <c r="LC104" s="533"/>
      <c r="LD104" s="533"/>
      <c r="LE104" s="534"/>
      <c r="LF104" s="534"/>
      <c r="LG104" s="534"/>
      <c r="LH104" s="534"/>
      <c r="LI104" s="177" t="str">
        <f t="shared" si="39"/>
        <v/>
      </c>
      <c r="LN104" s="177" t="str">
        <f t="shared" si="40"/>
        <v/>
      </c>
      <c r="LO104" s="533"/>
      <c r="LP104" s="533"/>
      <c r="LQ104" s="533"/>
      <c r="LR104" s="534"/>
      <c r="LS104" s="534"/>
      <c r="LT104" s="534"/>
      <c r="LU104" s="534"/>
      <c r="LV104" s="177" t="str">
        <f t="shared" si="41"/>
        <v/>
      </c>
      <c r="MA104" s="177" t="str">
        <f t="shared" si="42"/>
        <v/>
      </c>
      <c r="MB104" s="533"/>
      <c r="MC104" s="533"/>
      <c r="MD104" s="533"/>
      <c r="ME104" s="534"/>
      <c r="MF104" s="534"/>
      <c r="MG104" s="534"/>
      <c r="MH104" s="534"/>
      <c r="MI104" s="177" t="str">
        <f t="shared" si="43"/>
        <v/>
      </c>
      <c r="MN104" s="177" t="str">
        <f t="shared" si="44"/>
        <v/>
      </c>
      <c r="MO104" s="533"/>
      <c r="MP104" s="533"/>
      <c r="MQ104" s="533"/>
      <c r="MR104" s="534"/>
      <c r="MS104" s="534"/>
      <c r="MT104" s="534"/>
      <c r="MU104" s="534"/>
      <c r="MV104" s="177" t="str">
        <f t="shared" si="45"/>
        <v/>
      </c>
      <c r="NA104" s="177" t="str">
        <f t="shared" si="46"/>
        <v/>
      </c>
      <c r="NB104" s="533"/>
      <c r="NC104" s="533"/>
      <c r="ND104" s="533"/>
      <c r="NE104" s="534"/>
      <c r="NF104" s="534"/>
      <c r="NG104" s="534"/>
      <c r="NH104" s="534"/>
      <c r="NI104" s="177" t="str">
        <f t="shared" si="47"/>
        <v/>
      </c>
      <c r="NN104" s="177" t="str">
        <f t="shared" si="48"/>
        <v/>
      </c>
      <c r="NO104" s="533"/>
      <c r="NP104" s="533"/>
      <c r="NQ104" s="533"/>
      <c r="NR104" s="534"/>
      <c r="NS104" s="534"/>
      <c r="NT104" s="534"/>
      <c r="NU104" s="534"/>
      <c r="NV104" s="177" t="str">
        <f t="shared" si="49"/>
        <v/>
      </c>
    </row>
    <row r="105" spans="1:386" s="41" customFormat="1" ht="18" customHeight="1" x14ac:dyDescent="0.2">
      <c r="A105" s="177" t="str">
        <f>IF(B105&lt;&gt;"",8,"")</f>
        <v/>
      </c>
      <c r="B105" s="533"/>
      <c r="C105" s="533"/>
      <c r="D105" s="533"/>
      <c r="E105" s="534"/>
      <c r="F105" s="534"/>
      <c r="G105" s="535"/>
      <c r="H105" s="535"/>
      <c r="I105" s="177" t="str">
        <f t="shared" si="0"/>
        <v/>
      </c>
      <c r="N105" s="177" t="str">
        <f>IF(O105&lt;&gt;"",33,"")</f>
        <v/>
      </c>
      <c r="O105" s="533"/>
      <c r="P105" s="533"/>
      <c r="Q105" s="533"/>
      <c r="R105" s="534"/>
      <c r="S105" s="534"/>
      <c r="T105" s="534"/>
      <c r="U105" s="534"/>
      <c r="V105" s="177" t="str">
        <f t="shared" si="1"/>
        <v/>
      </c>
      <c r="AA105" s="177" t="str">
        <f>IF(AB105&lt;&gt;"",58,"")</f>
        <v/>
      </c>
      <c r="AB105" s="533"/>
      <c r="AC105" s="533"/>
      <c r="AD105" s="533"/>
      <c r="AE105" s="534"/>
      <c r="AF105" s="534"/>
      <c r="AG105" s="534"/>
      <c r="AH105" s="534"/>
      <c r="AI105" s="177" t="str">
        <f t="shared" si="2"/>
        <v/>
      </c>
      <c r="AN105" s="177" t="str">
        <f>IF(AO105&lt;&gt;"",83,"")</f>
        <v/>
      </c>
      <c r="AO105" s="533"/>
      <c r="AP105" s="533"/>
      <c r="AQ105" s="533"/>
      <c r="AR105" s="534"/>
      <c r="AS105" s="534"/>
      <c r="AT105" s="534"/>
      <c r="AU105" s="534"/>
      <c r="AV105" s="177" t="str">
        <f t="shared" si="3"/>
        <v/>
      </c>
      <c r="BA105" s="177" t="str">
        <f>IF(BB105&lt;&gt;"",108,"")</f>
        <v/>
      </c>
      <c r="BB105" s="533"/>
      <c r="BC105" s="533"/>
      <c r="BD105" s="533"/>
      <c r="BE105" s="534"/>
      <c r="BF105" s="534"/>
      <c r="BG105" s="534"/>
      <c r="BH105" s="534"/>
      <c r="BI105" s="177" t="str">
        <f t="shared" si="4"/>
        <v/>
      </c>
      <c r="BN105" s="177" t="str">
        <f>IF(BO105&lt;&gt;"",133,"")</f>
        <v/>
      </c>
      <c r="BO105" s="533"/>
      <c r="BP105" s="533"/>
      <c r="BQ105" s="533"/>
      <c r="BR105" s="534"/>
      <c r="BS105" s="534"/>
      <c r="BT105" s="534"/>
      <c r="BU105" s="534"/>
      <c r="BV105" s="177" t="str">
        <f t="shared" si="5"/>
        <v/>
      </c>
      <c r="CA105" s="177" t="str">
        <f>IF(CB105&lt;&gt;"",158,"")</f>
        <v/>
      </c>
      <c r="CB105" s="533"/>
      <c r="CC105" s="533"/>
      <c r="CD105" s="533"/>
      <c r="CE105" s="534"/>
      <c r="CF105" s="534"/>
      <c r="CG105" s="534"/>
      <c r="CH105" s="534"/>
      <c r="CI105" s="177" t="str">
        <f t="shared" si="6"/>
        <v/>
      </c>
      <c r="CN105" s="177" t="str">
        <f>IF(CO105&lt;&gt;"",183,"")</f>
        <v/>
      </c>
      <c r="CO105" s="533"/>
      <c r="CP105" s="533"/>
      <c r="CQ105" s="533"/>
      <c r="CR105" s="534"/>
      <c r="CS105" s="534"/>
      <c r="CT105" s="534"/>
      <c r="CU105" s="534"/>
      <c r="CV105" s="177" t="str">
        <f t="shared" si="7"/>
        <v/>
      </c>
      <c r="DA105" s="177" t="str">
        <f>IF(DB105&lt;&gt;"",208,"")</f>
        <v/>
      </c>
      <c r="DB105" s="533"/>
      <c r="DC105" s="533"/>
      <c r="DD105" s="533"/>
      <c r="DE105" s="534"/>
      <c r="DF105" s="534"/>
      <c r="DG105" s="534"/>
      <c r="DH105" s="534"/>
      <c r="DI105" s="177" t="str">
        <f t="shared" si="8"/>
        <v/>
      </c>
      <c r="DN105" s="177" t="str">
        <f>IF(DO105&lt;&gt;"",233,"")</f>
        <v/>
      </c>
      <c r="DO105" s="533"/>
      <c r="DP105" s="533"/>
      <c r="DQ105" s="533"/>
      <c r="DR105" s="534"/>
      <c r="DS105" s="534"/>
      <c r="DT105" s="534"/>
      <c r="DU105" s="534"/>
      <c r="DV105" s="177" t="str">
        <f t="shared" si="9"/>
        <v/>
      </c>
      <c r="EA105" s="177" t="str">
        <f t="shared" si="10"/>
        <v/>
      </c>
      <c r="EB105" s="533"/>
      <c r="EC105" s="533"/>
      <c r="ED105" s="533"/>
      <c r="EE105" s="534"/>
      <c r="EF105" s="534"/>
      <c r="EG105" s="534"/>
      <c r="EH105" s="534"/>
      <c r="EI105" s="177" t="str">
        <f t="shared" si="11"/>
        <v/>
      </c>
      <c r="EN105" s="177" t="str">
        <f t="shared" si="12"/>
        <v/>
      </c>
      <c r="EO105" s="533"/>
      <c r="EP105" s="533"/>
      <c r="EQ105" s="533"/>
      <c r="ER105" s="534"/>
      <c r="ES105" s="534"/>
      <c r="ET105" s="534"/>
      <c r="EU105" s="534"/>
      <c r="EV105" s="177" t="str">
        <f t="shared" si="13"/>
        <v/>
      </c>
      <c r="FA105" s="177" t="str">
        <f t="shared" si="14"/>
        <v/>
      </c>
      <c r="FB105" s="533"/>
      <c r="FC105" s="533"/>
      <c r="FD105" s="533"/>
      <c r="FE105" s="534"/>
      <c r="FF105" s="534"/>
      <c r="FG105" s="534"/>
      <c r="FH105" s="534"/>
      <c r="FI105" s="177" t="str">
        <f t="shared" si="15"/>
        <v/>
      </c>
      <c r="FN105" s="177" t="str">
        <f t="shared" si="16"/>
        <v/>
      </c>
      <c r="FO105" s="533"/>
      <c r="FP105" s="533"/>
      <c r="FQ105" s="533"/>
      <c r="FR105" s="534"/>
      <c r="FS105" s="534"/>
      <c r="FT105" s="534"/>
      <c r="FU105" s="534"/>
      <c r="FV105" s="177" t="str">
        <f t="shared" si="17"/>
        <v/>
      </c>
      <c r="GA105" s="177" t="str">
        <f t="shared" si="18"/>
        <v/>
      </c>
      <c r="GB105" s="533"/>
      <c r="GC105" s="533"/>
      <c r="GD105" s="533"/>
      <c r="GE105" s="534"/>
      <c r="GF105" s="534"/>
      <c r="GG105" s="534"/>
      <c r="GH105" s="534"/>
      <c r="GI105" s="177" t="str">
        <f t="shared" si="19"/>
        <v/>
      </c>
      <c r="GN105" s="177" t="str">
        <f t="shared" si="20"/>
        <v/>
      </c>
      <c r="GO105" s="533"/>
      <c r="GP105" s="533"/>
      <c r="GQ105" s="533"/>
      <c r="GR105" s="534"/>
      <c r="GS105" s="534"/>
      <c r="GT105" s="534"/>
      <c r="GU105" s="534"/>
      <c r="GV105" s="177" t="str">
        <f t="shared" si="21"/>
        <v/>
      </c>
      <c r="HA105" s="177" t="str">
        <f t="shared" si="22"/>
        <v/>
      </c>
      <c r="HB105" s="533"/>
      <c r="HC105" s="533"/>
      <c r="HD105" s="533"/>
      <c r="HE105" s="534"/>
      <c r="HF105" s="534"/>
      <c r="HG105" s="534"/>
      <c r="HH105" s="534"/>
      <c r="HI105" s="177" t="str">
        <f t="shared" si="23"/>
        <v/>
      </c>
      <c r="HN105" s="177" t="str">
        <f t="shared" si="24"/>
        <v/>
      </c>
      <c r="HO105" s="533"/>
      <c r="HP105" s="533"/>
      <c r="HQ105" s="533"/>
      <c r="HR105" s="534"/>
      <c r="HS105" s="534"/>
      <c r="HT105" s="534"/>
      <c r="HU105" s="534"/>
      <c r="HV105" s="177" t="str">
        <f t="shared" si="25"/>
        <v/>
      </c>
      <c r="IA105" s="177" t="str">
        <f t="shared" si="26"/>
        <v/>
      </c>
      <c r="IB105" s="533"/>
      <c r="IC105" s="533"/>
      <c r="ID105" s="533"/>
      <c r="IE105" s="534"/>
      <c r="IF105" s="534"/>
      <c r="IG105" s="534"/>
      <c r="IH105" s="534"/>
      <c r="II105" s="177" t="str">
        <f t="shared" si="27"/>
        <v/>
      </c>
      <c r="IN105" s="177" t="str">
        <f t="shared" si="28"/>
        <v/>
      </c>
      <c r="IO105" s="533"/>
      <c r="IP105" s="533"/>
      <c r="IQ105" s="533"/>
      <c r="IR105" s="534"/>
      <c r="IS105" s="534"/>
      <c r="IT105" s="534"/>
      <c r="IU105" s="534"/>
      <c r="IV105" s="177" t="str">
        <f t="shared" si="29"/>
        <v/>
      </c>
      <c r="JA105" s="177" t="str">
        <f t="shared" si="30"/>
        <v/>
      </c>
      <c r="JB105" s="533"/>
      <c r="JC105" s="533"/>
      <c r="JD105" s="533"/>
      <c r="JE105" s="534"/>
      <c r="JF105" s="534"/>
      <c r="JG105" s="534"/>
      <c r="JH105" s="534"/>
      <c r="JI105" s="177" t="str">
        <f t="shared" si="31"/>
        <v/>
      </c>
      <c r="JN105" s="177" t="str">
        <f t="shared" si="32"/>
        <v/>
      </c>
      <c r="JO105" s="533"/>
      <c r="JP105" s="533"/>
      <c r="JQ105" s="533"/>
      <c r="JR105" s="534"/>
      <c r="JS105" s="534"/>
      <c r="JT105" s="534"/>
      <c r="JU105" s="534"/>
      <c r="JV105" s="177" t="str">
        <f t="shared" si="33"/>
        <v/>
      </c>
      <c r="KA105" s="177" t="str">
        <f t="shared" si="34"/>
        <v/>
      </c>
      <c r="KB105" s="533"/>
      <c r="KC105" s="533"/>
      <c r="KD105" s="533"/>
      <c r="KE105" s="534"/>
      <c r="KF105" s="534"/>
      <c r="KG105" s="534"/>
      <c r="KH105" s="534"/>
      <c r="KI105" s="177" t="str">
        <f t="shared" si="35"/>
        <v/>
      </c>
      <c r="KN105" s="177" t="str">
        <f t="shared" si="36"/>
        <v/>
      </c>
      <c r="KO105" s="533"/>
      <c r="KP105" s="533"/>
      <c r="KQ105" s="533"/>
      <c r="KR105" s="534"/>
      <c r="KS105" s="534"/>
      <c r="KT105" s="534"/>
      <c r="KU105" s="534"/>
      <c r="KV105" s="177" t="str">
        <f t="shared" si="37"/>
        <v/>
      </c>
      <c r="LA105" s="177" t="str">
        <f t="shared" si="38"/>
        <v/>
      </c>
      <c r="LB105" s="533"/>
      <c r="LC105" s="533"/>
      <c r="LD105" s="533"/>
      <c r="LE105" s="534"/>
      <c r="LF105" s="534"/>
      <c r="LG105" s="534"/>
      <c r="LH105" s="534"/>
      <c r="LI105" s="177" t="str">
        <f t="shared" si="39"/>
        <v/>
      </c>
      <c r="LN105" s="177" t="str">
        <f t="shared" si="40"/>
        <v/>
      </c>
      <c r="LO105" s="533"/>
      <c r="LP105" s="533"/>
      <c r="LQ105" s="533"/>
      <c r="LR105" s="534"/>
      <c r="LS105" s="534"/>
      <c r="LT105" s="534"/>
      <c r="LU105" s="534"/>
      <c r="LV105" s="177" t="str">
        <f t="shared" si="41"/>
        <v/>
      </c>
      <c r="MA105" s="177" t="str">
        <f t="shared" si="42"/>
        <v/>
      </c>
      <c r="MB105" s="533"/>
      <c r="MC105" s="533"/>
      <c r="MD105" s="533"/>
      <c r="ME105" s="534"/>
      <c r="MF105" s="534"/>
      <c r="MG105" s="534"/>
      <c r="MH105" s="534"/>
      <c r="MI105" s="177" t="str">
        <f t="shared" si="43"/>
        <v/>
      </c>
      <c r="MN105" s="177" t="str">
        <f t="shared" si="44"/>
        <v/>
      </c>
      <c r="MO105" s="533"/>
      <c r="MP105" s="533"/>
      <c r="MQ105" s="533"/>
      <c r="MR105" s="534"/>
      <c r="MS105" s="534"/>
      <c r="MT105" s="534"/>
      <c r="MU105" s="534"/>
      <c r="MV105" s="177" t="str">
        <f t="shared" si="45"/>
        <v/>
      </c>
      <c r="NA105" s="177" t="str">
        <f t="shared" si="46"/>
        <v/>
      </c>
      <c r="NB105" s="533"/>
      <c r="NC105" s="533"/>
      <c r="ND105" s="533"/>
      <c r="NE105" s="534"/>
      <c r="NF105" s="534"/>
      <c r="NG105" s="534"/>
      <c r="NH105" s="534"/>
      <c r="NI105" s="177" t="str">
        <f t="shared" si="47"/>
        <v/>
      </c>
      <c r="NN105" s="177" t="str">
        <f t="shared" si="48"/>
        <v/>
      </c>
      <c r="NO105" s="533"/>
      <c r="NP105" s="533"/>
      <c r="NQ105" s="533"/>
      <c r="NR105" s="534"/>
      <c r="NS105" s="534"/>
      <c r="NT105" s="534"/>
      <c r="NU105" s="534"/>
      <c r="NV105" s="177" t="str">
        <f t="shared" si="49"/>
        <v/>
      </c>
    </row>
    <row r="106" spans="1:386" s="41" customFormat="1" ht="18" customHeight="1" x14ac:dyDescent="0.2">
      <c r="A106" s="177" t="str">
        <f>IF(B106&lt;&gt;"",9,"")</f>
        <v/>
      </c>
      <c r="B106" s="533"/>
      <c r="C106" s="533"/>
      <c r="D106" s="533"/>
      <c r="E106" s="534"/>
      <c r="F106" s="534"/>
      <c r="G106" s="535"/>
      <c r="H106" s="535"/>
      <c r="I106" s="177" t="str">
        <f t="shared" si="0"/>
        <v/>
      </c>
      <c r="N106" s="177" t="str">
        <f>IF(O106&lt;&gt;"",34,"")</f>
        <v/>
      </c>
      <c r="O106" s="533"/>
      <c r="P106" s="533"/>
      <c r="Q106" s="533"/>
      <c r="R106" s="534"/>
      <c r="S106" s="534"/>
      <c r="T106" s="534"/>
      <c r="U106" s="534"/>
      <c r="V106" s="177" t="str">
        <f t="shared" si="1"/>
        <v/>
      </c>
      <c r="AA106" s="177" t="str">
        <f>IF(AB106&lt;&gt;"",59,"")</f>
        <v/>
      </c>
      <c r="AB106" s="533"/>
      <c r="AC106" s="533"/>
      <c r="AD106" s="533"/>
      <c r="AE106" s="534"/>
      <c r="AF106" s="534"/>
      <c r="AG106" s="534"/>
      <c r="AH106" s="534"/>
      <c r="AI106" s="177" t="str">
        <f t="shared" si="2"/>
        <v/>
      </c>
      <c r="AN106" s="177" t="str">
        <f>IF(AO106&lt;&gt;"",84,"")</f>
        <v/>
      </c>
      <c r="AO106" s="533"/>
      <c r="AP106" s="533"/>
      <c r="AQ106" s="533"/>
      <c r="AR106" s="534"/>
      <c r="AS106" s="534"/>
      <c r="AT106" s="534"/>
      <c r="AU106" s="534"/>
      <c r="AV106" s="177" t="str">
        <f t="shared" si="3"/>
        <v/>
      </c>
      <c r="BA106" s="177" t="str">
        <f>IF(BB106&lt;&gt;"",109,"")</f>
        <v/>
      </c>
      <c r="BB106" s="533"/>
      <c r="BC106" s="533"/>
      <c r="BD106" s="533"/>
      <c r="BE106" s="534"/>
      <c r="BF106" s="534"/>
      <c r="BG106" s="534"/>
      <c r="BH106" s="534"/>
      <c r="BI106" s="177" t="str">
        <f t="shared" si="4"/>
        <v/>
      </c>
      <c r="BN106" s="177" t="str">
        <f>IF(BO106&lt;&gt;"",134,"")</f>
        <v/>
      </c>
      <c r="BO106" s="533"/>
      <c r="BP106" s="533"/>
      <c r="BQ106" s="533"/>
      <c r="BR106" s="534"/>
      <c r="BS106" s="534"/>
      <c r="BT106" s="534"/>
      <c r="BU106" s="534"/>
      <c r="BV106" s="177" t="str">
        <f t="shared" si="5"/>
        <v/>
      </c>
      <c r="CA106" s="177" t="str">
        <f>IF(CB106&lt;&gt;"",159,"")</f>
        <v/>
      </c>
      <c r="CB106" s="533"/>
      <c r="CC106" s="533"/>
      <c r="CD106" s="533"/>
      <c r="CE106" s="534"/>
      <c r="CF106" s="534"/>
      <c r="CG106" s="534"/>
      <c r="CH106" s="534"/>
      <c r="CI106" s="177" t="str">
        <f t="shared" si="6"/>
        <v/>
      </c>
      <c r="CN106" s="177" t="str">
        <f>IF(CO106&lt;&gt;"",184,"")</f>
        <v/>
      </c>
      <c r="CO106" s="533"/>
      <c r="CP106" s="533"/>
      <c r="CQ106" s="533"/>
      <c r="CR106" s="534"/>
      <c r="CS106" s="534"/>
      <c r="CT106" s="534"/>
      <c r="CU106" s="534"/>
      <c r="CV106" s="177" t="str">
        <f t="shared" si="7"/>
        <v/>
      </c>
      <c r="DA106" s="177" t="str">
        <f>IF(DB106&lt;&gt;"",209,"")</f>
        <v/>
      </c>
      <c r="DB106" s="533"/>
      <c r="DC106" s="533"/>
      <c r="DD106" s="533"/>
      <c r="DE106" s="534"/>
      <c r="DF106" s="534"/>
      <c r="DG106" s="534"/>
      <c r="DH106" s="534"/>
      <c r="DI106" s="177" t="str">
        <f t="shared" si="8"/>
        <v/>
      </c>
      <c r="DN106" s="177" t="str">
        <f>IF(DO106&lt;&gt;"",234,"")</f>
        <v/>
      </c>
      <c r="DO106" s="533"/>
      <c r="DP106" s="533"/>
      <c r="DQ106" s="533"/>
      <c r="DR106" s="534"/>
      <c r="DS106" s="534"/>
      <c r="DT106" s="534"/>
      <c r="DU106" s="534"/>
      <c r="DV106" s="177" t="str">
        <f t="shared" si="9"/>
        <v/>
      </c>
      <c r="EA106" s="177" t="str">
        <f t="shared" si="10"/>
        <v/>
      </c>
      <c r="EB106" s="533"/>
      <c r="EC106" s="533"/>
      <c r="ED106" s="533"/>
      <c r="EE106" s="534"/>
      <c r="EF106" s="534"/>
      <c r="EG106" s="534"/>
      <c r="EH106" s="534"/>
      <c r="EI106" s="177" t="str">
        <f t="shared" si="11"/>
        <v/>
      </c>
      <c r="EN106" s="177" t="str">
        <f t="shared" si="12"/>
        <v/>
      </c>
      <c r="EO106" s="533"/>
      <c r="EP106" s="533"/>
      <c r="EQ106" s="533"/>
      <c r="ER106" s="534"/>
      <c r="ES106" s="534"/>
      <c r="ET106" s="534"/>
      <c r="EU106" s="534"/>
      <c r="EV106" s="177" t="str">
        <f t="shared" si="13"/>
        <v/>
      </c>
      <c r="FA106" s="177" t="str">
        <f t="shared" si="14"/>
        <v/>
      </c>
      <c r="FB106" s="533"/>
      <c r="FC106" s="533"/>
      <c r="FD106" s="533"/>
      <c r="FE106" s="534"/>
      <c r="FF106" s="534"/>
      <c r="FG106" s="534"/>
      <c r="FH106" s="534"/>
      <c r="FI106" s="177" t="str">
        <f t="shared" si="15"/>
        <v/>
      </c>
      <c r="FN106" s="177" t="str">
        <f t="shared" si="16"/>
        <v/>
      </c>
      <c r="FO106" s="533"/>
      <c r="FP106" s="533"/>
      <c r="FQ106" s="533"/>
      <c r="FR106" s="534"/>
      <c r="FS106" s="534"/>
      <c r="FT106" s="534"/>
      <c r="FU106" s="534"/>
      <c r="FV106" s="177" t="str">
        <f t="shared" si="17"/>
        <v/>
      </c>
      <c r="GA106" s="177" t="str">
        <f t="shared" si="18"/>
        <v/>
      </c>
      <c r="GB106" s="533"/>
      <c r="GC106" s="533"/>
      <c r="GD106" s="533"/>
      <c r="GE106" s="534"/>
      <c r="GF106" s="534"/>
      <c r="GG106" s="534"/>
      <c r="GH106" s="534"/>
      <c r="GI106" s="177" t="str">
        <f t="shared" si="19"/>
        <v/>
      </c>
      <c r="GN106" s="177" t="str">
        <f t="shared" si="20"/>
        <v/>
      </c>
      <c r="GO106" s="533"/>
      <c r="GP106" s="533"/>
      <c r="GQ106" s="533"/>
      <c r="GR106" s="534"/>
      <c r="GS106" s="534"/>
      <c r="GT106" s="534"/>
      <c r="GU106" s="534"/>
      <c r="GV106" s="177" t="str">
        <f t="shared" si="21"/>
        <v/>
      </c>
      <c r="HA106" s="177" t="str">
        <f t="shared" si="22"/>
        <v/>
      </c>
      <c r="HB106" s="533"/>
      <c r="HC106" s="533"/>
      <c r="HD106" s="533"/>
      <c r="HE106" s="534"/>
      <c r="HF106" s="534"/>
      <c r="HG106" s="534"/>
      <c r="HH106" s="534"/>
      <c r="HI106" s="177" t="str">
        <f t="shared" si="23"/>
        <v/>
      </c>
      <c r="HN106" s="177" t="str">
        <f t="shared" si="24"/>
        <v/>
      </c>
      <c r="HO106" s="533"/>
      <c r="HP106" s="533"/>
      <c r="HQ106" s="533"/>
      <c r="HR106" s="534"/>
      <c r="HS106" s="534"/>
      <c r="HT106" s="534"/>
      <c r="HU106" s="534"/>
      <c r="HV106" s="177" t="str">
        <f t="shared" si="25"/>
        <v/>
      </c>
      <c r="IA106" s="177" t="str">
        <f t="shared" si="26"/>
        <v/>
      </c>
      <c r="IB106" s="533"/>
      <c r="IC106" s="533"/>
      <c r="ID106" s="533"/>
      <c r="IE106" s="534"/>
      <c r="IF106" s="534"/>
      <c r="IG106" s="534"/>
      <c r="IH106" s="534"/>
      <c r="II106" s="177" t="str">
        <f t="shared" si="27"/>
        <v/>
      </c>
      <c r="IN106" s="177" t="str">
        <f t="shared" si="28"/>
        <v/>
      </c>
      <c r="IO106" s="533"/>
      <c r="IP106" s="533"/>
      <c r="IQ106" s="533"/>
      <c r="IR106" s="534"/>
      <c r="IS106" s="534"/>
      <c r="IT106" s="534"/>
      <c r="IU106" s="534"/>
      <c r="IV106" s="177" t="str">
        <f t="shared" si="29"/>
        <v/>
      </c>
      <c r="JA106" s="177" t="str">
        <f t="shared" si="30"/>
        <v/>
      </c>
      <c r="JB106" s="533"/>
      <c r="JC106" s="533"/>
      <c r="JD106" s="533"/>
      <c r="JE106" s="534"/>
      <c r="JF106" s="534"/>
      <c r="JG106" s="534"/>
      <c r="JH106" s="534"/>
      <c r="JI106" s="177" t="str">
        <f t="shared" si="31"/>
        <v/>
      </c>
      <c r="JN106" s="177" t="str">
        <f t="shared" si="32"/>
        <v/>
      </c>
      <c r="JO106" s="533"/>
      <c r="JP106" s="533"/>
      <c r="JQ106" s="533"/>
      <c r="JR106" s="534"/>
      <c r="JS106" s="534"/>
      <c r="JT106" s="534"/>
      <c r="JU106" s="534"/>
      <c r="JV106" s="177" t="str">
        <f t="shared" si="33"/>
        <v/>
      </c>
      <c r="KA106" s="177" t="str">
        <f t="shared" si="34"/>
        <v/>
      </c>
      <c r="KB106" s="533"/>
      <c r="KC106" s="533"/>
      <c r="KD106" s="533"/>
      <c r="KE106" s="534"/>
      <c r="KF106" s="534"/>
      <c r="KG106" s="534"/>
      <c r="KH106" s="534"/>
      <c r="KI106" s="177" t="str">
        <f t="shared" si="35"/>
        <v/>
      </c>
      <c r="KN106" s="177" t="str">
        <f t="shared" si="36"/>
        <v/>
      </c>
      <c r="KO106" s="533"/>
      <c r="KP106" s="533"/>
      <c r="KQ106" s="533"/>
      <c r="KR106" s="534"/>
      <c r="KS106" s="534"/>
      <c r="KT106" s="534"/>
      <c r="KU106" s="534"/>
      <c r="KV106" s="177" t="str">
        <f t="shared" si="37"/>
        <v/>
      </c>
      <c r="LA106" s="177" t="str">
        <f t="shared" si="38"/>
        <v/>
      </c>
      <c r="LB106" s="533"/>
      <c r="LC106" s="533"/>
      <c r="LD106" s="533"/>
      <c r="LE106" s="534"/>
      <c r="LF106" s="534"/>
      <c r="LG106" s="534"/>
      <c r="LH106" s="534"/>
      <c r="LI106" s="177" t="str">
        <f t="shared" si="39"/>
        <v/>
      </c>
      <c r="LN106" s="177" t="str">
        <f t="shared" si="40"/>
        <v/>
      </c>
      <c r="LO106" s="533"/>
      <c r="LP106" s="533"/>
      <c r="LQ106" s="533"/>
      <c r="LR106" s="534"/>
      <c r="LS106" s="534"/>
      <c r="LT106" s="534"/>
      <c r="LU106" s="534"/>
      <c r="LV106" s="177" t="str">
        <f t="shared" si="41"/>
        <v/>
      </c>
      <c r="MA106" s="177" t="str">
        <f t="shared" si="42"/>
        <v/>
      </c>
      <c r="MB106" s="533"/>
      <c r="MC106" s="533"/>
      <c r="MD106" s="533"/>
      <c r="ME106" s="534"/>
      <c r="MF106" s="534"/>
      <c r="MG106" s="534"/>
      <c r="MH106" s="534"/>
      <c r="MI106" s="177" t="str">
        <f t="shared" si="43"/>
        <v/>
      </c>
      <c r="MN106" s="177" t="str">
        <f t="shared" si="44"/>
        <v/>
      </c>
      <c r="MO106" s="533"/>
      <c r="MP106" s="533"/>
      <c r="MQ106" s="533"/>
      <c r="MR106" s="534"/>
      <c r="MS106" s="534"/>
      <c r="MT106" s="534"/>
      <c r="MU106" s="534"/>
      <c r="MV106" s="177" t="str">
        <f t="shared" si="45"/>
        <v/>
      </c>
      <c r="NA106" s="177" t="str">
        <f t="shared" si="46"/>
        <v/>
      </c>
      <c r="NB106" s="533"/>
      <c r="NC106" s="533"/>
      <c r="ND106" s="533"/>
      <c r="NE106" s="534"/>
      <c r="NF106" s="534"/>
      <c r="NG106" s="534"/>
      <c r="NH106" s="534"/>
      <c r="NI106" s="177" t="str">
        <f t="shared" si="47"/>
        <v/>
      </c>
      <c r="NN106" s="177" t="str">
        <f t="shared" si="48"/>
        <v/>
      </c>
      <c r="NO106" s="533"/>
      <c r="NP106" s="533"/>
      <c r="NQ106" s="533"/>
      <c r="NR106" s="534"/>
      <c r="NS106" s="534"/>
      <c r="NT106" s="534"/>
      <c r="NU106" s="534"/>
      <c r="NV106" s="177" t="str">
        <f t="shared" si="49"/>
        <v/>
      </c>
    </row>
    <row r="107" spans="1:386" s="41" customFormat="1" ht="18" customHeight="1" x14ac:dyDescent="0.2">
      <c r="A107" s="177" t="str">
        <f>IF(B107&lt;&gt;"",10,"")</f>
        <v/>
      </c>
      <c r="B107" s="533"/>
      <c r="C107" s="533"/>
      <c r="D107" s="533"/>
      <c r="E107" s="534"/>
      <c r="F107" s="534"/>
      <c r="G107" s="535"/>
      <c r="H107" s="535"/>
      <c r="I107" s="177" t="str">
        <f t="shared" si="0"/>
        <v/>
      </c>
      <c r="N107" s="177" t="str">
        <f>IF(O107&lt;&gt;"",35,"")</f>
        <v/>
      </c>
      <c r="O107" s="533"/>
      <c r="P107" s="533"/>
      <c r="Q107" s="533"/>
      <c r="R107" s="534"/>
      <c r="S107" s="534"/>
      <c r="T107" s="534"/>
      <c r="U107" s="534"/>
      <c r="V107" s="177" t="str">
        <f t="shared" si="1"/>
        <v/>
      </c>
      <c r="AA107" s="177" t="str">
        <f>IF(AB107&lt;&gt;"",60,"")</f>
        <v/>
      </c>
      <c r="AB107" s="533"/>
      <c r="AC107" s="533"/>
      <c r="AD107" s="533"/>
      <c r="AE107" s="534"/>
      <c r="AF107" s="534"/>
      <c r="AG107" s="534"/>
      <c r="AH107" s="534"/>
      <c r="AI107" s="177" t="str">
        <f t="shared" si="2"/>
        <v/>
      </c>
      <c r="AN107" s="177" t="str">
        <f>IF(AO107&lt;&gt;"",85,"")</f>
        <v/>
      </c>
      <c r="AO107" s="533"/>
      <c r="AP107" s="533"/>
      <c r="AQ107" s="533"/>
      <c r="AR107" s="534"/>
      <c r="AS107" s="534"/>
      <c r="AT107" s="534"/>
      <c r="AU107" s="534"/>
      <c r="AV107" s="177" t="str">
        <f t="shared" si="3"/>
        <v/>
      </c>
      <c r="BA107" s="177" t="str">
        <f>IF(BB107&lt;&gt;"",110,"")</f>
        <v/>
      </c>
      <c r="BB107" s="533"/>
      <c r="BC107" s="533"/>
      <c r="BD107" s="533"/>
      <c r="BE107" s="534"/>
      <c r="BF107" s="534"/>
      <c r="BG107" s="534"/>
      <c r="BH107" s="534"/>
      <c r="BI107" s="177" t="str">
        <f t="shared" si="4"/>
        <v/>
      </c>
      <c r="BN107" s="177" t="str">
        <f>IF(BO107&lt;&gt;"",135,"")</f>
        <v/>
      </c>
      <c r="BO107" s="533"/>
      <c r="BP107" s="533"/>
      <c r="BQ107" s="533"/>
      <c r="BR107" s="534"/>
      <c r="BS107" s="534"/>
      <c r="BT107" s="534"/>
      <c r="BU107" s="534"/>
      <c r="BV107" s="177" t="str">
        <f t="shared" si="5"/>
        <v/>
      </c>
      <c r="CA107" s="177" t="str">
        <f>IF(CB107&lt;&gt;"",160,"")</f>
        <v/>
      </c>
      <c r="CB107" s="533"/>
      <c r="CC107" s="533"/>
      <c r="CD107" s="533"/>
      <c r="CE107" s="534"/>
      <c r="CF107" s="534"/>
      <c r="CG107" s="534"/>
      <c r="CH107" s="534"/>
      <c r="CI107" s="177" t="str">
        <f t="shared" si="6"/>
        <v/>
      </c>
      <c r="CN107" s="177" t="str">
        <f>IF(CO107&lt;&gt;"",185,"")</f>
        <v/>
      </c>
      <c r="CO107" s="533"/>
      <c r="CP107" s="533"/>
      <c r="CQ107" s="533"/>
      <c r="CR107" s="534"/>
      <c r="CS107" s="534"/>
      <c r="CT107" s="534"/>
      <c r="CU107" s="534"/>
      <c r="CV107" s="177" t="str">
        <f t="shared" si="7"/>
        <v/>
      </c>
      <c r="DA107" s="177" t="str">
        <f>IF(DB107&lt;&gt;"",210,"")</f>
        <v/>
      </c>
      <c r="DB107" s="533"/>
      <c r="DC107" s="533"/>
      <c r="DD107" s="533"/>
      <c r="DE107" s="534"/>
      <c r="DF107" s="534"/>
      <c r="DG107" s="534"/>
      <c r="DH107" s="534"/>
      <c r="DI107" s="177" t="str">
        <f t="shared" si="8"/>
        <v/>
      </c>
      <c r="DN107" s="177" t="str">
        <f>IF(DO107&lt;&gt;"",235,"")</f>
        <v/>
      </c>
      <c r="DO107" s="533"/>
      <c r="DP107" s="533"/>
      <c r="DQ107" s="533"/>
      <c r="DR107" s="534"/>
      <c r="DS107" s="534"/>
      <c r="DT107" s="534"/>
      <c r="DU107" s="534"/>
      <c r="DV107" s="177" t="str">
        <f t="shared" si="9"/>
        <v/>
      </c>
      <c r="EA107" s="177" t="str">
        <f t="shared" si="10"/>
        <v/>
      </c>
      <c r="EB107" s="533"/>
      <c r="EC107" s="533"/>
      <c r="ED107" s="533"/>
      <c r="EE107" s="534"/>
      <c r="EF107" s="534"/>
      <c r="EG107" s="534"/>
      <c r="EH107" s="534"/>
      <c r="EI107" s="177" t="str">
        <f t="shared" si="11"/>
        <v/>
      </c>
      <c r="EN107" s="177" t="str">
        <f t="shared" si="12"/>
        <v/>
      </c>
      <c r="EO107" s="533"/>
      <c r="EP107" s="533"/>
      <c r="EQ107" s="533"/>
      <c r="ER107" s="534"/>
      <c r="ES107" s="534"/>
      <c r="ET107" s="534"/>
      <c r="EU107" s="534"/>
      <c r="EV107" s="177" t="str">
        <f t="shared" si="13"/>
        <v/>
      </c>
      <c r="FA107" s="177" t="str">
        <f t="shared" si="14"/>
        <v/>
      </c>
      <c r="FB107" s="533"/>
      <c r="FC107" s="533"/>
      <c r="FD107" s="533"/>
      <c r="FE107" s="534"/>
      <c r="FF107" s="534"/>
      <c r="FG107" s="534"/>
      <c r="FH107" s="534"/>
      <c r="FI107" s="177" t="str">
        <f t="shared" si="15"/>
        <v/>
      </c>
      <c r="FN107" s="177" t="str">
        <f t="shared" si="16"/>
        <v/>
      </c>
      <c r="FO107" s="533"/>
      <c r="FP107" s="533"/>
      <c r="FQ107" s="533"/>
      <c r="FR107" s="534"/>
      <c r="FS107" s="534"/>
      <c r="FT107" s="534"/>
      <c r="FU107" s="534"/>
      <c r="FV107" s="177" t="str">
        <f t="shared" si="17"/>
        <v/>
      </c>
      <c r="GA107" s="177" t="str">
        <f t="shared" si="18"/>
        <v/>
      </c>
      <c r="GB107" s="533"/>
      <c r="GC107" s="533"/>
      <c r="GD107" s="533"/>
      <c r="GE107" s="534"/>
      <c r="GF107" s="534"/>
      <c r="GG107" s="534"/>
      <c r="GH107" s="534"/>
      <c r="GI107" s="177" t="str">
        <f t="shared" si="19"/>
        <v/>
      </c>
      <c r="GN107" s="177" t="str">
        <f t="shared" si="20"/>
        <v/>
      </c>
      <c r="GO107" s="533"/>
      <c r="GP107" s="533"/>
      <c r="GQ107" s="533"/>
      <c r="GR107" s="534"/>
      <c r="GS107" s="534"/>
      <c r="GT107" s="534"/>
      <c r="GU107" s="534"/>
      <c r="GV107" s="177" t="str">
        <f t="shared" si="21"/>
        <v/>
      </c>
      <c r="HA107" s="177" t="str">
        <f t="shared" si="22"/>
        <v/>
      </c>
      <c r="HB107" s="533"/>
      <c r="HC107" s="533"/>
      <c r="HD107" s="533"/>
      <c r="HE107" s="534"/>
      <c r="HF107" s="534"/>
      <c r="HG107" s="534"/>
      <c r="HH107" s="534"/>
      <c r="HI107" s="177" t="str">
        <f t="shared" si="23"/>
        <v/>
      </c>
      <c r="HN107" s="177" t="str">
        <f t="shared" si="24"/>
        <v/>
      </c>
      <c r="HO107" s="533"/>
      <c r="HP107" s="533"/>
      <c r="HQ107" s="533"/>
      <c r="HR107" s="534"/>
      <c r="HS107" s="534"/>
      <c r="HT107" s="534"/>
      <c r="HU107" s="534"/>
      <c r="HV107" s="177" t="str">
        <f t="shared" si="25"/>
        <v/>
      </c>
      <c r="IA107" s="177" t="str">
        <f t="shared" si="26"/>
        <v/>
      </c>
      <c r="IB107" s="533"/>
      <c r="IC107" s="533"/>
      <c r="ID107" s="533"/>
      <c r="IE107" s="534"/>
      <c r="IF107" s="534"/>
      <c r="IG107" s="534"/>
      <c r="IH107" s="534"/>
      <c r="II107" s="177" t="str">
        <f t="shared" si="27"/>
        <v/>
      </c>
      <c r="IN107" s="177" t="str">
        <f t="shared" si="28"/>
        <v/>
      </c>
      <c r="IO107" s="533"/>
      <c r="IP107" s="533"/>
      <c r="IQ107" s="533"/>
      <c r="IR107" s="534"/>
      <c r="IS107" s="534"/>
      <c r="IT107" s="534"/>
      <c r="IU107" s="534"/>
      <c r="IV107" s="177" t="str">
        <f t="shared" si="29"/>
        <v/>
      </c>
      <c r="JA107" s="177" t="str">
        <f t="shared" si="30"/>
        <v/>
      </c>
      <c r="JB107" s="533"/>
      <c r="JC107" s="533"/>
      <c r="JD107" s="533"/>
      <c r="JE107" s="534"/>
      <c r="JF107" s="534"/>
      <c r="JG107" s="534"/>
      <c r="JH107" s="534"/>
      <c r="JI107" s="177" t="str">
        <f t="shared" si="31"/>
        <v/>
      </c>
      <c r="JN107" s="177" t="str">
        <f t="shared" si="32"/>
        <v/>
      </c>
      <c r="JO107" s="533"/>
      <c r="JP107" s="533"/>
      <c r="JQ107" s="533"/>
      <c r="JR107" s="534"/>
      <c r="JS107" s="534"/>
      <c r="JT107" s="534"/>
      <c r="JU107" s="534"/>
      <c r="JV107" s="177" t="str">
        <f t="shared" si="33"/>
        <v/>
      </c>
      <c r="KA107" s="177" t="str">
        <f t="shared" si="34"/>
        <v/>
      </c>
      <c r="KB107" s="533"/>
      <c r="KC107" s="533"/>
      <c r="KD107" s="533"/>
      <c r="KE107" s="534"/>
      <c r="KF107" s="534"/>
      <c r="KG107" s="534"/>
      <c r="KH107" s="534"/>
      <c r="KI107" s="177" t="str">
        <f t="shared" si="35"/>
        <v/>
      </c>
      <c r="KN107" s="177" t="str">
        <f t="shared" si="36"/>
        <v/>
      </c>
      <c r="KO107" s="533"/>
      <c r="KP107" s="533"/>
      <c r="KQ107" s="533"/>
      <c r="KR107" s="534"/>
      <c r="KS107" s="534"/>
      <c r="KT107" s="534"/>
      <c r="KU107" s="534"/>
      <c r="KV107" s="177" t="str">
        <f t="shared" si="37"/>
        <v/>
      </c>
      <c r="LA107" s="177" t="str">
        <f t="shared" si="38"/>
        <v/>
      </c>
      <c r="LB107" s="533"/>
      <c r="LC107" s="533"/>
      <c r="LD107" s="533"/>
      <c r="LE107" s="534"/>
      <c r="LF107" s="534"/>
      <c r="LG107" s="534"/>
      <c r="LH107" s="534"/>
      <c r="LI107" s="177" t="str">
        <f t="shared" si="39"/>
        <v/>
      </c>
      <c r="LN107" s="177" t="str">
        <f t="shared" si="40"/>
        <v/>
      </c>
      <c r="LO107" s="533"/>
      <c r="LP107" s="533"/>
      <c r="LQ107" s="533"/>
      <c r="LR107" s="534"/>
      <c r="LS107" s="534"/>
      <c r="LT107" s="534"/>
      <c r="LU107" s="534"/>
      <c r="LV107" s="177" t="str">
        <f t="shared" si="41"/>
        <v/>
      </c>
      <c r="MA107" s="177" t="str">
        <f t="shared" si="42"/>
        <v/>
      </c>
      <c r="MB107" s="533"/>
      <c r="MC107" s="533"/>
      <c r="MD107" s="533"/>
      <c r="ME107" s="534"/>
      <c r="MF107" s="534"/>
      <c r="MG107" s="534"/>
      <c r="MH107" s="534"/>
      <c r="MI107" s="177" t="str">
        <f t="shared" si="43"/>
        <v/>
      </c>
      <c r="MN107" s="177" t="str">
        <f t="shared" si="44"/>
        <v/>
      </c>
      <c r="MO107" s="533"/>
      <c r="MP107" s="533"/>
      <c r="MQ107" s="533"/>
      <c r="MR107" s="534"/>
      <c r="MS107" s="534"/>
      <c r="MT107" s="534"/>
      <c r="MU107" s="534"/>
      <c r="MV107" s="177" t="str">
        <f t="shared" si="45"/>
        <v/>
      </c>
      <c r="NA107" s="177" t="str">
        <f t="shared" si="46"/>
        <v/>
      </c>
      <c r="NB107" s="533"/>
      <c r="NC107" s="533"/>
      <c r="ND107" s="533"/>
      <c r="NE107" s="534"/>
      <c r="NF107" s="534"/>
      <c r="NG107" s="534"/>
      <c r="NH107" s="534"/>
      <c r="NI107" s="177" t="str">
        <f t="shared" si="47"/>
        <v/>
      </c>
      <c r="NN107" s="177" t="str">
        <f t="shared" si="48"/>
        <v/>
      </c>
      <c r="NO107" s="533"/>
      <c r="NP107" s="533"/>
      <c r="NQ107" s="533"/>
      <c r="NR107" s="534"/>
      <c r="NS107" s="534"/>
      <c r="NT107" s="534"/>
      <c r="NU107" s="534"/>
      <c r="NV107" s="177" t="str">
        <f t="shared" si="49"/>
        <v/>
      </c>
    </row>
    <row r="108" spans="1:386" s="41" customFormat="1" ht="18" customHeight="1" x14ac:dyDescent="0.2">
      <c r="A108" s="177" t="str">
        <f>IF(B108&lt;&gt;"",11,"")</f>
        <v/>
      </c>
      <c r="B108" s="533"/>
      <c r="C108" s="533"/>
      <c r="D108" s="533"/>
      <c r="E108" s="534"/>
      <c r="F108" s="534"/>
      <c r="G108" s="535"/>
      <c r="H108" s="535"/>
      <c r="I108" s="177" t="str">
        <f t="shared" si="0"/>
        <v/>
      </c>
      <c r="N108" s="177" t="str">
        <f>IF(O108&lt;&gt;"",36,"")</f>
        <v/>
      </c>
      <c r="O108" s="533"/>
      <c r="P108" s="533"/>
      <c r="Q108" s="533"/>
      <c r="R108" s="534"/>
      <c r="S108" s="534"/>
      <c r="T108" s="534"/>
      <c r="U108" s="534"/>
      <c r="V108" s="177" t="str">
        <f t="shared" si="1"/>
        <v/>
      </c>
      <c r="AA108" s="177" t="str">
        <f>IF(AB108&lt;&gt;"",61,"")</f>
        <v/>
      </c>
      <c r="AB108" s="533"/>
      <c r="AC108" s="533"/>
      <c r="AD108" s="533"/>
      <c r="AE108" s="534"/>
      <c r="AF108" s="534"/>
      <c r="AG108" s="534"/>
      <c r="AH108" s="534"/>
      <c r="AI108" s="177" t="str">
        <f t="shared" si="2"/>
        <v/>
      </c>
      <c r="AN108" s="177" t="str">
        <f>IF(AO108&lt;&gt;"",86,"")</f>
        <v/>
      </c>
      <c r="AO108" s="533"/>
      <c r="AP108" s="533"/>
      <c r="AQ108" s="533"/>
      <c r="AR108" s="534"/>
      <c r="AS108" s="534"/>
      <c r="AT108" s="534"/>
      <c r="AU108" s="534"/>
      <c r="AV108" s="177" t="str">
        <f t="shared" si="3"/>
        <v/>
      </c>
      <c r="BA108" s="177" t="str">
        <f>IF(BB108&lt;&gt;"",111,"")</f>
        <v/>
      </c>
      <c r="BB108" s="533"/>
      <c r="BC108" s="533"/>
      <c r="BD108" s="533"/>
      <c r="BE108" s="534"/>
      <c r="BF108" s="534"/>
      <c r="BG108" s="534"/>
      <c r="BH108" s="534"/>
      <c r="BI108" s="177" t="str">
        <f t="shared" si="4"/>
        <v/>
      </c>
      <c r="BN108" s="177" t="str">
        <f>IF(BO108&lt;&gt;"",136,"")</f>
        <v/>
      </c>
      <c r="BO108" s="533"/>
      <c r="BP108" s="533"/>
      <c r="BQ108" s="533"/>
      <c r="BR108" s="534"/>
      <c r="BS108" s="534"/>
      <c r="BT108" s="534"/>
      <c r="BU108" s="534"/>
      <c r="BV108" s="177" t="str">
        <f t="shared" si="5"/>
        <v/>
      </c>
      <c r="CA108" s="177" t="str">
        <f>IF(CB108&lt;&gt;"",161,"")</f>
        <v/>
      </c>
      <c r="CB108" s="533"/>
      <c r="CC108" s="533"/>
      <c r="CD108" s="533"/>
      <c r="CE108" s="534"/>
      <c r="CF108" s="534"/>
      <c r="CG108" s="534"/>
      <c r="CH108" s="534"/>
      <c r="CI108" s="177" t="str">
        <f t="shared" si="6"/>
        <v/>
      </c>
      <c r="CN108" s="177" t="str">
        <f>IF(CO108&lt;&gt;"",186,"")</f>
        <v/>
      </c>
      <c r="CO108" s="533"/>
      <c r="CP108" s="533"/>
      <c r="CQ108" s="533"/>
      <c r="CR108" s="534"/>
      <c r="CS108" s="534"/>
      <c r="CT108" s="534"/>
      <c r="CU108" s="534"/>
      <c r="CV108" s="177" t="str">
        <f t="shared" si="7"/>
        <v/>
      </c>
      <c r="DA108" s="177" t="str">
        <f>IF(DB108&lt;&gt;"",211,"")</f>
        <v/>
      </c>
      <c r="DB108" s="533"/>
      <c r="DC108" s="533"/>
      <c r="DD108" s="533"/>
      <c r="DE108" s="534"/>
      <c r="DF108" s="534"/>
      <c r="DG108" s="534"/>
      <c r="DH108" s="534"/>
      <c r="DI108" s="177" t="str">
        <f t="shared" si="8"/>
        <v/>
      </c>
      <c r="DN108" s="177" t="str">
        <f>IF(DO108&lt;&gt;"",236,"")</f>
        <v/>
      </c>
      <c r="DO108" s="533"/>
      <c r="DP108" s="533"/>
      <c r="DQ108" s="533"/>
      <c r="DR108" s="534"/>
      <c r="DS108" s="534"/>
      <c r="DT108" s="534"/>
      <c r="DU108" s="534"/>
      <c r="DV108" s="177" t="str">
        <f t="shared" si="9"/>
        <v/>
      </c>
      <c r="EA108" s="177" t="str">
        <f t="shared" si="10"/>
        <v/>
      </c>
      <c r="EB108" s="533"/>
      <c r="EC108" s="533"/>
      <c r="ED108" s="533"/>
      <c r="EE108" s="534"/>
      <c r="EF108" s="534"/>
      <c r="EG108" s="534"/>
      <c r="EH108" s="534"/>
      <c r="EI108" s="177" t="str">
        <f t="shared" si="11"/>
        <v/>
      </c>
      <c r="EN108" s="177" t="str">
        <f t="shared" si="12"/>
        <v/>
      </c>
      <c r="EO108" s="533"/>
      <c r="EP108" s="533"/>
      <c r="EQ108" s="533"/>
      <c r="ER108" s="534"/>
      <c r="ES108" s="534"/>
      <c r="ET108" s="534"/>
      <c r="EU108" s="534"/>
      <c r="EV108" s="177" t="str">
        <f t="shared" si="13"/>
        <v/>
      </c>
      <c r="FA108" s="177" t="str">
        <f t="shared" si="14"/>
        <v/>
      </c>
      <c r="FB108" s="533"/>
      <c r="FC108" s="533"/>
      <c r="FD108" s="533"/>
      <c r="FE108" s="534"/>
      <c r="FF108" s="534"/>
      <c r="FG108" s="534"/>
      <c r="FH108" s="534"/>
      <c r="FI108" s="177" t="str">
        <f t="shared" si="15"/>
        <v/>
      </c>
      <c r="FN108" s="177" t="str">
        <f t="shared" si="16"/>
        <v/>
      </c>
      <c r="FO108" s="533"/>
      <c r="FP108" s="533"/>
      <c r="FQ108" s="533"/>
      <c r="FR108" s="534"/>
      <c r="FS108" s="534"/>
      <c r="FT108" s="534"/>
      <c r="FU108" s="534"/>
      <c r="FV108" s="177" t="str">
        <f t="shared" si="17"/>
        <v/>
      </c>
      <c r="GA108" s="177" t="str">
        <f t="shared" si="18"/>
        <v/>
      </c>
      <c r="GB108" s="533"/>
      <c r="GC108" s="533"/>
      <c r="GD108" s="533"/>
      <c r="GE108" s="534"/>
      <c r="GF108" s="534"/>
      <c r="GG108" s="534"/>
      <c r="GH108" s="534"/>
      <c r="GI108" s="177" t="str">
        <f t="shared" si="19"/>
        <v/>
      </c>
      <c r="GN108" s="177" t="str">
        <f t="shared" si="20"/>
        <v/>
      </c>
      <c r="GO108" s="533"/>
      <c r="GP108" s="533"/>
      <c r="GQ108" s="533"/>
      <c r="GR108" s="534"/>
      <c r="GS108" s="534"/>
      <c r="GT108" s="534"/>
      <c r="GU108" s="534"/>
      <c r="GV108" s="177" t="str">
        <f t="shared" si="21"/>
        <v/>
      </c>
      <c r="HA108" s="177" t="str">
        <f t="shared" si="22"/>
        <v/>
      </c>
      <c r="HB108" s="533"/>
      <c r="HC108" s="533"/>
      <c r="HD108" s="533"/>
      <c r="HE108" s="534"/>
      <c r="HF108" s="534"/>
      <c r="HG108" s="534"/>
      <c r="HH108" s="534"/>
      <c r="HI108" s="177" t="str">
        <f t="shared" si="23"/>
        <v/>
      </c>
      <c r="HN108" s="177" t="str">
        <f t="shared" si="24"/>
        <v/>
      </c>
      <c r="HO108" s="533"/>
      <c r="HP108" s="533"/>
      <c r="HQ108" s="533"/>
      <c r="HR108" s="534"/>
      <c r="HS108" s="534"/>
      <c r="HT108" s="534"/>
      <c r="HU108" s="534"/>
      <c r="HV108" s="177" t="str">
        <f t="shared" si="25"/>
        <v/>
      </c>
      <c r="IA108" s="177" t="str">
        <f t="shared" si="26"/>
        <v/>
      </c>
      <c r="IB108" s="533"/>
      <c r="IC108" s="533"/>
      <c r="ID108" s="533"/>
      <c r="IE108" s="534"/>
      <c r="IF108" s="534"/>
      <c r="IG108" s="534"/>
      <c r="IH108" s="534"/>
      <c r="II108" s="177" t="str">
        <f t="shared" si="27"/>
        <v/>
      </c>
      <c r="IN108" s="177" t="str">
        <f t="shared" si="28"/>
        <v/>
      </c>
      <c r="IO108" s="533"/>
      <c r="IP108" s="533"/>
      <c r="IQ108" s="533"/>
      <c r="IR108" s="534"/>
      <c r="IS108" s="534"/>
      <c r="IT108" s="534"/>
      <c r="IU108" s="534"/>
      <c r="IV108" s="177" t="str">
        <f t="shared" si="29"/>
        <v/>
      </c>
      <c r="JA108" s="177" t="str">
        <f t="shared" si="30"/>
        <v/>
      </c>
      <c r="JB108" s="533"/>
      <c r="JC108" s="533"/>
      <c r="JD108" s="533"/>
      <c r="JE108" s="534"/>
      <c r="JF108" s="534"/>
      <c r="JG108" s="534"/>
      <c r="JH108" s="534"/>
      <c r="JI108" s="177" t="str">
        <f t="shared" si="31"/>
        <v/>
      </c>
      <c r="JN108" s="177" t="str">
        <f t="shared" si="32"/>
        <v/>
      </c>
      <c r="JO108" s="533"/>
      <c r="JP108" s="533"/>
      <c r="JQ108" s="533"/>
      <c r="JR108" s="534"/>
      <c r="JS108" s="534"/>
      <c r="JT108" s="534"/>
      <c r="JU108" s="534"/>
      <c r="JV108" s="177" t="str">
        <f t="shared" si="33"/>
        <v/>
      </c>
      <c r="KA108" s="177" t="str">
        <f t="shared" si="34"/>
        <v/>
      </c>
      <c r="KB108" s="533"/>
      <c r="KC108" s="533"/>
      <c r="KD108" s="533"/>
      <c r="KE108" s="534"/>
      <c r="KF108" s="534"/>
      <c r="KG108" s="534"/>
      <c r="KH108" s="534"/>
      <c r="KI108" s="177" t="str">
        <f t="shared" si="35"/>
        <v/>
      </c>
      <c r="KN108" s="177" t="str">
        <f t="shared" si="36"/>
        <v/>
      </c>
      <c r="KO108" s="533"/>
      <c r="KP108" s="533"/>
      <c r="KQ108" s="533"/>
      <c r="KR108" s="534"/>
      <c r="KS108" s="534"/>
      <c r="KT108" s="534"/>
      <c r="KU108" s="534"/>
      <c r="KV108" s="177" t="str">
        <f t="shared" si="37"/>
        <v/>
      </c>
      <c r="LA108" s="177" t="str">
        <f t="shared" si="38"/>
        <v/>
      </c>
      <c r="LB108" s="533"/>
      <c r="LC108" s="533"/>
      <c r="LD108" s="533"/>
      <c r="LE108" s="534"/>
      <c r="LF108" s="534"/>
      <c r="LG108" s="534"/>
      <c r="LH108" s="534"/>
      <c r="LI108" s="177" t="str">
        <f t="shared" si="39"/>
        <v/>
      </c>
      <c r="LN108" s="177" t="str">
        <f t="shared" si="40"/>
        <v/>
      </c>
      <c r="LO108" s="533"/>
      <c r="LP108" s="533"/>
      <c r="LQ108" s="533"/>
      <c r="LR108" s="534"/>
      <c r="LS108" s="534"/>
      <c r="LT108" s="534"/>
      <c r="LU108" s="534"/>
      <c r="LV108" s="177" t="str">
        <f t="shared" si="41"/>
        <v/>
      </c>
      <c r="MA108" s="177" t="str">
        <f t="shared" si="42"/>
        <v/>
      </c>
      <c r="MB108" s="533"/>
      <c r="MC108" s="533"/>
      <c r="MD108" s="533"/>
      <c r="ME108" s="534"/>
      <c r="MF108" s="534"/>
      <c r="MG108" s="534"/>
      <c r="MH108" s="534"/>
      <c r="MI108" s="177" t="str">
        <f t="shared" si="43"/>
        <v/>
      </c>
      <c r="MN108" s="177" t="str">
        <f t="shared" si="44"/>
        <v/>
      </c>
      <c r="MO108" s="533"/>
      <c r="MP108" s="533"/>
      <c r="MQ108" s="533"/>
      <c r="MR108" s="534"/>
      <c r="MS108" s="534"/>
      <c r="MT108" s="534"/>
      <c r="MU108" s="534"/>
      <c r="MV108" s="177" t="str">
        <f t="shared" si="45"/>
        <v/>
      </c>
      <c r="NA108" s="177" t="str">
        <f t="shared" si="46"/>
        <v/>
      </c>
      <c r="NB108" s="533"/>
      <c r="NC108" s="533"/>
      <c r="ND108" s="533"/>
      <c r="NE108" s="534"/>
      <c r="NF108" s="534"/>
      <c r="NG108" s="534"/>
      <c r="NH108" s="534"/>
      <c r="NI108" s="177" t="str">
        <f t="shared" si="47"/>
        <v/>
      </c>
      <c r="NN108" s="177" t="str">
        <f t="shared" si="48"/>
        <v/>
      </c>
      <c r="NO108" s="533"/>
      <c r="NP108" s="533"/>
      <c r="NQ108" s="533"/>
      <c r="NR108" s="534"/>
      <c r="NS108" s="534"/>
      <c r="NT108" s="534"/>
      <c r="NU108" s="534"/>
      <c r="NV108" s="177" t="str">
        <f t="shared" si="49"/>
        <v/>
      </c>
    </row>
    <row r="109" spans="1:386" s="41" customFormat="1" ht="18" customHeight="1" x14ac:dyDescent="0.2">
      <c r="A109" s="177" t="str">
        <f>IF(B109&lt;&gt;"",12,"")</f>
        <v/>
      </c>
      <c r="B109" s="533"/>
      <c r="C109" s="533"/>
      <c r="D109" s="533"/>
      <c r="E109" s="534"/>
      <c r="F109" s="534"/>
      <c r="G109" s="535"/>
      <c r="H109" s="535"/>
      <c r="I109" s="177" t="str">
        <f t="shared" si="0"/>
        <v/>
      </c>
      <c r="N109" s="177" t="str">
        <f>IF(O109&lt;&gt;"",37,"")</f>
        <v/>
      </c>
      <c r="O109" s="533"/>
      <c r="P109" s="533"/>
      <c r="Q109" s="533"/>
      <c r="R109" s="534"/>
      <c r="S109" s="534"/>
      <c r="T109" s="534"/>
      <c r="U109" s="534"/>
      <c r="V109" s="177" t="str">
        <f t="shared" si="1"/>
        <v/>
      </c>
      <c r="AA109" s="177" t="str">
        <f>IF(AB109&lt;&gt;"",62,"")</f>
        <v/>
      </c>
      <c r="AB109" s="533"/>
      <c r="AC109" s="533"/>
      <c r="AD109" s="533"/>
      <c r="AE109" s="534"/>
      <c r="AF109" s="534"/>
      <c r="AG109" s="534"/>
      <c r="AH109" s="534"/>
      <c r="AI109" s="177" t="str">
        <f t="shared" si="2"/>
        <v/>
      </c>
      <c r="AN109" s="177" t="str">
        <f>IF(AO109&lt;&gt;"",87,"")</f>
        <v/>
      </c>
      <c r="AO109" s="533"/>
      <c r="AP109" s="533"/>
      <c r="AQ109" s="533"/>
      <c r="AR109" s="534"/>
      <c r="AS109" s="534"/>
      <c r="AT109" s="534"/>
      <c r="AU109" s="534"/>
      <c r="AV109" s="177" t="str">
        <f t="shared" si="3"/>
        <v/>
      </c>
      <c r="BA109" s="177" t="str">
        <f>IF(BB109&lt;&gt;"",112,"")</f>
        <v/>
      </c>
      <c r="BB109" s="533"/>
      <c r="BC109" s="533"/>
      <c r="BD109" s="533"/>
      <c r="BE109" s="534"/>
      <c r="BF109" s="534"/>
      <c r="BG109" s="534"/>
      <c r="BH109" s="534"/>
      <c r="BI109" s="177" t="str">
        <f t="shared" si="4"/>
        <v/>
      </c>
      <c r="BN109" s="177" t="str">
        <f>IF(BO109&lt;&gt;"",137,"")</f>
        <v/>
      </c>
      <c r="BO109" s="533"/>
      <c r="BP109" s="533"/>
      <c r="BQ109" s="533"/>
      <c r="BR109" s="534"/>
      <c r="BS109" s="534"/>
      <c r="BT109" s="534"/>
      <c r="BU109" s="534"/>
      <c r="BV109" s="177" t="str">
        <f t="shared" si="5"/>
        <v/>
      </c>
      <c r="CA109" s="177" t="str">
        <f>IF(CB109&lt;&gt;"",162,"")</f>
        <v/>
      </c>
      <c r="CB109" s="533"/>
      <c r="CC109" s="533"/>
      <c r="CD109" s="533"/>
      <c r="CE109" s="534"/>
      <c r="CF109" s="534"/>
      <c r="CG109" s="534"/>
      <c r="CH109" s="534"/>
      <c r="CI109" s="177" t="str">
        <f t="shared" si="6"/>
        <v/>
      </c>
      <c r="CN109" s="177" t="str">
        <f>IF(CO109&lt;&gt;"",187,"")</f>
        <v/>
      </c>
      <c r="CO109" s="533"/>
      <c r="CP109" s="533"/>
      <c r="CQ109" s="533"/>
      <c r="CR109" s="534"/>
      <c r="CS109" s="534"/>
      <c r="CT109" s="534"/>
      <c r="CU109" s="534"/>
      <c r="CV109" s="177" t="str">
        <f t="shared" si="7"/>
        <v/>
      </c>
      <c r="DA109" s="177" t="str">
        <f>IF(DB109&lt;&gt;"",212,"")</f>
        <v/>
      </c>
      <c r="DB109" s="533"/>
      <c r="DC109" s="533"/>
      <c r="DD109" s="533"/>
      <c r="DE109" s="534"/>
      <c r="DF109" s="534"/>
      <c r="DG109" s="534"/>
      <c r="DH109" s="534"/>
      <c r="DI109" s="177" t="str">
        <f t="shared" si="8"/>
        <v/>
      </c>
      <c r="DN109" s="177" t="str">
        <f>IF(DO109&lt;&gt;"",237,"")</f>
        <v/>
      </c>
      <c r="DO109" s="533"/>
      <c r="DP109" s="533"/>
      <c r="DQ109" s="533"/>
      <c r="DR109" s="534"/>
      <c r="DS109" s="534"/>
      <c r="DT109" s="534"/>
      <c r="DU109" s="534"/>
      <c r="DV109" s="177" t="str">
        <f t="shared" si="9"/>
        <v/>
      </c>
      <c r="EA109" s="177" t="str">
        <f t="shared" si="10"/>
        <v/>
      </c>
      <c r="EB109" s="533"/>
      <c r="EC109" s="533"/>
      <c r="ED109" s="533"/>
      <c r="EE109" s="534"/>
      <c r="EF109" s="534"/>
      <c r="EG109" s="534"/>
      <c r="EH109" s="534"/>
      <c r="EI109" s="177" t="str">
        <f t="shared" si="11"/>
        <v/>
      </c>
      <c r="EN109" s="177" t="str">
        <f t="shared" si="12"/>
        <v/>
      </c>
      <c r="EO109" s="533"/>
      <c r="EP109" s="533"/>
      <c r="EQ109" s="533"/>
      <c r="ER109" s="534"/>
      <c r="ES109" s="534"/>
      <c r="ET109" s="534"/>
      <c r="EU109" s="534"/>
      <c r="EV109" s="177" t="str">
        <f t="shared" si="13"/>
        <v/>
      </c>
      <c r="FA109" s="177" t="str">
        <f t="shared" si="14"/>
        <v/>
      </c>
      <c r="FB109" s="533"/>
      <c r="FC109" s="533"/>
      <c r="FD109" s="533"/>
      <c r="FE109" s="534"/>
      <c r="FF109" s="534"/>
      <c r="FG109" s="534"/>
      <c r="FH109" s="534"/>
      <c r="FI109" s="177" t="str">
        <f t="shared" si="15"/>
        <v/>
      </c>
      <c r="FN109" s="177" t="str">
        <f t="shared" si="16"/>
        <v/>
      </c>
      <c r="FO109" s="533"/>
      <c r="FP109" s="533"/>
      <c r="FQ109" s="533"/>
      <c r="FR109" s="534"/>
      <c r="FS109" s="534"/>
      <c r="FT109" s="534"/>
      <c r="FU109" s="534"/>
      <c r="FV109" s="177" t="str">
        <f t="shared" si="17"/>
        <v/>
      </c>
      <c r="GA109" s="177" t="str">
        <f t="shared" si="18"/>
        <v/>
      </c>
      <c r="GB109" s="533"/>
      <c r="GC109" s="533"/>
      <c r="GD109" s="533"/>
      <c r="GE109" s="534"/>
      <c r="GF109" s="534"/>
      <c r="GG109" s="534"/>
      <c r="GH109" s="534"/>
      <c r="GI109" s="177" t="str">
        <f t="shared" si="19"/>
        <v/>
      </c>
      <c r="GN109" s="177" t="str">
        <f t="shared" si="20"/>
        <v/>
      </c>
      <c r="GO109" s="533"/>
      <c r="GP109" s="533"/>
      <c r="GQ109" s="533"/>
      <c r="GR109" s="534"/>
      <c r="GS109" s="534"/>
      <c r="GT109" s="534"/>
      <c r="GU109" s="534"/>
      <c r="GV109" s="177" t="str">
        <f t="shared" si="21"/>
        <v/>
      </c>
      <c r="HA109" s="177" t="str">
        <f t="shared" si="22"/>
        <v/>
      </c>
      <c r="HB109" s="533"/>
      <c r="HC109" s="533"/>
      <c r="HD109" s="533"/>
      <c r="HE109" s="534"/>
      <c r="HF109" s="534"/>
      <c r="HG109" s="534"/>
      <c r="HH109" s="534"/>
      <c r="HI109" s="177" t="str">
        <f t="shared" si="23"/>
        <v/>
      </c>
      <c r="HN109" s="177" t="str">
        <f t="shared" si="24"/>
        <v/>
      </c>
      <c r="HO109" s="533"/>
      <c r="HP109" s="533"/>
      <c r="HQ109" s="533"/>
      <c r="HR109" s="534"/>
      <c r="HS109" s="534"/>
      <c r="HT109" s="534"/>
      <c r="HU109" s="534"/>
      <c r="HV109" s="177" t="str">
        <f t="shared" si="25"/>
        <v/>
      </c>
      <c r="IA109" s="177" t="str">
        <f t="shared" si="26"/>
        <v/>
      </c>
      <c r="IB109" s="533"/>
      <c r="IC109" s="533"/>
      <c r="ID109" s="533"/>
      <c r="IE109" s="534"/>
      <c r="IF109" s="534"/>
      <c r="IG109" s="534"/>
      <c r="IH109" s="534"/>
      <c r="II109" s="177" t="str">
        <f t="shared" si="27"/>
        <v/>
      </c>
      <c r="IN109" s="177" t="str">
        <f t="shared" si="28"/>
        <v/>
      </c>
      <c r="IO109" s="533"/>
      <c r="IP109" s="533"/>
      <c r="IQ109" s="533"/>
      <c r="IR109" s="534"/>
      <c r="IS109" s="534"/>
      <c r="IT109" s="534"/>
      <c r="IU109" s="534"/>
      <c r="IV109" s="177" t="str">
        <f t="shared" si="29"/>
        <v/>
      </c>
      <c r="JA109" s="177" t="str">
        <f t="shared" si="30"/>
        <v/>
      </c>
      <c r="JB109" s="533"/>
      <c r="JC109" s="533"/>
      <c r="JD109" s="533"/>
      <c r="JE109" s="534"/>
      <c r="JF109" s="534"/>
      <c r="JG109" s="534"/>
      <c r="JH109" s="534"/>
      <c r="JI109" s="177" t="str">
        <f t="shared" si="31"/>
        <v/>
      </c>
      <c r="JN109" s="177" t="str">
        <f t="shared" si="32"/>
        <v/>
      </c>
      <c r="JO109" s="533"/>
      <c r="JP109" s="533"/>
      <c r="JQ109" s="533"/>
      <c r="JR109" s="534"/>
      <c r="JS109" s="534"/>
      <c r="JT109" s="534"/>
      <c r="JU109" s="534"/>
      <c r="JV109" s="177" t="str">
        <f t="shared" si="33"/>
        <v/>
      </c>
      <c r="KA109" s="177" t="str">
        <f t="shared" si="34"/>
        <v/>
      </c>
      <c r="KB109" s="533"/>
      <c r="KC109" s="533"/>
      <c r="KD109" s="533"/>
      <c r="KE109" s="534"/>
      <c r="KF109" s="534"/>
      <c r="KG109" s="534"/>
      <c r="KH109" s="534"/>
      <c r="KI109" s="177" t="str">
        <f t="shared" si="35"/>
        <v/>
      </c>
      <c r="KN109" s="177" t="str">
        <f t="shared" si="36"/>
        <v/>
      </c>
      <c r="KO109" s="533"/>
      <c r="KP109" s="533"/>
      <c r="KQ109" s="533"/>
      <c r="KR109" s="534"/>
      <c r="KS109" s="534"/>
      <c r="KT109" s="534"/>
      <c r="KU109" s="534"/>
      <c r="KV109" s="177" t="str">
        <f t="shared" si="37"/>
        <v/>
      </c>
      <c r="LA109" s="177" t="str">
        <f t="shared" si="38"/>
        <v/>
      </c>
      <c r="LB109" s="533"/>
      <c r="LC109" s="533"/>
      <c r="LD109" s="533"/>
      <c r="LE109" s="534"/>
      <c r="LF109" s="534"/>
      <c r="LG109" s="534"/>
      <c r="LH109" s="534"/>
      <c r="LI109" s="177" t="str">
        <f t="shared" si="39"/>
        <v/>
      </c>
      <c r="LN109" s="177" t="str">
        <f t="shared" si="40"/>
        <v/>
      </c>
      <c r="LO109" s="533"/>
      <c r="LP109" s="533"/>
      <c r="LQ109" s="533"/>
      <c r="LR109" s="534"/>
      <c r="LS109" s="534"/>
      <c r="LT109" s="534"/>
      <c r="LU109" s="534"/>
      <c r="LV109" s="177" t="str">
        <f t="shared" si="41"/>
        <v/>
      </c>
      <c r="MA109" s="177" t="str">
        <f t="shared" si="42"/>
        <v/>
      </c>
      <c r="MB109" s="533"/>
      <c r="MC109" s="533"/>
      <c r="MD109" s="533"/>
      <c r="ME109" s="534"/>
      <c r="MF109" s="534"/>
      <c r="MG109" s="534"/>
      <c r="MH109" s="534"/>
      <c r="MI109" s="177" t="str">
        <f t="shared" si="43"/>
        <v/>
      </c>
      <c r="MN109" s="177" t="str">
        <f t="shared" si="44"/>
        <v/>
      </c>
      <c r="MO109" s="533"/>
      <c r="MP109" s="533"/>
      <c r="MQ109" s="533"/>
      <c r="MR109" s="534"/>
      <c r="MS109" s="534"/>
      <c r="MT109" s="534"/>
      <c r="MU109" s="534"/>
      <c r="MV109" s="177" t="str">
        <f t="shared" si="45"/>
        <v/>
      </c>
      <c r="NA109" s="177" t="str">
        <f t="shared" si="46"/>
        <v/>
      </c>
      <c r="NB109" s="533"/>
      <c r="NC109" s="533"/>
      <c r="ND109" s="533"/>
      <c r="NE109" s="534"/>
      <c r="NF109" s="534"/>
      <c r="NG109" s="534"/>
      <c r="NH109" s="534"/>
      <c r="NI109" s="177" t="str">
        <f t="shared" si="47"/>
        <v/>
      </c>
      <c r="NN109" s="177" t="str">
        <f t="shared" si="48"/>
        <v/>
      </c>
      <c r="NO109" s="533"/>
      <c r="NP109" s="533"/>
      <c r="NQ109" s="533"/>
      <c r="NR109" s="534"/>
      <c r="NS109" s="534"/>
      <c r="NT109" s="534"/>
      <c r="NU109" s="534"/>
      <c r="NV109" s="177" t="str">
        <f t="shared" si="49"/>
        <v/>
      </c>
    </row>
    <row r="110" spans="1:386" s="41" customFormat="1" ht="18" customHeight="1" x14ac:dyDescent="0.2">
      <c r="A110" s="177" t="str">
        <f>IF(B110&lt;&gt;"",13,"")</f>
        <v/>
      </c>
      <c r="B110" s="533"/>
      <c r="C110" s="533"/>
      <c r="D110" s="533"/>
      <c r="E110" s="534"/>
      <c r="F110" s="534"/>
      <c r="G110" s="535"/>
      <c r="H110" s="535"/>
      <c r="I110" s="177" t="str">
        <f t="shared" si="0"/>
        <v/>
      </c>
      <c r="N110" s="177" t="str">
        <f>IF(O110&lt;&gt;"",38,"")</f>
        <v/>
      </c>
      <c r="O110" s="533"/>
      <c r="P110" s="533"/>
      <c r="Q110" s="533"/>
      <c r="R110" s="534"/>
      <c r="S110" s="534"/>
      <c r="T110" s="534"/>
      <c r="U110" s="534"/>
      <c r="V110" s="177" t="str">
        <f t="shared" si="1"/>
        <v/>
      </c>
      <c r="AA110" s="177" t="str">
        <f>IF(AB110&lt;&gt;"",63,"")</f>
        <v/>
      </c>
      <c r="AB110" s="533"/>
      <c r="AC110" s="533"/>
      <c r="AD110" s="533"/>
      <c r="AE110" s="534"/>
      <c r="AF110" s="534"/>
      <c r="AG110" s="534"/>
      <c r="AH110" s="534"/>
      <c r="AI110" s="177" t="str">
        <f t="shared" si="2"/>
        <v/>
      </c>
      <c r="AN110" s="177" t="str">
        <f>IF(AO110&lt;&gt;"",88,"")</f>
        <v/>
      </c>
      <c r="AO110" s="533"/>
      <c r="AP110" s="533"/>
      <c r="AQ110" s="533"/>
      <c r="AR110" s="534"/>
      <c r="AS110" s="534"/>
      <c r="AT110" s="534"/>
      <c r="AU110" s="534"/>
      <c r="AV110" s="177" t="str">
        <f t="shared" si="3"/>
        <v/>
      </c>
      <c r="BA110" s="177" t="str">
        <f>IF(BB110&lt;&gt;"",113,"")</f>
        <v/>
      </c>
      <c r="BB110" s="533"/>
      <c r="BC110" s="533"/>
      <c r="BD110" s="533"/>
      <c r="BE110" s="534"/>
      <c r="BF110" s="534"/>
      <c r="BG110" s="534"/>
      <c r="BH110" s="534"/>
      <c r="BI110" s="177" t="str">
        <f t="shared" si="4"/>
        <v/>
      </c>
      <c r="BN110" s="177" t="str">
        <f>IF(BO110&lt;&gt;"",138,"")</f>
        <v/>
      </c>
      <c r="BO110" s="533"/>
      <c r="BP110" s="533"/>
      <c r="BQ110" s="533"/>
      <c r="BR110" s="534"/>
      <c r="BS110" s="534"/>
      <c r="BT110" s="534"/>
      <c r="BU110" s="534"/>
      <c r="BV110" s="177" t="str">
        <f t="shared" si="5"/>
        <v/>
      </c>
      <c r="CA110" s="177" t="str">
        <f>IF(CB110&lt;&gt;"",163,"")</f>
        <v/>
      </c>
      <c r="CB110" s="533"/>
      <c r="CC110" s="533"/>
      <c r="CD110" s="533"/>
      <c r="CE110" s="534"/>
      <c r="CF110" s="534"/>
      <c r="CG110" s="534"/>
      <c r="CH110" s="534"/>
      <c r="CI110" s="177" t="str">
        <f t="shared" si="6"/>
        <v/>
      </c>
      <c r="CN110" s="177" t="str">
        <f>IF(CO110&lt;&gt;"",188,"")</f>
        <v/>
      </c>
      <c r="CO110" s="533"/>
      <c r="CP110" s="533"/>
      <c r="CQ110" s="533"/>
      <c r="CR110" s="534"/>
      <c r="CS110" s="534"/>
      <c r="CT110" s="534"/>
      <c r="CU110" s="534"/>
      <c r="CV110" s="177" t="str">
        <f t="shared" si="7"/>
        <v/>
      </c>
      <c r="DA110" s="177" t="str">
        <f>IF(DB110&lt;&gt;"",213,"")</f>
        <v/>
      </c>
      <c r="DB110" s="533"/>
      <c r="DC110" s="533"/>
      <c r="DD110" s="533"/>
      <c r="DE110" s="534"/>
      <c r="DF110" s="534"/>
      <c r="DG110" s="534"/>
      <c r="DH110" s="534"/>
      <c r="DI110" s="177" t="str">
        <f t="shared" si="8"/>
        <v/>
      </c>
      <c r="DN110" s="177" t="str">
        <f>IF(DO110&lt;&gt;"",238,"")</f>
        <v/>
      </c>
      <c r="DO110" s="533"/>
      <c r="DP110" s="533"/>
      <c r="DQ110" s="533"/>
      <c r="DR110" s="534"/>
      <c r="DS110" s="534"/>
      <c r="DT110" s="534"/>
      <c r="DU110" s="534"/>
      <c r="DV110" s="177" t="str">
        <f t="shared" si="9"/>
        <v/>
      </c>
      <c r="EA110" s="177" t="str">
        <f t="shared" si="10"/>
        <v/>
      </c>
      <c r="EB110" s="533"/>
      <c r="EC110" s="533"/>
      <c r="ED110" s="533"/>
      <c r="EE110" s="534"/>
      <c r="EF110" s="534"/>
      <c r="EG110" s="534"/>
      <c r="EH110" s="534"/>
      <c r="EI110" s="177" t="str">
        <f t="shared" si="11"/>
        <v/>
      </c>
      <c r="EN110" s="177" t="str">
        <f t="shared" si="12"/>
        <v/>
      </c>
      <c r="EO110" s="533"/>
      <c r="EP110" s="533"/>
      <c r="EQ110" s="533"/>
      <c r="ER110" s="534"/>
      <c r="ES110" s="534"/>
      <c r="ET110" s="534"/>
      <c r="EU110" s="534"/>
      <c r="EV110" s="177" t="str">
        <f t="shared" si="13"/>
        <v/>
      </c>
      <c r="FA110" s="177" t="str">
        <f t="shared" si="14"/>
        <v/>
      </c>
      <c r="FB110" s="533"/>
      <c r="FC110" s="533"/>
      <c r="FD110" s="533"/>
      <c r="FE110" s="534"/>
      <c r="FF110" s="534"/>
      <c r="FG110" s="534"/>
      <c r="FH110" s="534"/>
      <c r="FI110" s="177" t="str">
        <f t="shared" si="15"/>
        <v/>
      </c>
      <c r="FN110" s="177" t="str">
        <f t="shared" si="16"/>
        <v/>
      </c>
      <c r="FO110" s="533"/>
      <c r="FP110" s="533"/>
      <c r="FQ110" s="533"/>
      <c r="FR110" s="534"/>
      <c r="FS110" s="534"/>
      <c r="FT110" s="534"/>
      <c r="FU110" s="534"/>
      <c r="FV110" s="177" t="str">
        <f t="shared" si="17"/>
        <v/>
      </c>
      <c r="GA110" s="177" t="str">
        <f t="shared" si="18"/>
        <v/>
      </c>
      <c r="GB110" s="533"/>
      <c r="GC110" s="533"/>
      <c r="GD110" s="533"/>
      <c r="GE110" s="534"/>
      <c r="GF110" s="534"/>
      <c r="GG110" s="534"/>
      <c r="GH110" s="534"/>
      <c r="GI110" s="177" t="str">
        <f t="shared" si="19"/>
        <v/>
      </c>
      <c r="GN110" s="177" t="str">
        <f t="shared" si="20"/>
        <v/>
      </c>
      <c r="GO110" s="533"/>
      <c r="GP110" s="533"/>
      <c r="GQ110" s="533"/>
      <c r="GR110" s="534"/>
      <c r="GS110" s="534"/>
      <c r="GT110" s="534"/>
      <c r="GU110" s="534"/>
      <c r="GV110" s="177" t="str">
        <f t="shared" si="21"/>
        <v/>
      </c>
      <c r="HA110" s="177" t="str">
        <f t="shared" si="22"/>
        <v/>
      </c>
      <c r="HB110" s="533"/>
      <c r="HC110" s="533"/>
      <c r="HD110" s="533"/>
      <c r="HE110" s="534"/>
      <c r="HF110" s="534"/>
      <c r="HG110" s="534"/>
      <c r="HH110" s="534"/>
      <c r="HI110" s="177" t="str">
        <f t="shared" si="23"/>
        <v/>
      </c>
      <c r="HN110" s="177" t="str">
        <f t="shared" si="24"/>
        <v/>
      </c>
      <c r="HO110" s="533"/>
      <c r="HP110" s="533"/>
      <c r="HQ110" s="533"/>
      <c r="HR110" s="534"/>
      <c r="HS110" s="534"/>
      <c r="HT110" s="534"/>
      <c r="HU110" s="534"/>
      <c r="HV110" s="177" t="str">
        <f t="shared" si="25"/>
        <v/>
      </c>
      <c r="IA110" s="177" t="str">
        <f t="shared" si="26"/>
        <v/>
      </c>
      <c r="IB110" s="533"/>
      <c r="IC110" s="533"/>
      <c r="ID110" s="533"/>
      <c r="IE110" s="534"/>
      <c r="IF110" s="534"/>
      <c r="IG110" s="534"/>
      <c r="IH110" s="534"/>
      <c r="II110" s="177" t="str">
        <f t="shared" si="27"/>
        <v/>
      </c>
      <c r="IN110" s="177" t="str">
        <f t="shared" si="28"/>
        <v/>
      </c>
      <c r="IO110" s="533"/>
      <c r="IP110" s="533"/>
      <c r="IQ110" s="533"/>
      <c r="IR110" s="534"/>
      <c r="IS110" s="534"/>
      <c r="IT110" s="534"/>
      <c r="IU110" s="534"/>
      <c r="IV110" s="177" t="str">
        <f t="shared" si="29"/>
        <v/>
      </c>
      <c r="JA110" s="177" t="str">
        <f t="shared" si="30"/>
        <v/>
      </c>
      <c r="JB110" s="533"/>
      <c r="JC110" s="533"/>
      <c r="JD110" s="533"/>
      <c r="JE110" s="534"/>
      <c r="JF110" s="534"/>
      <c r="JG110" s="534"/>
      <c r="JH110" s="534"/>
      <c r="JI110" s="177" t="str">
        <f t="shared" si="31"/>
        <v/>
      </c>
      <c r="JN110" s="177" t="str">
        <f t="shared" si="32"/>
        <v/>
      </c>
      <c r="JO110" s="533"/>
      <c r="JP110" s="533"/>
      <c r="JQ110" s="533"/>
      <c r="JR110" s="534"/>
      <c r="JS110" s="534"/>
      <c r="JT110" s="534"/>
      <c r="JU110" s="534"/>
      <c r="JV110" s="177" t="str">
        <f t="shared" si="33"/>
        <v/>
      </c>
      <c r="KA110" s="177" t="str">
        <f t="shared" si="34"/>
        <v/>
      </c>
      <c r="KB110" s="533"/>
      <c r="KC110" s="533"/>
      <c r="KD110" s="533"/>
      <c r="KE110" s="534"/>
      <c r="KF110" s="534"/>
      <c r="KG110" s="534"/>
      <c r="KH110" s="534"/>
      <c r="KI110" s="177" t="str">
        <f t="shared" si="35"/>
        <v/>
      </c>
      <c r="KN110" s="177" t="str">
        <f t="shared" si="36"/>
        <v/>
      </c>
      <c r="KO110" s="533"/>
      <c r="KP110" s="533"/>
      <c r="KQ110" s="533"/>
      <c r="KR110" s="534"/>
      <c r="KS110" s="534"/>
      <c r="KT110" s="534"/>
      <c r="KU110" s="534"/>
      <c r="KV110" s="177" t="str">
        <f t="shared" si="37"/>
        <v/>
      </c>
      <c r="LA110" s="177" t="str">
        <f t="shared" si="38"/>
        <v/>
      </c>
      <c r="LB110" s="533"/>
      <c r="LC110" s="533"/>
      <c r="LD110" s="533"/>
      <c r="LE110" s="534"/>
      <c r="LF110" s="534"/>
      <c r="LG110" s="534"/>
      <c r="LH110" s="534"/>
      <c r="LI110" s="177" t="str">
        <f t="shared" si="39"/>
        <v/>
      </c>
      <c r="LN110" s="177" t="str">
        <f t="shared" si="40"/>
        <v/>
      </c>
      <c r="LO110" s="533"/>
      <c r="LP110" s="533"/>
      <c r="LQ110" s="533"/>
      <c r="LR110" s="534"/>
      <c r="LS110" s="534"/>
      <c r="LT110" s="534"/>
      <c r="LU110" s="534"/>
      <c r="LV110" s="177" t="str">
        <f t="shared" si="41"/>
        <v/>
      </c>
      <c r="MA110" s="177" t="str">
        <f t="shared" si="42"/>
        <v/>
      </c>
      <c r="MB110" s="533"/>
      <c r="MC110" s="533"/>
      <c r="MD110" s="533"/>
      <c r="ME110" s="534"/>
      <c r="MF110" s="534"/>
      <c r="MG110" s="534"/>
      <c r="MH110" s="534"/>
      <c r="MI110" s="177" t="str">
        <f t="shared" si="43"/>
        <v/>
      </c>
      <c r="MN110" s="177" t="str">
        <f t="shared" si="44"/>
        <v/>
      </c>
      <c r="MO110" s="533"/>
      <c r="MP110" s="533"/>
      <c r="MQ110" s="533"/>
      <c r="MR110" s="534"/>
      <c r="MS110" s="534"/>
      <c r="MT110" s="534"/>
      <c r="MU110" s="534"/>
      <c r="MV110" s="177" t="str">
        <f t="shared" si="45"/>
        <v/>
      </c>
      <c r="NA110" s="177" t="str">
        <f t="shared" si="46"/>
        <v/>
      </c>
      <c r="NB110" s="533"/>
      <c r="NC110" s="533"/>
      <c r="ND110" s="533"/>
      <c r="NE110" s="534"/>
      <c r="NF110" s="534"/>
      <c r="NG110" s="534"/>
      <c r="NH110" s="534"/>
      <c r="NI110" s="177" t="str">
        <f t="shared" si="47"/>
        <v/>
      </c>
      <c r="NN110" s="177" t="str">
        <f t="shared" si="48"/>
        <v/>
      </c>
      <c r="NO110" s="533"/>
      <c r="NP110" s="533"/>
      <c r="NQ110" s="533"/>
      <c r="NR110" s="534"/>
      <c r="NS110" s="534"/>
      <c r="NT110" s="534"/>
      <c r="NU110" s="534"/>
      <c r="NV110" s="177" t="str">
        <f t="shared" si="49"/>
        <v/>
      </c>
    </row>
    <row r="111" spans="1:386" s="41" customFormat="1" ht="18" customHeight="1" x14ac:dyDescent="0.2">
      <c r="A111" s="177" t="str">
        <f>IF(B111&lt;&gt;"",14,"")</f>
        <v/>
      </c>
      <c r="B111" s="533"/>
      <c r="C111" s="533"/>
      <c r="D111" s="533"/>
      <c r="E111" s="534"/>
      <c r="F111" s="534"/>
      <c r="G111" s="535"/>
      <c r="H111" s="535"/>
      <c r="I111" s="177" t="str">
        <f t="shared" si="0"/>
        <v/>
      </c>
      <c r="N111" s="177" t="str">
        <f>IF(O111&lt;&gt;"",39,"")</f>
        <v/>
      </c>
      <c r="O111" s="533"/>
      <c r="P111" s="533"/>
      <c r="Q111" s="533"/>
      <c r="R111" s="534"/>
      <c r="S111" s="534"/>
      <c r="T111" s="534"/>
      <c r="U111" s="534"/>
      <c r="V111" s="177" t="str">
        <f t="shared" si="1"/>
        <v/>
      </c>
      <c r="AA111" s="177" t="str">
        <f>IF(AB111&lt;&gt;"",64,"")</f>
        <v/>
      </c>
      <c r="AB111" s="533"/>
      <c r="AC111" s="533"/>
      <c r="AD111" s="533"/>
      <c r="AE111" s="534"/>
      <c r="AF111" s="534"/>
      <c r="AG111" s="534"/>
      <c r="AH111" s="534"/>
      <c r="AI111" s="177" t="str">
        <f t="shared" si="2"/>
        <v/>
      </c>
      <c r="AN111" s="177" t="str">
        <f>IF(AO111&lt;&gt;"",89,"")</f>
        <v/>
      </c>
      <c r="AO111" s="533"/>
      <c r="AP111" s="533"/>
      <c r="AQ111" s="533"/>
      <c r="AR111" s="534"/>
      <c r="AS111" s="534"/>
      <c r="AT111" s="534"/>
      <c r="AU111" s="534"/>
      <c r="AV111" s="177" t="str">
        <f t="shared" si="3"/>
        <v/>
      </c>
      <c r="BA111" s="177" t="str">
        <f>IF(BB111&lt;&gt;"",114,"")</f>
        <v/>
      </c>
      <c r="BB111" s="533"/>
      <c r="BC111" s="533"/>
      <c r="BD111" s="533"/>
      <c r="BE111" s="534"/>
      <c r="BF111" s="534"/>
      <c r="BG111" s="534"/>
      <c r="BH111" s="534"/>
      <c r="BI111" s="177" t="str">
        <f t="shared" si="4"/>
        <v/>
      </c>
      <c r="BN111" s="177" t="str">
        <f>IF(BO111&lt;&gt;"",139,"")</f>
        <v/>
      </c>
      <c r="BO111" s="533"/>
      <c r="BP111" s="533"/>
      <c r="BQ111" s="533"/>
      <c r="BR111" s="534"/>
      <c r="BS111" s="534"/>
      <c r="BT111" s="534"/>
      <c r="BU111" s="534"/>
      <c r="BV111" s="177" t="str">
        <f t="shared" si="5"/>
        <v/>
      </c>
      <c r="CA111" s="177" t="str">
        <f>IF(CB111&lt;&gt;"",164,"")</f>
        <v/>
      </c>
      <c r="CB111" s="533"/>
      <c r="CC111" s="533"/>
      <c r="CD111" s="533"/>
      <c r="CE111" s="534"/>
      <c r="CF111" s="534"/>
      <c r="CG111" s="534"/>
      <c r="CH111" s="534"/>
      <c r="CI111" s="177" t="str">
        <f t="shared" si="6"/>
        <v/>
      </c>
      <c r="CN111" s="177" t="str">
        <f>IF(CO111&lt;&gt;"",189,"")</f>
        <v/>
      </c>
      <c r="CO111" s="533"/>
      <c r="CP111" s="533"/>
      <c r="CQ111" s="533"/>
      <c r="CR111" s="534"/>
      <c r="CS111" s="534"/>
      <c r="CT111" s="534"/>
      <c r="CU111" s="534"/>
      <c r="CV111" s="177" t="str">
        <f t="shared" si="7"/>
        <v/>
      </c>
      <c r="DA111" s="177" t="str">
        <f>IF(DB111&lt;&gt;"",214,"")</f>
        <v/>
      </c>
      <c r="DB111" s="533"/>
      <c r="DC111" s="533"/>
      <c r="DD111" s="533"/>
      <c r="DE111" s="534"/>
      <c r="DF111" s="534"/>
      <c r="DG111" s="534"/>
      <c r="DH111" s="534"/>
      <c r="DI111" s="177" t="str">
        <f t="shared" si="8"/>
        <v/>
      </c>
      <c r="DN111" s="177" t="str">
        <f>IF(DO111&lt;&gt;"",239,"")</f>
        <v/>
      </c>
      <c r="DO111" s="533"/>
      <c r="DP111" s="533"/>
      <c r="DQ111" s="533"/>
      <c r="DR111" s="534"/>
      <c r="DS111" s="534"/>
      <c r="DT111" s="534"/>
      <c r="DU111" s="534"/>
      <c r="DV111" s="177" t="str">
        <f t="shared" si="9"/>
        <v/>
      </c>
      <c r="EA111" s="177" t="str">
        <f t="shared" si="10"/>
        <v/>
      </c>
      <c r="EB111" s="533"/>
      <c r="EC111" s="533"/>
      <c r="ED111" s="533"/>
      <c r="EE111" s="534"/>
      <c r="EF111" s="534"/>
      <c r="EG111" s="534"/>
      <c r="EH111" s="534"/>
      <c r="EI111" s="177" t="str">
        <f t="shared" si="11"/>
        <v/>
      </c>
      <c r="EN111" s="177" t="str">
        <f t="shared" si="12"/>
        <v/>
      </c>
      <c r="EO111" s="533"/>
      <c r="EP111" s="533"/>
      <c r="EQ111" s="533"/>
      <c r="ER111" s="534"/>
      <c r="ES111" s="534"/>
      <c r="ET111" s="534"/>
      <c r="EU111" s="534"/>
      <c r="EV111" s="177" t="str">
        <f t="shared" si="13"/>
        <v/>
      </c>
      <c r="FA111" s="177" t="str">
        <f t="shared" si="14"/>
        <v/>
      </c>
      <c r="FB111" s="533"/>
      <c r="FC111" s="533"/>
      <c r="FD111" s="533"/>
      <c r="FE111" s="534"/>
      <c r="FF111" s="534"/>
      <c r="FG111" s="534"/>
      <c r="FH111" s="534"/>
      <c r="FI111" s="177" t="str">
        <f t="shared" si="15"/>
        <v/>
      </c>
      <c r="FN111" s="177" t="str">
        <f t="shared" si="16"/>
        <v/>
      </c>
      <c r="FO111" s="533"/>
      <c r="FP111" s="533"/>
      <c r="FQ111" s="533"/>
      <c r="FR111" s="534"/>
      <c r="FS111" s="534"/>
      <c r="FT111" s="534"/>
      <c r="FU111" s="534"/>
      <c r="FV111" s="177" t="str">
        <f t="shared" si="17"/>
        <v/>
      </c>
      <c r="GA111" s="177" t="str">
        <f t="shared" si="18"/>
        <v/>
      </c>
      <c r="GB111" s="533"/>
      <c r="GC111" s="533"/>
      <c r="GD111" s="533"/>
      <c r="GE111" s="534"/>
      <c r="GF111" s="534"/>
      <c r="GG111" s="534"/>
      <c r="GH111" s="534"/>
      <c r="GI111" s="177" t="str">
        <f t="shared" si="19"/>
        <v/>
      </c>
      <c r="GN111" s="177" t="str">
        <f t="shared" si="20"/>
        <v/>
      </c>
      <c r="GO111" s="533"/>
      <c r="GP111" s="533"/>
      <c r="GQ111" s="533"/>
      <c r="GR111" s="534"/>
      <c r="GS111" s="534"/>
      <c r="GT111" s="534"/>
      <c r="GU111" s="534"/>
      <c r="GV111" s="177" t="str">
        <f t="shared" si="21"/>
        <v/>
      </c>
      <c r="HA111" s="177" t="str">
        <f t="shared" si="22"/>
        <v/>
      </c>
      <c r="HB111" s="533"/>
      <c r="HC111" s="533"/>
      <c r="HD111" s="533"/>
      <c r="HE111" s="534"/>
      <c r="HF111" s="534"/>
      <c r="HG111" s="534"/>
      <c r="HH111" s="534"/>
      <c r="HI111" s="177" t="str">
        <f t="shared" si="23"/>
        <v/>
      </c>
      <c r="HN111" s="177" t="str">
        <f t="shared" si="24"/>
        <v/>
      </c>
      <c r="HO111" s="533"/>
      <c r="HP111" s="533"/>
      <c r="HQ111" s="533"/>
      <c r="HR111" s="534"/>
      <c r="HS111" s="534"/>
      <c r="HT111" s="534"/>
      <c r="HU111" s="534"/>
      <c r="HV111" s="177" t="str">
        <f t="shared" si="25"/>
        <v/>
      </c>
      <c r="IA111" s="177" t="str">
        <f t="shared" si="26"/>
        <v/>
      </c>
      <c r="IB111" s="533"/>
      <c r="IC111" s="533"/>
      <c r="ID111" s="533"/>
      <c r="IE111" s="534"/>
      <c r="IF111" s="534"/>
      <c r="IG111" s="534"/>
      <c r="IH111" s="534"/>
      <c r="II111" s="177" t="str">
        <f t="shared" si="27"/>
        <v/>
      </c>
      <c r="IN111" s="177" t="str">
        <f t="shared" si="28"/>
        <v/>
      </c>
      <c r="IO111" s="533"/>
      <c r="IP111" s="533"/>
      <c r="IQ111" s="533"/>
      <c r="IR111" s="534"/>
      <c r="IS111" s="534"/>
      <c r="IT111" s="534"/>
      <c r="IU111" s="534"/>
      <c r="IV111" s="177" t="str">
        <f t="shared" si="29"/>
        <v/>
      </c>
      <c r="JA111" s="177" t="str">
        <f t="shared" si="30"/>
        <v/>
      </c>
      <c r="JB111" s="533"/>
      <c r="JC111" s="533"/>
      <c r="JD111" s="533"/>
      <c r="JE111" s="534"/>
      <c r="JF111" s="534"/>
      <c r="JG111" s="534"/>
      <c r="JH111" s="534"/>
      <c r="JI111" s="177" t="str">
        <f t="shared" si="31"/>
        <v/>
      </c>
      <c r="JN111" s="177" t="str">
        <f t="shared" si="32"/>
        <v/>
      </c>
      <c r="JO111" s="533"/>
      <c r="JP111" s="533"/>
      <c r="JQ111" s="533"/>
      <c r="JR111" s="534"/>
      <c r="JS111" s="534"/>
      <c r="JT111" s="534"/>
      <c r="JU111" s="534"/>
      <c r="JV111" s="177" t="str">
        <f t="shared" si="33"/>
        <v/>
      </c>
      <c r="KA111" s="177" t="str">
        <f t="shared" si="34"/>
        <v/>
      </c>
      <c r="KB111" s="533"/>
      <c r="KC111" s="533"/>
      <c r="KD111" s="533"/>
      <c r="KE111" s="534"/>
      <c r="KF111" s="534"/>
      <c r="KG111" s="534"/>
      <c r="KH111" s="534"/>
      <c r="KI111" s="177" t="str">
        <f t="shared" si="35"/>
        <v/>
      </c>
      <c r="KN111" s="177" t="str">
        <f t="shared" si="36"/>
        <v/>
      </c>
      <c r="KO111" s="533"/>
      <c r="KP111" s="533"/>
      <c r="KQ111" s="533"/>
      <c r="KR111" s="534"/>
      <c r="KS111" s="534"/>
      <c r="KT111" s="534"/>
      <c r="KU111" s="534"/>
      <c r="KV111" s="177" t="str">
        <f t="shared" si="37"/>
        <v/>
      </c>
      <c r="LA111" s="177" t="str">
        <f t="shared" si="38"/>
        <v/>
      </c>
      <c r="LB111" s="533"/>
      <c r="LC111" s="533"/>
      <c r="LD111" s="533"/>
      <c r="LE111" s="534"/>
      <c r="LF111" s="534"/>
      <c r="LG111" s="534"/>
      <c r="LH111" s="534"/>
      <c r="LI111" s="177" t="str">
        <f t="shared" si="39"/>
        <v/>
      </c>
      <c r="LN111" s="177" t="str">
        <f t="shared" si="40"/>
        <v/>
      </c>
      <c r="LO111" s="533"/>
      <c r="LP111" s="533"/>
      <c r="LQ111" s="533"/>
      <c r="LR111" s="534"/>
      <c r="LS111" s="534"/>
      <c r="LT111" s="534"/>
      <c r="LU111" s="534"/>
      <c r="LV111" s="177" t="str">
        <f t="shared" si="41"/>
        <v/>
      </c>
      <c r="MA111" s="177" t="str">
        <f t="shared" si="42"/>
        <v/>
      </c>
      <c r="MB111" s="533"/>
      <c r="MC111" s="533"/>
      <c r="MD111" s="533"/>
      <c r="ME111" s="534"/>
      <c r="MF111" s="534"/>
      <c r="MG111" s="534"/>
      <c r="MH111" s="534"/>
      <c r="MI111" s="177" t="str">
        <f t="shared" si="43"/>
        <v/>
      </c>
      <c r="MN111" s="177" t="str">
        <f t="shared" si="44"/>
        <v/>
      </c>
      <c r="MO111" s="533"/>
      <c r="MP111" s="533"/>
      <c r="MQ111" s="533"/>
      <c r="MR111" s="534"/>
      <c r="MS111" s="534"/>
      <c r="MT111" s="534"/>
      <c r="MU111" s="534"/>
      <c r="MV111" s="177" t="str">
        <f t="shared" si="45"/>
        <v/>
      </c>
      <c r="NA111" s="177" t="str">
        <f t="shared" si="46"/>
        <v/>
      </c>
      <c r="NB111" s="533"/>
      <c r="NC111" s="533"/>
      <c r="ND111" s="533"/>
      <c r="NE111" s="534"/>
      <c r="NF111" s="534"/>
      <c r="NG111" s="534"/>
      <c r="NH111" s="534"/>
      <c r="NI111" s="177" t="str">
        <f t="shared" si="47"/>
        <v/>
      </c>
      <c r="NN111" s="177" t="str">
        <f t="shared" si="48"/>
        <v/>
      </c>
      <c r="NO111" s="533"/>
      <c r="NP111" s="533"/>
      <c r="NQ111" s="533"/>
      <c r="NR111" s="534"/>
      <c r="NS111" s="534"/>
      <c r="NT111" s="534"/>
      <c r="NU111" s="534"/>
      <c r="NV111" s="177" t="str">
        <f t="shared" si="49"/>
        <v/>
      </c>
    </row>
    <row r="112" spans="1:386" s="41" customFormat="1" ht="18" customHeight="1" x14ac:dyDescent="0.2">
      <c r="A112" s="177" t="str">
        <f>IF(B112&lt;&gt;"",15,"")</f>
        <v/>
      </c>
      <c r="B112" s="533"/>
      <c r="C112" s="533"/>
      <c r="D112" s="533"/>
      <c r="E112" s="534"/>
      <c r="F112" s="534"/>
      <c r="G112" s="535"/>
      <c r="H112" s="535"/>
      <c r="I112" s="177" t="str">
        <f t="shared" si="0"/>
        <v/>
      </c>
      <c r="N112" s="177" t="str">
        <f>IF(O112&lt;&gt;"",40,"")</f>
        <v/>
      </c>
      <c r="O112" s="533"/>
      <c r="P112" s="533"/>
      <c r="Q112" s="533"/>
      <c r="R112" s="534"/>
      <c r="S112" s="534"/>
      <c r="T112" s="534"/>
      <c r="U112" s="534"/>
      <c r="V112" s="177" t="str">
        <f t="shared" si="1"/>
        <v/>
      </c>
      <c r="AA112" s="177" t="str">
        <f>IF(AB112&lt;&gt;"",65,"")</f>
        <v/>
      </c>
      <c r="AB112" s="533"/>
      <c r="AC112" s="533"/>
      <c r="AD112" s="533"/>
      <c r="AE112" s="534"/>
      <c r="AF112" s="534"/>
      <c r="AG112" s="534"/>
      <c r="AH112" s="534"/>
      <c r="AI112" s="177" t="str">
        <f t="shared" si="2"/>
        <v/>
      </c>
      <c r="AN112" s="177" t="str">
        <f>IF(AO112&lt;&gt;"",90,"")</f>
        <v/>
      </c>
      <c r="AO112" s="533"/>
      <c r="AP112" s="533"/>
      <c r="AQ112" s="533"/>
      <c r="AR112" s="534"/>
      <c r="AS112" s="534"/>
      <c r="AT112" s="534"/>
      <c r="AU112" s="534"/>
      <c r="AV112" s="177" t="str">
        <f t="shared" si="3"/>
        <v/>
      </c>
      <c r="BA112" s="177" t="str">
        <f>IF(BB112&lt;&gt;"",115,"")</f>
        <v/>
      </c>
      <c r="BB112" s="533"/>
      <c r="BC112" s="533"/>
      <c r="BD112" s="533"/>
      <c r="BE112" s="534"/>
      <c r="BF112" s="534"/>
      <c r="BG112" s="534"/>
      <c r="BH112" s="534"/>
      <c r="BI112" s="177" t="str">
        <f t="shared" si="4"/>
        <v/>
      </c>
      <c r="BN112" s="177" t="str">
        <f>IF(BO112&lt;&gt;"",140,"")</f>
        <v/>
      </c>
      <c r="BO112" s="533"/>
      <c r="BP112" s="533"/>
      <c r="BQ112" s="533"/>
      <c r="BR112" s="534"/>
      <c r="BS112" s="534"/>
      <c r="BT112" s="534"/>
      <c r="BU112" s="534"/>
      <c r="BV112" s="177" t="str">
        <f t="shared" si="5"/>
        <v/>
      </c>
      <c r="CA112" s="177" t="str">
        <f>IF(CB112&lt;&gt;"",165,"")</f>
        <v/>
      </c>
      <c r="CB112" s="533"/>
      <c r="CC112" s="533"/>
      <c r="CD112" s="533"/>
      <c r="CE112" s="534"/>
      <c r="CF112" s="534"/>
      <c r="CG112" s="534"/>
      <c r="CH112" s="534"/>
      <c r="CI112" s="177" t="str">
        <f t="shared" si="6"/>
        <v/>
      </c>
      <c r="CN112" s="177" t="str">
        <f>IF(CO112&lt;&gt;"",190,"")</f>
        <v/>
      </c>
      <c r="CO112" s="533"/>
      <c r="CP112" s="533"/>
      <c r="CQ112" s="533"/>
      <c r="CR112" s="534"/>
      <c r="CS112" s="534"/>
      <c r="CT112" s="534"/>
      <c r="CU112" s="534"/>
      <c r="CV112" s="177" t="str">
        <f t="shared" si="7"/>
        <v/>
      </c>
      <c r="DA112" s="177" t="str">
        <f>IF(DB112&lt;&gt;"",215,"")</f>
        <v/>
      </c>
      <c r="DB112" s="533"/>
      <c r="DC112" s="533"/>
      <c r="DD112" s="533"/>
      <c r="DE112" s="534"/>
      <c r="DF112" s="534"/>
      <c r="DG112" s="534"/>
      <c r="DH112" s="534"/>
      <c r="DI112" s="177" t="str">
        <f t="shared" si="8"/>
        <v/>
      </c>
      <c r="DN112" s="177" t="str">
        <f>IF(DO112&lt;&gt;"",240,"")</f>
        <v/>
      </c>
      <c r="DO112" s="533"/>
      <c r="DP112" s="533"/>
      <c r="DQ112" s="533"/>
      <c r="DR112" s="534"/>
      <c r="DS112" s="534"/>
      <c r="DT112" s="534"/>
      <c r="DU112" s="534"/>
      <c r="DV112" s="177" t="str">
        <f t="shared" si="9"/>
        <v/>
      </c>
      <c r="EA112" s="177" t="str">
        <f t="shared" si="10"/>
        <v/>
      </c>
      <c r="EB112" s="533"/>
      <c r="EC112" s="533"/>
      <c r="ED112" s="533"/>
      <c r="EE112" s="534"/>
      <c r="EF112" s="534"/>
      <c r="EG112" s="534"/>
      <c r="EH112" s="534"/>
      <c r="EI112" s="177" t="str">
        <f t="shared" si="11"/>
        <v/>
      </c>
      <c r="EN112" s="177" t="str">
        <f t="shared" si="12"/>
        <v/>
      </c>
      <c r="EO112" s="533"/>
      <c r="EP112" s="533"/>
      <c r="EQ112" s="533"/>
      <c r="ER112" s="534"/>
      <c r="ES112" s="534"/>
      <c r="ET112" s="534"/>
      <c r="EU112" s="534"/>
      <c r="EV112" s="177" t="str">
        <f t="shared" si="13"/>
        <v/>
      </c>
      <c r="FA112" s="177" t="str">
        <f t="shared" si="14"/>
        <v/>
      </c>
      <c r="FB112" s="533"/>
      <c r="FC112" s="533"/>
      <c r="FD112" s="533"/>
      <c r="FE112" s="534"/>
      <c r="FF112" s="534"/>
      <c r="FG112" s="534"/>
      <c r="FH112" s="534"/>
      <c r="FI112" s="177" t="str">
        <f t="shared" si="15"/>
        <v/>
      </c>
      <c r="FN112" s="177" t="str">
        <f t="shared" si="16"/>
        <v/>
      </c>
      <c r="FO112" s="533"/>
      <c r="FP112" s="533"/>
      <c r="FQ112" s="533"/>
      <c r="FR112" s="534"/>
      <c r="FS112" s="534"/>
      <c r="FT112" s="534"/>
      <c r="FU112" s="534"/>
      <c r="FV112" s="177" t="str">
        <f t="shared" si="17"/>
        <v/>
      </c>
      <c r="GA112" s="177" t="str">
        <f t="shared" si="18"/>
        <v/>
      </c>
      <c r="GB112" s="533"/>
      <c r="GC112" s="533"/>
      <c r="GD112" s="533"/>
      <c r="GE112" s="534"/>
      <c r="GF112" s="534"/>
      <c r="GG112" s="534"/>
      <c r="GH112" s="534"/>
      <c r="GI112" s="177" t="str">
        <f t="shared" si="19"/>
        <v/>
      </c>
      <c r="GN112" s="177" t="str">
        <f t="shared" si="20"/>
        <v/>
      </c>
      <c r="GO112" s="533"/>
      <c r="GP112" s="533"/>
      <c r="GQ112" s="533"/>
      <c r="GR112" s="534"/>
      <c r="GS112" s="534"/>
      <c r="GT112" s="534"/>
      <c r="GU112" s="534"/>
      <c r="GV112" s="177" t="str">
        <f t="shared" si="21"/>
        <v/>
      </c>
      <c r="HA112" s="177" t="str">
        <f t="shared" si="22"/>
        <v/>
      </c>
      <c r="HB112" s="533"/>
      <c r="HC112" s="533"/>
      <c r="HD112" s="533"/>
      <c r="HE112" s="534"/>
      <c r="HF112" s="534"/>
      <c r="HG112" s="534"/>
      <c r="HH112" s="534"/>
      <c r="HI112" s="177" t="str">
        <f t="shared" si="23"/>
        <v/>
      </c>
      <c r="HN112" s="177" t="str">
        <f t="shared" si="24"/>
        <v/>
      </c>
      <c r="HO112" s="533"/>
      <c r="HP112" s="533"/>
      <c r="HQ112" s="533"/>
      <c r="HR112" s="534"/>
      <c r="HS112" s="534"/>
      <c r="HT112" s="534"/>
      <c r="HU112" s="534"/>
      <c r="HV112" s="177" t="str">
        <f t="shared" si="25"/>
        <v/>
      </c>
      <c r="IA112" s="177" t="str">
        <f t="shared" si="26"/>
        <v/>
      </c>
      <c r="IB112" s="533"/>
      <c r="IC112" s="533"/>
      <c r="ID112" s="533"/>
      <c r="IE112" s="534"/>
      <c r="IF112" s="534"/>
      <c r="IG112" s="534"/>
      <c r="IH112" s="534"/>
      <c r="II112" s="177" t="str">
        <f t="shared" si="27"/>
        <v/>
      </c>
      <c r="IN112" s="177" t="str">
        <f t="shared" si="28"/>
        <v/>
      </c>
      <c r="IO112" s="533"/>
      <c r="IP112" s="533"/>
      <c r="IQ112" s="533"/>
      <c r="IR112" s="534"/>
      <c r="IS112" s="534"/>
      <c r="IT112" s="534"/>
      <c r="IU112" s="534"/>
      <c r="IV112" s="177" t="str">
        <f t="shared" si="29"/>
        <v/>
      </c>
      <c r="JA112" s="177" t="str">
        <f t="shared" si="30"/>
        <v/>
      </c>
      <c r="JB112" s="533"/>
      <c r="JC112" s="533"/>
      <c r="JD112" s="533"/>
      <c r="JE112" s="534"/>
      <c r="JF112" s="534"/>
      <c r="JG112" s="534"/>
      <c r="JH112" s="534"/>
      <c r="JI112" s="177" t="str">
        <f t="shared" si="31"/>
        <v/>
      </c>
      <c r="JN112" s="177" t="str">
        <f t="shared" si="32"/>
        <v/>
      </c>
      <c r="JO112" s="533"/>
      <c r="JP112" s="533"/>
      <c r="JQ112" s="533"/>
      <c r="JR112" s="534"/>
      <c r="JS112" s="534"/>
      <c r="JT112" s="534"/>
      <c r="JU112" s="534"/>
      <c r="JV112" s="177" t="str">
        <f t="shared" si="33"/>
        <v/>
      </c>
      <c r="KA112" s="177" t="str">
        <f t="shared" si="34"/>
        <v/>
      </c>
      <c r="KB112" s="533"/>
      <c r="KC112" s="533"/>
      <c r="KD112" s="533"/>
      <c r="KE112" s="534"/>
      <c r="KF112" s="534"/>
      <c r="KG112" s="534"/>
      <c r="KH112" s="534"/>
      <c r="KI112" s="177" t="str">
        <f t="shared" si="35"/>
        <v/>
      </c>
      <c r="KN112" s="177" t="str">
        <f t="shared" si="36"/>
        <v/>
      </c>
      <c r="KO112" s="533"/>
      <c r="KP112" s="533"/>
      <c r="KQ112" s="533"/>
      <c r="KR112" s="534"/>
      <c r="KS112" s="534"/>
      <c r="KT112" s="534"/>
      <c r="KU112" s="534"/>
      <c r="KV112" s="177" t="str">
        <f t="shared" si="37"/>
        <v/>
      </c>
      <c r="LA112" s="177" t="str">
        <f t="shared" si="38"/>
        <v/>
      </c>
      <c r="LB112" s="533"/>
      <c r="LC112" s="533"/>
      <c r="LD112" s="533"/>
      <c r="LE112" s="534"/>
      <c r="LF112" s="534"/>
      <c r="LG112" s="534"/>
      <c r="LH112" s="534"/>
      <c r="LI112" s="177" t="str">
        <f t="shared" si="39"/>
        <v/>
      </c>
      <c r="LN112" s="177" t="str">
        <f t="shared" si="40"/>
        <v/>
      </c>
      <c r="LO112" s="533"/>
      <c r="LP112" s="533"/>
      <c r="LQ112" s="533"/>
      <c r="LR112" s="534"/>
      <c r="LS112" s="534"/>
      <c r="LT112" s="535"/>
      <c r="LU112" s="534"/>
      <c r="LV112" s="177" t="str">
        <f t="shared" si="41"/>
        <v/>
      </c>
      <c r="MA112" s="177" t="str">
        <f t="shared" si="42"/>
        <v/>
      </c>
      <c r="MB112" s="533"/>
      <c r="MC112" s="533"/>
      <c r="MD112" s="533"/>
      <c r="ME112" s="534"/>
      <c r="MF112" s="534"/>
      <c r="MG112" s="534"/>
      <c r="MH112" s="534"/>
      <c r="MI112" s="177" t="str">
        <f t="shared" si="43"/>
        <v/>
      </c>
      <c r="MN112" s="177" t="str">
        <f t="shared" si="44"/>
        <v/>
      </c>
      <c r="MO112" s="533"/>
      <c r="MP112" s="533"/>
      <c r="MQ112" s="533"/>
      <c r="MR112" s="534"/>
      <c r="MS112" s="534"/>
      <c r="MT112" s="534"/>
      <c r="MU112" s="534"/>
      <c r="MV112" s="177" t="str">
        <f t="shared" si="45"/>
        <v/>
      </c>
      <c r="NA112" s="177" t="str">
        <f t="shared" si="46"/>
        <v/>
      </c>
      <c r="NB112" s="533"/>
      <c r="NC112" s="533"/>
      <c r="ND112" s="533"/>
      <c r="NE112" s="534"/>
      <c r="NF112" s="534"/>
      <c r="NG112" s="534"/>
      <c r="NH112" s="534"/>
      <c r="NI112" s="177" t="str">
        <f t="shared" si="47"/>
        <v/>
      </c>
      <c r="NN112" s="177" t="str">
        <f t="shared" si="48"/>
        <v/>
      </c>
      <c r="NO112" s="533"/>
      <c r="NP112" s="533"/>
      <c r="NQ112" s="533"/>
      <c r="NR112" s="534"/>
      <c r="NS112" s="534"/>
      <c r="NT112" s="534"/>
      <c r="NU112" s="534"/>
      <c r="NV112" s="177" t="str">
        <f t="shared" si="49"/>
        <v/>
      </c>
    </row>
    <row r="113" spans="1:387" s="41" customFormat="1" ht="18" customHeight="1" x14ac:dyDescent="0.2">
      <c r="A113" s="177" t="str">
        <f>IF(B113&lt;&gt;"",16,"")</f>
        <v/>
      </c>
      <c r="B113" s="533"/>
      <c r="C113" s="533"/>
      <c r="D113" s="533"/>
      <c r="E113" s="534"/>
      <c r="F113" s="534"/>
      <c r="G113" s="535"/>
      <c r="H113" s="535"/>
      <c r="I113" s="177" t="str">
        <f t="shared" si="0"/>
        <v/>
      </c>
      <c r="N113" s="177" t="str">
        <f>IF(O113&lt;&gt;"",41,"")</f>
        <v/>
      </c>
      <c r="O113" s="533"/>
      <c r="P113" s="533"/>
      <c r="Q113" s="533"/>
      <c r="R113" s="534"/>
      <c r="S113" s="534"/>
      <c r="T113" s="534"/>
      <c r="U113" s="534"/>
      <c r="V113" s="177" t="str">
        <f t="shared" si="1"/>
        <v/>
      </c>
      <c r="AA113" s="177" t="str">
        <f>IF(AB113&lt;&gt;"",66,"")</f>
        <v/>
      </c>
      <c r="AB113" s="533"/>
      <c r="AC113" s="533"/>
      <c r="AD113" s="533"/>
      <c r="AE113" s="534"/>
      <c r="AF113" s="534"/>
      <c r="AG113" s="534"/>
      <c r="AH113" s="534"/>
      <c r="AI113" s="177" t="str">
        <f t="shared" si="2"/>
        <v/>
      </c>
      <c r="AN113" s="177" t="str">
        <f>IF(AO113&lt;&gt;"",91,"")</f>
        <v/>
      </c>
      <c r="AO113" s="533"/>
      <c r="AP113" s="533"/>
      <c r="AQ113" s="533"/>
      <c r="AR113" s="534"/>
      <c r="AS113" s="534"/>
      <c r="AT113" s="534"/>
      <c r="AU113" s="534"/>
      <c r="AV113" s="177" t="str">
        <f t="shared" si="3"/>
        <v/>
      </c>
      <c r="BA113" s="177" t="str">
        <f>IF(BB113&lt;&gt;"",116,"")</f>
        <v/>
      </c>
      <c r="BB113" s="533"/>
      <c r="BC113" s="533"/>
      <c r="BD113" s="533"/>
      <c r="BE113" s="534"/>
      <c r="BF113" s="534"/>
      <c r="BG113" s="534"/>
      <c r="BH113" s="534"/>
      <c r="BI113" s="177" t="str">
        <f t="shared" si="4"/>
        <v/>
      </c>
      <c r="BN113" s="177" t="str">
        <f>IF(BO113&lt;&gt;"",141,"")</f>
        <v/>
      </c>
      <c r="BO113" s="533"/>
      <c r="BP113" s="533"/>
      <c r="BQ113" s="533"/>
      <c r="BR113" s="534"/>
      <c r="BS113" s="534"/>
      <c r="BT113" s="534"/>
      <c r="BU113" s="534"/>
      <c r="BV113" s="177" t="str">
        <f t="shared" si="5"/>
        <v/>
      </c>
      <c r="CA113" s="177" t="str">
        <f>IF(CB113&lt;&gt;"",166,"")</f>
        <v/>
      </c>
      <c r="CB113" s="533"/>
      <c r="CC113" s="533"/>
      <c r="CD113" s="533"/>
      <c r="CE113" s="534"/>
      <c r="CF113" s="534"/>
      <c r="CG113" s="534"/>
      <c r="CH113" s="534"/>
      <c r="CI113" s="177" t="str">
        <f t="shared" si="6"/>
        <v/>
      </c>
      <c r="CN113" s="177" t="str">
        <f>IF(CO113&lt;&gt;"",191,"")</f>
        <v/>
      </c>
      <c r="CO113" s="533"/>
      <c r="CP113" s="533"/>
      <c r="CQ113" s="533"/>
      <c r="CR113" s="534"/>
      <c r="CS113" s="534"/>
      <c r="CT113" s="534"/>
      <c r="CU113" s="534"/>
      <c r="CV113" s="177" t="str">
        <f t="shared" si="7"/>
        <v/>
      </c>
      <c r="DA113" s="177" t="str">
        <f>IF(DB113&lt;&gt;"",216,"")</f>
        <v/>
      </c>
      <c r="DB113" s="533"/>
      <c r="DC113" s="533"/>
      <c r="DD113" s="533"/>
      <c r="DE113" s="534"/>
      <c r="DF113" s="534"/>
      <c r="DG113" s="534"/>
      <c r="DH113" s="534"/>
      <c r="DI113" s="177" t="str">
        <f t="shared" si="8"/>
        <v/>
      </c>
      <c r="DN113" s="177" t="str">
        <f>IF(DO113&lt;&gt;"",241,"")</f>
        <v/>
      </c>
      <c r="DO113" s="533"/>
      <c r="DP113" s="533"/>
      <c r="DQ113" s="533"/>
      <c r="DR113" s="534"/>
      <c r="DS113" s="534"/>
      <c r="DT113" s="534"/>
      <c r="DU113" s="534"/>
      <c r="DV113" s="177" t="str">
        <f t="shared" si="9"/>
        <v/>
      </c>
      <c r="EA113" s="177" t="str">
        <f t="shared" si="10"/>
        <v/>
      </c>
      <c r="EB113" s="533"/>
      <c r="EC113" s="533"/>
      <c r="ED113" s="533"/>
      <c r="EE113" s="534"/>
      <c r="EF113" s="534"/>
      <c r="EG113" s="534"/>
      <c r="EH113" s="534"/>
      <c r="EI113" s="177" t="str">
        <f t="shared" si="11"/>
        <v/>
      </c>
      <c r="EN113" s="177" t="str">
        <f t="shared" si="12"/>
        <v/>
      </c>
      <c r="EO113" s="533"/>
      <c r="EP113" s="533"/>
      <c r="EQ113" s="533"/>
      <c r="ER113" s="534"/>
      <c r="ES113" s="534"/>
      <c r="ET113" s="534"/>
      <c r="EU113" s="534"/>
      <c r="EV113" s="177" t="str">
        <f t="shared" si="13"/>
        <v/>
      </c>
      <c r="FA113" s="177" t="str">
        <f t="shared" si="14"/>
        <v/>
      </c>
      <c r="FB113" s="533"/>
      <c r="FC113" s="533"/>
      <c r="FD113" s="533"/>
      <c r="FE113" s="534"/>
      <c r="FF113" s="534"/>
      <c r="FG113" s="534"/>
      <c r="FH113" s="534"/>
      <c r="FI113" s="177" t="str">
        <f t="shared" si="15"/>
        <v/>
      </c>
      <c r="FN113" s="177" t="str">
        <f t="shared" si="16"/>
        <v/>
      </c>
      <c r="FO113" s="533"/>
      <c r="FP113" s="533"/>
      <c r="FQ113" s="533"/>
      <c r="FR113" s="534"/>
      <c r="FS113" s="534"/>
      <c r="FT113" s="534"/>
      <c r="FU113" s="534"/>
      <c r="FV113" s="177" t="str">
        <f t="shared" si="17"/>
        <v/>
      </c>
      <c r="GA113" s="177" t="str">
        <f t="shared" si="18"/>
        <v/>
      </c>
      <c r="GB113" s="533"/>
      <c r="GC113" s="533"/>
      <c r="GD113" s="533"/>
      <c r="GE113" s="534"/>
      <c r="GF113" s="534"/>
      <c r="GG113" s="534"/>
      <c r="GH113" s="534"/>
      <c r="GI113" s="177" t="str">
        <f t="shared" si="19"/>
        <v/>
      </c>
      <c r="GN113" s="177" t="str">
        <f t="shared" si="20"/>
        <v/>
      </c>
      <c r="GO113" s="533"/>
      <c r="GP113" s="533"/>
      <c r="GQ113" s="533"/>
      <c r="GR113" s="534"/>
      <c r="GS113" s="534"/>
      <c r="GT113" s="534"/>
      <c r="GU113" s="534"/>
      <c r="GV113" s="177" t="str">
        <f t="shared" si="21"/>
        <v/>
      </c>
      <c r="HA113" s="177" t="str">
        <f t="shared" si="22"/>
        <v/>
      </c>
      <c r="HB113" s="533"/>
      <c r="HC113" s="533"/>
      <c r="HD113" s="533"/>
      <c r="HE113" s="534"/>
      <c r="HF113" s="534"/>
      <c r="HG113" s="534"/>
      <c r="HH113" s="534"/>
      <c r="HI113" s="177" t="str">
        <f t="shared" si="23"/>
        <v/>
      </c>
      <c r="HN113" s="177" t="str">
        <f t="shared" si="24"/>
        <v/>
      </c>
      <c r="HO113" s="533"/>
      <c r="HP113" s="533"/>
      <c r="HQ113" s="533"/>
      <c r="HR113" s="534"/>
      <c r="HS113" s="534"/>
      <c r="HT113" s="534"/>
      <c r="HU113" s="534"/>
      <c r="HV113" s="177" t="str">
        <f t="shared" si="25"/>
        <v/>
      </c>
      <c r="IA113" s="177" t="str">
        <f t="shared" si="26"/>
        <v/>
      </c>
      <c r="IB113" s="533"/>
      <c r="IC113" s="533"/>
      <c r="ID113" s="533"/>
      <c r="IE113" s="534"/>
      <c r="IF113" s="534"/>
      <c r="IG113" s="534"/>
      <c r="IH113" s="534"/>
      <c r="II113" s="177" t="str">
        <f t="shared" si="27"/>
        <v/>
      </c>
      <c r="IN113" s="177" t="str">
        <f t="shared" si="28"/>
        <v/>
      </c>
      <c r="IO113" s="533"/>
      <c r="IP113" s="533"/>
      <c r="IQ113" s="533"/>
      <c r="IR113" s="534"/>
      <c r="IS113" s="534"/>
      <c r="IT113" s="534"/>
      <c r="IU113" s="534"/>
      <c r="IV113" s="177" t="str">
        <f t="shared" si="29"/>
        <v/>
      </c>
      <c r="JA113" s="177" t="str">
        <f t="shared" si="30"/>
        <v/>
      </c>
      <c r="JB113" s="533"/>
      <c r="JC113" s="533"/>
      <c r="JD113" s="533"/>
      <c r="JE113" s="534"/>
      <c r="JF113" s="534"/>
      <c r="JG113" s="534"/>
      <c r="JH113" s="534"/>
      <c r="JI113" s="177" t="str">
        <f t="shared" si="31"/>
        <v/>
      </c>
      <c r="JN113" s="177" t="str">
        <f t="shared" si="32"/>
        <v/>
      </c>
      <c r="JO113" s="533"/>
      <c r="JP113" s="533"/>
      <c r="JQ113" s="533"/>
      <c r="JR113" s="534"/>
      <c r="JS113" s="534"/>
      <c r="JT113" s="534"/>
      <c r="JU113" s="534"/>
      <c r="JV113" s="177" t="str">
        <f t="shared" si="33"/>
        <v/>
      </c>
      <c r="KA113" s="177" t="str">
        <f t="shared" si="34"/>
        <v/>
      </c>
      <c r="KB113" s="533"/>
      <c r="KC113" s="533"/>
      <c r="KD113" s="533"/>
      <c r="KE113" s="534"/>
      <c r="KF113" s="534"/>
      <c r="KG113" s="534"/>
      <c r="KH113" s="534"/>
      <c r="KI113" s="177" t="str">
        <f t="shared" si="35"/>
        <v/>
      </c>
      <c r="KN113" s="177" t="str">
        <f t="shared" si="36"/>
        <v/>
      </c>
      <c r="KO113" s="533"/>
      <c r="KP113" s="533"/>
      <c r="KQ113" s="533"/>
      <c r="KR113" s="534"/>
      <c r="KS113" s="534"/>
      <c r="KT113" s="534"/>
      <c r="KU113" s="534"/>
      <c r="KV113" s="177" t="str">
        <f t="shared" si="37"/>
        <v/>
      </c>
      <c r="LA113" s="177" t="str">
        <f t="shared" si="38"/>
        <v/>
      </c>
      <c r="LB113" s="533"/>
      <c r="LC113" s="533"/>
      <c r="LD113" s="533"/>
      <c r="LE113" s="534"/>
      <c r="LF113" s="534"/>
      <c r="LG113" s="534"/>
      <c r="LH113" s="534"/>
      <c r="LI113" s="177" t="str">
        <f t="shared" si="39"/>
        <v/>
      </c>
      <c r="LN113" s="177" t="str">
        <f t="shared" si="40"/>
        <v/>
      </c>
      <c r="LO113" s="533"/>
      <c r="LP113" s="533"/>
      <c r="LQ113" s="533"/>
      <c r="LR113" s="534"/>
      <c r="LS113" s="534"/>
      <c r="LT113" s="534"/>
      <c r="LU113" s="534"/>
      <c r="LV113" s="177" t="str">
        <f t="shared" si="41"/>
        <v/>
      </c>
      <c r="MA113" s="177" t="str">
        <f t="shared" si="42"/>
        <v/>
      </c>
      <c r="MB113" s="533"/>
      <c r="MC113" s="533"/>
      <c r="MD113" s="533"/>
      <c r="ME113" s="534"/>
      <c r="MF113" s="534"/>
      <c r="MG113" s="534"/>
      <c r="MH113" s="534"/>
      <c r="MI113" s="177" t="str">
        <f t="shared" si="43"/>
        <v/>
      </c>
      <c r="MN113" s="177" t="str">
        <f t="shared" si="44"/>
        <v/>
      </c>
      <c r="MO113" s="533"/>
      <c r="MP113" s="533"/>
      <c r="MQ113" s="533"/>
      <c r="MR113" s="534"/>
      <c r="MS113" s="534"/>
      <c r="MT113" s="534"/>
      <c r="MU113" s="534"/>
      <c r="MV113" s="177" t="str">
        <f t="shared" si="45"/>
        <v/>
      </c>
      <c r="NA113" s="177" t="str">
        <f t="shared" si="46"/>
        <v/>
      </c>
      <c r="NB113" s="533"/>
      <c r="NC113" s="533"/>
      <c r="ND113" s="533"/>
      <c r="NE113" s="534"/>
      <c r="NF113" s="534"/>
      <c r="NG113" s="534"/>
      <c r="NH113" s="534"/>
      <c r="NI113" s="177" t="str">
        <f t="shared" si="47"/>
        <v/>
      </c>
      <c r="NN113" s="177" t="str">
        <f t="shared" si="48"/>
        <v/>
      </c>
      <c r="NO113" s="533"/>
      <c r="NP113" s="533"/>
      <c r="NQ113" s="533"/>
      <c r="NR113" s="534"/>
      <c r="NS113" s="534"/>
      <c r="NT113" s="534"/>
      <c r="NU113" s="534"/>
      <c r="NV113" s="177" t="str">
        <f t="shared" si="49"/>
        <v/>
      </c>
    </row>
    <row r="114" spans="1:387" s="41" customFormat="1" ht="18" customHeight="1" x14ac:dyDescent="0.2">
      <c r="A114" s="177" t="str">
        <f>IF(B114&lt;&gt;"",17,"")</f>
        <v/>
      </c>
      <c r="B114" s="533"/>
      <c r="C114" s="533"/>
      <c r="D114" s="533"/>
      <c r="E114" s="534"/>
      <c r="F114" s="534"/>
      <c r="G114" s="535"/>
      <c r="H114" s="535"/>
      <c r="I114" s="177" t="str">
        <f t="shared" si="0"/>
        <v/>
      </c>
      <c r="N114" s="177" t="str">
        <f>IF(O114&lt;&gt;"",42,"")</f>
        <v/>
      </c>
      <c r="O114" s="533"/>
      <c r="P114" s="533"/>
      <c r="Q114" s="533"/>
      <c r="R114" s="534"/>
      <c r="S114" s="534"/>
      <c r="T114" s="534"/>
      <c r="U114" s="534"/>
      <c r="V114" s="177" t="str">
        <f t="shared" si="1"/>
        <v/>
      </c>
      <c r="AA114" s="177" t="str">
        <f>IF(AB114&lt;&gt;"",67,"")</f>
        <v/>
      </c>
      <c r="AB114" s="533"/>
      <c r="AC114" s="533"/>
      <c r="AD114" s="533"/>
      <c r="AE114" s="534"/>
      <c r="AF114" s="534"/>
      <c r="AG114" s="534"/>
      <c r="AH114" s="534"/>
      <c r="AI114" s="177" t="str">
        <f t="shared" si="2"/>
        <v/>
      </c>
      <c r="AN114" s="177" t="str">
        <f>IF(AO114&lt;&gt;"",92,"")</f>
        <v/>
      </c>
      <c r="AO114" s="533"/>
      <c r="AP114" s="533"/>
      <c r="AQ114" s="533"/>
      <c r="AR114" s="534"/>
      <c r="AS114" s="534"/>
      <c r="AT114" s="534"/>
      <c r="AU114" s="534"/>
      <c r="AV114" s="177" t="str">
        <f t="shared" si="3"/>
        <v/>
      </c>
      <c r="BA114" s="177" t="str">
        <f>IF(BB114&lt;&gt;"",117,"")</f>
        <v/>
      </c>
      <c r="BB114" s="533"/>
      <c r="BC114" s="533"/>
      <c r="BD114" s="533"/>
      <c r="BE114" s="534"/>
      <c r="BF114" s="534"/>
      <c r="BG114" s="534"/>
      <c r="BH114" s="534"/>
      <c r="BI114" s="177" t="str">
        <f t="shared" si="4"/>
        <v/>
      </c>
      <c r="BN114" s="177" t="str">
        <f>IF(BO114&lt;&gt;"",142,"")</f>
        <v/>
      </c>
      <c r="BO114" s="533"/>
      <c r="BP114" s="533"/>
      <c r="BQ114" s="533"/>
      <c r="BR114" s="534"/>
      <c r="BS114" s="534"/>
      <c r="BT114" s="534"/>
      <c r="BU114" s="534"/>
      <c r="BV114" s="177" t="str">
        <f t="shared" si="5"/>
        <v/>
      </c>
      <c r="CA114" s="177" t="str">
        <f>IF(CB114&lt;&gt;"",167,"")</f>
        <v/>
      </c>
      <c r="CB114" s="533"/>
      <c r="CC114" s="533"/>
      <c r="CD114" s="533"/>
      <c r="CE114" s="534"/>
      <c r="CF114" s="534"/>
      <c r="CG114" s="534"/>
      <c r="CH114" s="534"/>
      <c r="CI114" s="177" t="str">
        <f t="shared" si="6"/>
        <v/>
      </c>
      <c r="CN114" s="177" t="str">
        <f>IF(CO114&lt;&gt;"",192,"")</f>
        <v/>
      </c>
      <c r="CO114" s="533"/>
      <c r="CP114" s="533"/>
      <c r="CQ114" s="533"/>
      <c r="CR114" s="534"/>
      <c r="CS114" s="534"/>
      <c r="CT114" s="534"/>
      <c r="CU114" s="534"/>
      <c r="CV114" s="177" t="str">
        <f t="shared" si="7"/>
        <v/>
      </c>
      <c r="DA114" s="177" t="str">
        <f>IF(DB114&lt;&gt;"",217,"")</f>
        <v/>
      </c>
      <c r="DB114" s="533"/>
      <c r="DC114" s="533"/>
      <c r="DD114" s="533"/>
      <c r="DE114" s="534"/>
      <c r="DF114" s="534"/>
      <c r="DG114" s="534"/>
      <c r="DH114" s="534"/>
      <c r="DI114" s="177" t="str">
        <f t="shared" si="8"/>
        <v/>
      </c>
      <c r="DN114" s="177" t="str">
        <f>IF(DO114&lt;&gt;"",242,"")</f>
        <v/>
      </c>
      <c r="DO114" s="533"/>
      <c r="DP114" s="533"/>
      <c r="DQ114" s="533"/>
      <c r="DR114" s="534"/>
      <c r="DS114" s="534"/>
      <c r="DT114" s="534"/>
      <c r="DU114" s="534"/>
      <c r="DV114" s="177" t="str">
        <f t="shared" si="9"/>
        <v/>
      </c>
      <c r="EA114" s="177" t="str">
        <f t="shared" si="10"/>
        <v/>
      </c>
      <c r="EB114" s="533"/>
      <c r="EC114" s="533"/>
      <c r="ED114" s="533"/>
      <c r="EE114" s="534"/>
      <c r="EF114" s="534"/>
      <c r="EG114" s="534"/>
      <c r="EH114" s="534"/>
      <c r="EI114" s="177" t="str">
        <f t="shared" si="11"/>
        <v/>
      </c>
      <c r="EN114" s="177" t="str">
        <f t="shared" si="12"/>
        <v/>
      </c>
      <c r="EO114" s="533"/>
      <c r="EP114" s="533"/>
      <c r="EQ114" s="533"/>
      <c r="ER114" s="534"/>
      <c r="ES114" s="534"/>
      <c r="ET114" s="534"/>
      <c r="EU114" s="534"/>
      <c r="EV114" s="177" t="str">
        <f t="shared" si="13"/>
        <v/>
      </c>
      <c r="FA114" s="177" t="str">
        <f t="shared" si="14"/>
        <v/>
      </c>
      <c r="FB114" s="533"/>
      <c r="FC114" s="533"/>
      <c r="FD114" s="533"/>
      <c r="FE114" s="534"/>
      <c r="FF114" s="534"/>
      <c r="FG114" s="534"/>
      <c r="FH114" s="534"/>
      <c r="FI114" s="177" t="str">
        <f t="shared" si="15"/>
        <v/>
      </c>
      <c r="FN114" s="177" t="str">
        <f t="shared" si="16"/>
        <v/>
      </c>
      <c r="FO114" s="533"/>
      <c r="FP114" s="533"/>
      <c r="FQ114" s="533"/>
      <c r="FR114" s="534"/>
      <c r="FS114" s="534"/>
      <c r="FT114" s="534"/>
      <c r="FU114" s="534"/>
      <c r="FV114" s="177" t="str">
        <f t="shared" si="17"/>
        <v/>
      </c>
      <c r="GA114" s="177" t="str">
        <f t="shared" si="18"/>
        <v/>
      </c>
      <c r="GB114" s="533"/>
      <c r="GC114" s="533"/>
      <c r="GD114" s="533"/>
      <c r="GE114" s="534"/>
      <c r="GF114" s="534"/>
      <c r="GG114" s="534"/>
      <c r="GH114" s="534"/>
      <c r="GI114" s="177" t="str">
        <f t="shared" si="19"/>
        <v/>
      </c>
      <c r="GN114" s="177" t="str">
        <f t="shared" si="20"/>
        <v/>
      </c>
      <c r="GO114" s="533"/>
      <c r="GP114" s="533"/>
      <c r="GQ114" s="533"/>
      <c r="GR114" s="534"/>
      <c r="GS114" s="534"/>
      <c r="GT114" s="534"/>
      <c r="GU114" s="534"/>
      <c r="GV114" s="177" t="str">
        <f t="shared" si="21"/>
        <v/>
      </c>
      <c r="HA114" s="177" t="str">
        <f t="shared" si="22"/>
        <v/>
      </c>
      <c r="HB114" s="533"/>
      <c r="HC114" s="533"/>
      <c r="HD114" s="533"/>
      <c r="HE114" s="534"/>
      <c r="HF114" s="534"/>
      <c r="HG114" s="534"/>
      <c r="HH114" s="534"/>
      <c r="HI114" s="177" t="str">
        <f t="shared" si="23"/>
        <v/>
      </c>
      <c r="HN114" s="177" t="str">
        <f t="shared" si="24"/>
        <v/>
      </c>
      <c r="HO114" s="533"/>
      <c r="HP114" s="533"/>
      <c r="HQ114" s="533"/>
      <c r="HR114" s="534"/>
      <c r="HS114" s="534"/>
      <c r="HT114" s="534"/>
      <c r="HU114" s="534"/>
      <c r="HV114" s="177" t="str">
        <f t="shared" si="25"/>
        <v/>
      </c>
      <c r="IA114" s="177" t="str">
        <f t="shared" si="26"/>
        <v/>
      </c>
      <c r="IB114" s="533"/>
      <c r="IC114" s="533"/>
      <c r="ID114" s="533"/>
      <c r="IE114" s="534"/>
      <c r="IF114" s="534"/>
      <c r="IG114" s="534"/>
      <c r="IH114" s="534"/>
      <c r="II114" s="177" t="str">
        <f t="shared" si="27"/>
        <v/>
      </c>
      <c r="IN114" s="177" t="str">
        <f t="shared" si="28"/>
        <v/>
      </c>
      <c r="IO114" s="533"/>
      <c r="IP114" s="533"/>
      <c r="IQ114" s="533"/>
      <c r="IR114" s="534"/>
      <c r="IS114" s="534"/>
      <c r="IT114" s="534"/>
      <c r="IU114" s="534"/>
      <c r="IV114" s="177" t="str">
        <f t="shared" si="29"/>
        <v/>
      </c>
      <c r="JA114" s="177" t="str">
        <f t="shared" si="30"/>
        <v/>
      </c>
      <c r="JB114" s="533"/>
      <c r="JC114" s="533"/>
      <c r="JD114" s="533"/>
      <c r="JE114" s="534"/>
      <c r="JF114" s="534"/>
      <c r="JG114" s="534"/>
      <c r="JH114" s="534"/>
      <c r="JI114" s="177" t="str">
        <f t="shared" si="31"/>
        <v/>
      </c>
      <c r="JN114" s="177" t="str">
        <f t="shared" si="32"/>
        <v/>
      </c>
      <c r="JO114" s="533"/>
      <c r="JP114" s="533"/>
      <c r="JQ114" s="533"/>
      <c r="JR114" s="534"/>
      <c r="JS114" s="534"/>
      <c r="JT114" s="534"/>
      <c r="JU114" s="534"/>
      <c r="JV114" s="177" t="str">
        <f t="shared" si="33"/>
        <v/>
      </c>
      <c r="KA114" s="177" t="str">
        <f t="shared" si="34"/>
        <v/>
      </c>
      <c r="KB114" s="533"/>
      <c r="KC114" s="533"/>
      <c r="KD114" s="533"/>
      <c r="KE114" s="534"/>
      <c r="KF114" s="534"/>
      <c r="KG114" s="534"/>
      <c r="KH114" s="534"/>
      <c r="KI114" s="177" t="str">
        <f t="shared" si="35"/>
        <v/>
      </c>
      <c r="KN114" s="177" t="str">
        <f t="shared" si="36"/>
        <v/>
      </c>
      <c r="KO114" s="533"/>
      <c r="KP114" s="533"/>
      <c r="KQ114" s="533"/>
      <c r="KR114" s="534"/>
      <c r="KS114" s="534"/>
      <c r="KT114" s="534"/>
      <c r="KU114" s="534"/>
      <c r="KV114" s="177" t="str">
        <f t="shared" si="37"/>
        <v/>
      </c>
      <c r="LA114" s="177" t="str">
        <f t="shared" si="38"/>
        <v/>
      </c>
      <c r="LB114" s="533"/>
      <c r="LC114" s="533"/>
      <c r="LD114" s="533"/>
      <c r="LE114" s="534"/>
      <c r="LF114" s="534"/>
      <c r="LG114" s="534"/>
      <c r="LH114" s="534"/>
      <c r="LI114" s="177" t="str">
        <f t="shared" si="39"/>
        <v/>
      </c>
      <c r="LN114" s="177" t="str">
        <f t="shared" si="40"/>
        <v/>
      </c>
      <c r="LO114" s="533"/>
      <c r="LP114" s="533"/>
      <c r="LQ114" s="533"/>
      <c r="LR114" s="534"/>
      <c r="LS114" s="534"/>
      <c r="LT114" s="534"/>
      <c r="LU114" s="534"/>
      <c r="LV114" s="177" t="str">
        <f t="shared" si="41"/>
        <v/>
      </c>
      <c r="MA114" s="177" t="str">
        <f t="shared" si="42"/>
        <v/>
      </c>
      <c r="MB114" s="533"/>
      <c r="MC114" s="533"/>
      <c r="MD114" s="533"/>
      <c r="ME114" s="534"/>
      <c r="MF114" s="534"/>
      <c r="MG114" s="534"/>
      <c r="MH114" s="534"/>
      <c r="MI114" s="177" t="str">
        <f t="shared" si="43"/>
        <v/>
      </c>
      <c r="MN114" s="177" t="str">
        <f t="shared" si="44"/>
        <v/>
      </c>
      <c r="MO114" s="533"/>
      <c r="MP114" s="533"/>
      <c r="MQ114" s="533"/>
      <c r="MR114" s="534"/>
      <c r="MS114" s="534"/>
      <c r="MT114" s="534"/>
      <c r="MU114" s="534"/>
      <c r="MV114" s="177" t="str">
        <f t="shared" si="45"/>
        <v/>
      </c>
      <c r="NA114" s="177" t="str">
        <f t="shared" si="46"/>
        <v/>
      </c>
      <c r="NB114" s="533"/>
      <c r="NC114" s="533"/>
      <c r="ND114" s="533"/>
      <c r="NE114" s="534"/>
      <c r="NF114" s="534"/>
      <c r="NG114" s="534"/>
      <c r="NH114" s="534"/>
      <c r="NI114" s="177" t="str">
        <f t="shared" si="47"/>
        <v/>
      </c>
      <c r="NN114" s="177" t="str">
        <f t="shared" si="48"/>
        <v/>
      </c>
      <c r="NO114" s="533"/>
      <c r="NP114" s="533"/>
      <c r="NQ114" s="533"/>
      <c r="NR114" s="534"/>
      <c r="NS114" s="534"/>
      <c r="NT114" s="534"/>
      <c r="NU114" s="534"/>
      <c r="NV114" s="177" t="str">
        <f t="shared" si="49"/>
        <v/>
      </c>
    </row>
    <row r="115" spans="1:387" s="41" customFormat="1" ht="18" customHeight="1" x14ac:dyDescent="0.2">
      <c r="A115" s="177" t="str">
        <f>IF(B115&lt;&gt;"",18,"")</f>
        <v/>
      </c>
      <c r="B115" s="533"/>
      <c r="C115" s="533"/>
      <c r="D115" s="533"/>
      <c r="E115" s="534"/>
      <c r="F115" s="534"/>
      <c r="G115" s="535"/>
      <c r="H115" s="535"/>
      <c r="I115" s="177" t="str">
        <f t="shared" si="0"/>
        <v/>
      </c>
      <c r="N115" s="177" t="str">
        <f>IF(O115&lt;&gt;"",43,"")</f>
        <v/>
      </c>
      <c r="O115" s="533"/>
      <c r="P115" s="533"/>
      <c r="Q115" s="533"/>
      <c r="R115" s="534"/>
      <c r="S115" s="534"/>
      <c r="T115" s="534"/>
      <c r="U115" s="534"/>
      <c r="V115" s="177" t="str">
        <f t="shared" si="1"/>
        <v/>
      </c>
      <c r="AA115" s="177" t="str">
        <f>IF(AB115&lt;&gt;"",68,"")</f>
        <v/>
      </c>
      <c r="AB115" s="533"/>
      <c r="AC115" s="533"/>
      <c r="AD115" s="533"/>
      <c r="AE115" s="534"/>
      <c r="AF115" s="534"/>
      <c r="AG115" s="534"/>
      <c r="AH115" s="534"/>
      <c r="AI115" s="177" t="str">
        <f t="shared" si="2"/>
        <v/>
      </c>
      <c r="AN115" s="177" t="str">
        <f>IF(AO115&lt;&gt;"",93,"")</f>
        <v/>
      </c>
      <c r="AO115" s="533"/>
      <c r="AP115" s="533"/>
      <c r="AQ115" s="533"/>
      <c r="AR115" s="534"/>
      <c r="AS115" s="534"/>
      <c r="AT115" s="534"/>
      <c r="AU115" s="534"/>
      <c r="AV115" s="177" t="str">
        <f t="shared" si="3"/>
        <v/>
      </c>
      <c r="BA115" s="177" t="str">
        <f>IF(BB115&lt;&gt;"",118,"")</f>
        <v/>
      </c>
      <c r="BB115" s="533"/>
      <c r="BC115" s="533"/>
      <c r="BD115" s="533"/>
      <c r="BE115" s="534"/>
      <c r="BF115" s="534"/>
      <c r="BG115" s="534"/>
      <c r="BH115" s="534"/>
      <c r="BI115" s="177" t="str">
        <f t="shared" si="4"/>
        <v/>
      </c>
      <c r="BN115" s="177" t="str">
        <f>IF(BO115&lt;&gt;"",143,"")</f>
        <v/>
      </c>
      <c r="BO115" s="533"/>
      <c r="BP115" s="533"/>
      <c r="BQ115" s="533"/>
      <c r="BR115" s="534"/>
      <c r="BS115" s="534"/>
      <c r="BT115" s="534"/>
      <c r="BU115" s="534"/>
      <c r="BV115" s="177" t="str">
        <f t="shared" si="5"/>
        <v/>
      </c>
      <c r="CA115" s="177" t="str">
        <f>IF(CB115&lt;&gt;"",168,"")</f>
        <v/>
      </c>
      <c r="CB115" s="533"/>
      <c r="CC115" s="533"/>
      <c r="CD115" s="533"/>
      <c r="CE115" s="534"/>
      <c r="CF115" s="534"/>
      <c r="CG115" s="534"/>
      <c r="CH115" s="534"/>
      <c r="CI115" s="177" t="str">
        <f t="shared" si="6"/>
        <v/>
      </c>
      <c r="CN115" s="177" t="str">
        <f>IF(CO115&lt;&gt;"",193,"")</f>
        <v/>
      </c>
      <c r="CO115" s="533"/>
      <c r="CP115" s="533"/>
      <c r="CQ115" s="533"/>
      <c r="CR115" s="534"/>
      <c r="CS115" s="534"/>
      <c r="CT115" s="534"/>
      <c r="CU115" s="534"/>
      <c r="CV115" s="177" t="str">
        <f t="shared" si="7"/>
        <v/>
      </c>
      <c r="DA115" s="177" t="str">
        <f>IF(DB115&lt;&gt;"",218,"")</f>
        <v/>
      </c>
      <c r="DB115" s="533"/>
      <c r="DC115" s="533"/>
      <c r="DD115" s="533"/>
      <c r="DE115" s="534"/>
      <c r="DF115" s="534"/>
      <c r="DG115" s="534"/>
      <c r="DH115" s="534"/>
      <c r="DI115" s="177" t="str">
        <f t="shared" si="8"/>
        <v/>
      </c>
      <c r="DN115" s="177" t="str">
        <f>IF(DO115&lt;&gt;"",243,"")</f>
        <v/>
      </c>
      <c r="DO115" s="533"/>
      <c r="DP115" s="533"/>
      <c r="DQ115" s="533"/>
      <c r="DR115" s="534"/>
      <c r="DS115" s="534"/>
      <c r="DT115" s="534"/>
      <c r="DU115" s="534"/>
      <c r="DV115" s="177" t="str">
        <f t="shared" si="9"/>
        <v/>
      </c>
      <c r="EA115" s="177" t="str">
        <f t="shared" si="10"/>
        <v/>
      </c>
      <c r="EB115" s="533"/>
      <c r="EC115" s="533"/>
      <c r="ED115" s="533"/>
      <c r="EE115" s="534"/>
      <c r="EF115" s="534"/>
      <c r="EG115" s="534"/>
      <c r="EH115" s="534"/>
      <c r="EI115" s="177" t="str">
        <f t="shared" si="11"/>
        <v/>
      </c>
      <c r="EN115" s="177" t="str">
        <f t="shared" si="12"/>
        <v/>
      </c>
      <c r="EO115" s="533"/>
      <c r="EP115" s="533"/>
      <c r="EQ115" s="533"/>
      <c r="ER115" s="534"/>
      <c r="ES115" s="534"/>
      <c r="ET115" s="534"/>
      <c r="EU115" s="534"/>
      <c r="EV115" s="177" t="str">
        <f t="shared" si="13"/>
        <v/>
      </c>
      <c r="FA115" s="177" t="str">
        <f t="shared" si="14"/>
        <v/>
      </c>
      <c r="FB115" s="533"/>
      <c r="FC115" s="533"/>
      <c r="FD115" s="533"/>
      <c r="FE115" s="534"/>
      <c r="FF115" s="534"/>
      <c r="FG115" s="534"/>
      <c r="FH115" s="534"/>
      <c r="FI115" s="177" t="str">
        <f t="shared" si="15"/>
        <v/>
      </c>
      <c r="FN115" s="177" t="str">
        <f t="shared" si="16"/>
        <v/>
      </c>
      <c r="FO115" s="533"/>
      <c r="FP115" s="533"/>
      <c r="FQ115" s="533"/>
      <c r="FR115" s="534"/>
      <c r="FS115" s="534"/>
      <c r="FT115" s="534"/>
      <c r="FU115" s="534"/>
      <c r="FV115" s="177" t="str">
        <f t="shared" si="17"/>
        <v/>
      </c>
      <c r="GA115" s="177" t="str">
        <f t="shared" si="18"/>
        <v/>
      </c>
      <c r="GB115" s="533"/>
      <c r="GC115" s="533"/>
      <c r="GD115" s="533"/>
      <c r="GE115" s="534"/>
      <c r="GF115" s="534"/>
      <c r="GG115" s="534"/>
      <c r="GH115" s="534"/>
      <c r="GI115" s="177" t="str">
        <f t="shared" si="19"/>
        <v/>
      </c>
      <c r="GN115" s="177" t="str">
        <f t="shared" si="20"/>
        <v/>
      </c>
      <c r="GO115" s="533"/>
      <c r="GP115" s="533"/>
      <c r="GQ115" s="533"/>
      <c r="GR115" s="534"/>
      <c r="GS115" s="534"/>
      <c r="GT115" s="534"/>
      <c r="GU115" s="534"/>
      <c r="GV115" s="177" t="str">
        <f t="shared" si="21"/>
        <v/>
      </c>
      <c r="HA115" s="177" t="str">
        <f t="shared" si="22"/>
        <v/>
      </c>
      <c r="HB115" s="533"/>
      <c r="HC115" s="533"/>
      <c r="HD115" s="533"/>
      <c r="HE115" s="534"/>
      <c r="HF115" s="534"/>
      <c r="HG115" s="534"/>
      <c r="HH115" s="534"/>
      <c r="HI115" s="177" t="str">
        <f t="shared" si="23"/>
        <v/>
      </c>
      <c r="HN115" s="177" t="str">
        <f t="shared" si="24"/>
        <v/>
      </c>
      <c r="HO115" s="533"/>
      <c r="HP115" s="533"/>
      <c r="HQ115" s="533"/>
      <c r="HR115" s="534"/>
      <c r="HS115" s="534"/>
      <c r="HT115" s="534"/>
      <c r="HU115" s="534"/>
      <c r="HV115" s="177" t="str">
        <f t="shared" si="25"/>
        <v/>
      </c>
      <c r="IA115" s="177" t="str">
        <f t="shared" si="26"/>
        <v/>
      </c>
      <c r="IB115" s="533"/>
      <c r="IC115" s="533"/>
      <c r="ID115" s="533"/>
      <c r="IE115" s="534"/>
      <c r="IF115" s="534"/>
      <c r="IG115" s="534"/>
      <c r="IH115" s="534"/>
      <c r="II115" s="177" t="str">
        <f t="shared" si="27"/>
        <v/>
      </c>
      <c r="IN115" s="177" t="str">
        <f t="shared" si="28"/>
        <v/>
      </c>
      <c r="IO115" s="533"/>
      <c r="IP115" s="533"/>
      <c r="IQ115" s="533"/>
      <c r="IR115" s="534"/>
      <c r="IS115" s="534"/>
      <c r="IT115" s="534"/>
      <c r="IU115" s="534"/>
      <c r="IV115" s="177" t="str">
        <f t="shared" si="29"/>
        <v/>
      </c>
      <c r="JA115" s="177" t="str">
        <f t="shared" si="30"/>
        <v/>
      </c>
      <c r="JB115" s="533"/>
      <c r="JC115" s="533"/>
      <c r="JD115" s="533"/>
      <c r="JE115" s="534"/>
      <c r="JF115" s="534"/>
      <c r="JG115" s="534"/>
      <c r="JH115" s="534"/>
      <c r="JI115" s="177" t="str">
        <f t="shared" si="31"/>
        <v/>
      </c>
      <c r="JN115" s="177" t="str">
        <f t="shared" si="32"/>
        <v/>
      </c>
      <c r="JO115" s="533"/>
      <c r="JP115" s="533"/>
      <c r="JQ115" s="533"/>
      <c r="JR115" s="534"/>
      <c r="JS115" s="534"/>
      <c r="JT115" s="534"/>
      <c r="JU115" s="534"/>
      <c r="JV115" s="177" t="str">
        <f t="shared" si="33"/>
        <v/>
      </c>
      <c r="KA115" s="177" t="str">
        <f t="shared" si="34"/>
        <v/>
      </c>
      <c r="KB115" s="533"/>
      <c r="KC115" s="533"/>
      <c r="KD115" s="533"/>
      <c r="KE115" s="534"/>
      <c r="KF115" s="534"/>
      <c r="KG115" s="534"/>
      <c r="KH115" s="534"/>
      <c r="KI115" s="177" t="str">
        <f t="shared" si="35"/>
        <v/>
      </c>
      <c r="KN115" s="177" t="str">
        <f t="shared" si="36"/>
        <v/>
      </c>
      <c r="KO115" s="533"/>
      <c r="KP115" s="533"/>
      <c r="KQ115" s="533"/>
      <c r="KR115" s="534"/>
      <c r="KS115" s="534"/>
      <c r="KT115" s="534"/>
      <c r="KU115" s="534"/>
      <c r="KV115" s="177" t="str">
        <f t="shared" si="37"/>
        <v/>
      </c>
      <c r="LA115" s="177" t="str">
        <f t="shared" si="38"/>
        <v/>
      </c>
      <c r="LB115" s="533"/>
      <c r="LC115" s="533"/>
      <c r="LD115" s="533"/>
      <c r="LE115" s="534"/>
      <c r="LF115" s="534"/>
      <c r="LG115" s="534"/>
      <c r="LH115" s="534"/>
      <c r="LI115" s="177" t="str">
        <f t="shared" si="39"/>
        <v/>
      </c>
      <c r="LN115" s="177" t="str">
        <f t="shared" si="40"/>
        <v/>
      </c>
      <c r="LO115" s="533"/>
      <c r="LP115" s="533"/>
      <c r="LQ115" s="533"/>
      <c r="LR115" s="534"/>
      <c r="LS115" s="534"/>
      <c r="LT115" s="534"/>
      <c r="LU115" s="534"/>
      <c r="LV115" s="177" t="str">
        <f t="shared" si="41"/>
        <v/>
      </c>
      <c r="MA115" s="177" t="str">
        <f t="shared" si="42"/>
        <v/>
      </c>
      <c r="MB115" s="533"/>
      <c r="MC115" s="533"/>
      <c r="MD115" s="533"/>
      <c r="ME115" s="534"/>
      <c r="MF115" s="534"/>
      <c r="MG115" s="534"/>
      <c r="MH115" s="534"/>
      <c r="MI115" s="177" t="str">
        <f t="shared" si="43"/>
        <v/>
      </c>
      <c r="MN115" s="177" t="str">
        <f t="shared" si="44"/>
        <v/>
      </c>
      <c r="MO115" s="533"/>
      <c r="MP115" s="533"/>
      <c r="MQ115" s="533"/>
      <c r="MR115" s="534"/>
      <c r="MS115" s="534"/>
      <c r="MT115" s="534"/>
      <c r="MU115" s="534"/>
      <c r="MV115" s="177" t="str">
        <f t="shared" si="45"/>
        <v/>
      </c>
      <c r="NA115" s="177" t="str">
        <f t="shared" si="46"/>
        <v/>
      </c>
      <c r="NB115" s="533"/>
      <c r="NC115" s="533"/>
      <c r="ND115" s="533"/>
      <c r="NE115" s="534"/>
      <c r="NF115" s="534"/>
      <c r="NG115" s="534"/>
      <c r="NH115" s="534"/>
      <c r="NI115" s="177" t="str">
        <f t="shared" si="47"/>
        <v/>
      </c>
      <c r="NN115" s="177" t="str">
        <f t="shared" si="48"/>
        <v/>
      </c>
      <c r="NO115" s="533"/>
      <c r="NP115" s="533"/>
      <c r="NQ115" s="533"/>
      <c r="NR115" s="534"/>
      <c r="NS115" s="534"/>
      <c r="NT115" s="534"/>
      <c r="NU115" s="534"/>
      <c r="NV115" s="177" t="str">
        <f t="shared" si="49"/>
        <v/>
      </c>
    </row>
    <row r="116" spans="1:387" s="41" customFormat="1" ht="18" customHeight="1" x14ac:dyDescent="0.2">
      <c r="A116" s="177" t="str">
        <f>IF(B116&lt;&gt;"",19,"")</f>
        <v/>
      </c>
      <c r="B116" s="533"/>
      <c r="C116" s="533"/>
      <c r="D116" s="533"/>
      <c r="E116" s="534"/>
      <c r="F116" s="534"/>
      <c r="G116" s="535"/>
      <c r="H116" s="535"/>
      <c r="I116" s="177" t="str">
        <f t="shared" si="0"/>
        <v/>
      </c>
      <c r="N116" s="177" t="str">
        <f>IF(O116&lt;&gt;"",44,"")</f>
        <v/>
      </c>
      <c r="O116" s="533"/>
      <c r="P116" s="533"/>
      <c r="Q116" s="533"/>
      <c r="R116" s="534"/>
      <c r="S116" s="534"/>
      <c r="T116" s="534"/>
      <c r="U116" s="534"/>
      <c r="V116" s="177" t="str">
        <f t="shared" si="1"/>
        <v/>
      </c>
      <c r="AA116" s="177" t="str">
        <f>IF(AB116&lt;&gt;"",69,"")</f>
        <v/>
      </c>
      <c r="AB116" s="533"/>
      <c r="AC116" s="533"/>
      <c r="AD116" s="533"/>
      <c r="AE116" s="534"/>
      <c r="AF116" s="534"/>
      <c r="AG116" s="534"/>
      <c r="AH116" s="534"/>
      <c r="AI116" s="177" t="str">
        <f t="shared" si="2"/>
        <v/>
      </c>
      <c r="AN116" s="177" t="str">
        <f>IF(AO116&lt;&gt;"",94,"")</f>
        <v/>
      </c>
      <c r="AO116" s="533"/>
      <c r="AP116" s="533"/>
      <c r="AQ116" s="533"/>
      <c r="AR116" s="534"/>
      <c r="AS116" s="534"/>
      <c r="AT116" s="534"/>
      <c r="AU116" s="534"/>
      <c r="AV116" s="177" t="str">
        <f t="shared" si="3"/>
        <v/>
      </c>
      <c r="BA116" s="177" t="str">
        <f>IF(BB116&lt;&gt;"",119,"")</f>
        <v/>
      </c>
      <c r="BB116" s="533"/>
      <c r="BC116" s="533"/>
      <c r="BD116" s="533"/>
      <c r="BE116" s="534"/>
      <c r="BF116" s="534"/>
      <c r="BG116" s="534"/>
      <c r="BH116" s="534"/>
      <c r="BI116" s="177" t="str">
        <f t="shared" si="4"/>
        <v/>
      </c>
      <c r="BN116" s="177" t="str">
        <f>IF(BO116&lt;&gt;"",144,"")</f>
        <v/>
      </c>
      <c r="BO116" s="533"/>
      <c r="BP116" s="533"/>
      <c r="BQ116" s="533"/>
      <c r="BR116" s="534"/>
      <c r="BS116" s="534"/>
      <c r="BT116" s="534"/>
      <c r="BU116" s="534"/>
      <c r="BV116" s="177" t="str">
        <f t="shared" si="5"/>
        <v/>
      </c>
      <c r="CA116" s="177" t="str">
        <f>IF(CB116&lt;&gt;"",169,"")</f>
        <v/>
      </c>
      <c r="CB116" s="533"/>
      <c r="CC116" s="533"/>
      <c r="CD116" s="533"/>
      <c r="CE116" s="534"/>
      <c r="CF116" s="534"/>
      <c r="CG116" s="534"/>
      <c r="CH116" s="534"/>
      <c r="CI116" s="177" t="str">
        <f t="shared" si="6"/>
        <v/>
      </c>
      <c r="CN116" s="177" t="str">
        <f>IF(CO116&lt;&gt;"",194,"")</f>
        <v/>
      </c>
      <c r="CO116" s="533"/>
      <c r="CP116" s="533"/>
      <c r="CQ116" s="533"/>
      <c r="CR116" s="534"/>
      <c r="CS116" s="534"/>
      <c r="CT116" s="534"/>
      <c r="CU116" s="534"/>
      <c r="CV116" s="177" t="str">
        <f t="shared" si="7"/>
        <v/>
      </c>
      <c r="DA116" s="177" t="str">
        <f>IF(DB116&lt;&gt;"",219,"")</f>
        <v/>
      </c>
      <c r="DB116" s="533"/>
      <c r="DC116" s="533"/>
      <c r="DD116" s="533"/>
      <c r="DE116" s="534"/>
      <c r="DF116" s="534"/>
      <c r="DG116" s="534"/>
      <c r="DH116" s="534"/>
      <c r="DI116" s="177" t="str">
        <f t="shared" si="8"/>
        <v/>
      </c>
      <c r="DN116" s="177" t="str">
        <f>IF(DO116&lt;&gt;"",244,"")</f>
        <v/>
      </c>
      <c r="DO116" s="533"/>
      <c r="DP116" s="533"/>
      <c r="DQ116" s="533"/>
      <c r="DR116" s="534"/>
      <c r="DS116" s="534"/>
      <c r="DT116" s="534"/>
      <c r="DU116" s="534"/>
      <c r="DV116" s="177" t="str">
        <f t="shared" si="9"/>
        <v/>
      </c>
      <c r="EA116" s="177" t="str">
        <f t="shared" si="10"/>
        <v/>
      </c>
      <c r="EB116" s="533"/>
      <c r="EC116" s="533"/>
      <c r="ED116" s="533"/>
      <c r="EE116" s="534"/>
      <c r="EF116" s="534"/>
      <c r="EG116" s="534"/>
      <c r="EH116" s="534"/>
      <c r="EI116" s="177" t="str">
        <f t="shared" si="11"/>
        <v/>
      </c>
      <c r="EN116" s="177" t="str">
        <f t="shared" si="12"/>
        <v/>
      </c>
      <c r="EO116" s="533"/>
      <c r="EP116" s="533"/>
      <c r="EQ116" s="533"/>
      <c r="ER116" s="534"/>
      <c r="ES116" s="534"/>
      <c r="ET116" s="534"/>
      <c r="EU116" s="534"/>
      <c r="EV116" s="177" t="str">
        <f t="shared" si="13"/>
        <v/>
      </c>
      <c r="FA116" s="177" t="str">
        <f t="shared" si="14"/>
        <v/>
      </c>
      <c r="FB116" s="533"/>
      <c r="FC116" s="533"/>
      <c r="FD116" s="533"/>
      <c r="FE116" s="534"/>
      <c r="FF116" s="534"/>
      <c r="FG116" s="534"/>
      <c r="FH116" s="534"/>
      <c r="FI116" s="177" t="str">
        <f t="shared" si="15"/>
        <v/>
      </c>
      <c r="FN116" s="177" t="str">
        <f t="shared" si="16"/>
        <v/>
      </c>
      <c r="FO116" s="533"/>
      <c r="FP116" s="533"/>
      <c r="FQ116" s="533"/>
      <c r="FR116" s="534"/>
      <c r="FS116" s="534"/>
      <c r="FT116" s="534"/>
      <c r="FU116" s="534"/>
      <c r="FV116" s="177" t="str">
        <f t="shared" si="17"/>
        <v/>
      </c>
      <c r="GA116" s="177" t="str">
        <f t="shared" si="18"/>
        <v/>
      </c>
      <c r="GB116" s="533"/>
      <c r="GC116" s="533"/>
      <c r="GD116" s="533"/>
      <c r="GE116" s="534"/>
      <c r="GF116" s="534"/>
      <c r="GG116" s="534"/>
      <c r="GH116" s="534"/>
      <c r="GI116" s="177" t="str">
        <f t="shared" si="19"/>
        <v/>
      </c>
      <c r="GN116" s="177" t="str">
        <f t="shared" si="20"/>
        <v/>
      </c>
      <c r="GO116" s="533"/>
      <c r="GP116" s="533"/>
      <c r="GQ116" s="533"/>
      <c r="GR116" s="534"/>
      <c r="GS116" s="534"/>
      <c r="GT116" s="534"/>
      <c r="GU116" s="534"/>
      <c r="GV116" s="177" t="str">
        <f t="shared" si="21"/>
        <v/>
      </c>
      <c r="HA116" s="177" t="str">
        <f t="shared" si="22"/>
        <v/>
      </c>
      <c r="HB116" s="533"/>
      <c r="HC116" s="533"/>
      <c r="HD116" s="533"/>
      <c r="HE116" s="534"/>
      <c r="HF116" s="534"/>
      <c r="HG116" s="534"/>
      <c r="HH116" s="534"/>
      <c r="HI116" s="177" t="str">
        <f t="shared" si="23"/>
        <v/>
      </c>
      <c r="HN116" s="177" t="str">
        <f t="shared" si="24"/>
        <v/>
      </c>
      <c r="HO116" s="533"/>
      <c r="HP116" s="533"/>
      <c r="HQ116" s="533"/>
      <c r="HR116" s="534"/>
      <c r="HS116" s="534"/>
      <c r="HT116" s="534"/>
      <c r="HU116" s="534"/>
      <c r="HV116" s="177" t="str">
        <f t="shared" si="25"/>
        <v/>
      </c>
      <c r="IA116" s="177" t="str">
        <f t="shared" si="26"/>
        <v/>
      </c>
      <c r="IB116" s="533"/>
      <c r="IC116" s="533"/>
      <c r="ID116" s="533"/>
      <c r="IE116" s="534"/>
      <c r="IF116" s="534"/>
      <c r="IG116" s="534"/>
      <c r="IH116" s="534"/>
      <c r="II116" s="177" t="str">
        <f t="shared" si="27"/>
        <v/>
      </c>
      <c r="IN116" s="177" t="str">
        <f t="shared" si="28"/>
        <v/>
      </c>
      <c r="IO116" s="533"/>
      <c r="IP116" s="533"/>
      <c r="IQ116" s="533"/>
      <c r="IR116" s="534"/>
      <c r="IS116" s="534"/>
      <c r="IT116" s="534"/>
      <c r="IU116" s="534"/>
      <c r="IV116" s="177" t="str">
        <f t="shared" si="29"/>
        <v/>
      </c>
      <c r="JA116" s="177" t="str">
        <f t="shared" si="30"/>
        <v/>
      </c>
      <c r="JB116" s="533"/>
      <c r="JC116" s="533"/>
      <c r="JD116" s="533"/>
      <c r="JE116" s="534"/>
      <c r="JF116" s="534"/>
      <c r="JG116" s="534"/>
      <c r="JH116" s="534"/>
      <c r="JI116" s="177" t="str">
        <f t="shared" si="31"/>
        <v/>
      </c>
      <c r="JN116" s="177" t="str">
        <f t="shared" si="32"/>
        <v/>
      </c>
      <c r="JO116" s="533"/>
      <c r="JP116" s="533"/>
      <c r="JQ116" s="533"/>
      <c r="JR116" s="534"/>
      <c r="JS116" s="534"/>
      <c r="JT116" s="534"/>
      <c r="JU116" s="534"/>
      <c r="JV116" s="177" t="str">
        <f t="shared" si="33"/>
        <v/>
      </c>
      <c r="KA116" s="177" t="str">
        <f t="shared" si="34"/>
        <v/>
      </c>
      <c r="KB116" s="533"/>
      <c r="KC116" s="533"/>
      <c r="KD116" s="533"/>
      <c r="KE116" s="534"/>
      <c r="KF116" s="534"/>
      <c r="KG116" s="534"/>
      <c r="KH116" s="534"/>
      <c r="KI116" s="177" t="str">
        <f t="shared" si="35"/>
        <v/>
      </c>
      <c r="KN116" s="177" t="str">
        <f t="shared" si="36"/>
        <v/>
      </c>
      <c r="KO116" s="533"/>
      <c r="KP116" s="533"/>
      <c r="KQ116" s="533"/>
      <c r="KR116" s="534"/>
      <c r="KS116" s="534"/>
      <c r="KT116" s="534"/>
      <c r="KU116" s="534"/>
      <c r="KV116" s="177" t="str">
        <f t="shared" si="37"/>
        <v/>
      </c>
      <c r="LA116" s="177" t="str">
        <f t="shared" si="38"/>
        <v/>
      </c>
      <c r="LB116" s="533"/>
      <c r="LC116" s="533"/>
      <c r="LD116" s="533"/>
      <c r="LE116" s="534"/>
      <c r="LF116" s="534"/>
      <c r="LG116" s="534"/>
      <c r="LH116" s="534"/>
      <c r="LI116" s="177" t="str">
        <f t="shared" si="39"/>
        <v/>
      </c>
      <c r="LN116" s="177" t="str">
        <f t="shared" si="40"/>
        <v/>
      </c>
      <c r="LO116" s="533"/>
      <c r="LP116" s="533"/>
      <c r="LQ116" s="533"/>
      <c r="LR116" s="534"/>
      <c r="LS116" s="534"/>
      <c r="LT116" s="534"/>
      <c r="LU116" s="534"/>
      <c r="LV116" s="177" t="str">
        <f t="shared" si="41"/>
        <v/>
      </c>
      <c r="MA116" s="177" t="str">
        <f t="shared" si="42"/>
        <v/>
      </c>
      <c r="MB116" s="533"/>
      <c r="MC116" s="533"/>
      <c r="MD116" s="533"/>
      <c r="ME116" s="534"/>
      <c r="MF116" s="534"/>
      <c r="MG116" s="534"/>
      <c r="MH116" s="534"/>
      <c r="MI116" s="177" t="str">
        <f t="shared" si="43"/>
        <v/>
      </c>
      <c r="MN116" s="177" t="str">
        <f t="shared" si="44"/>
        <v/>
      </c>
      <c r="MO116" s="533"/>
      <c r="MP116" s="533"/>
      <c r="MQ116" s="533"/>
      <c r="MR116" s="534"/>
      <c r="MS116" s="534"/>
      <c r="MT116" s="534"/>
      <c r="MU116" s="534"/>
      <c r="MV116" s="177" t="str">
        <f t="shared" si="45"/>
        <v/>
      </c>
      <c r="NA116" s="177" t="str">
        <f t="shared" si="46"/>
        <v/>
      </c>
      <c r="NB116" s="533"/>
      <c r="NC116" s="533"/>
      <c r="ND116" s="533"/>
      <c r="NE116" s="534"/>
      <c r="NF116" s="534"/>
      <c r="NG116" s="534"/>
      <c r="NH116" s="534"/>
      <c r="NI116" s="177" t="str">
        <f t="shared" si="47"/>
        <v/>
      </c>
      <c r="NN116" s="177" t="str">
        <f t="shared" si="48"/>
        <v/>
      </c>
      <c r="NO116" s="533"/>
      <c r="NP116" s="533"/>
      <c r="NQ116" s="533"/>
      <c r="NR116" s="534"/>
      <c r="NS116" s="534"/>
      <c r="NT116" s="534"/>
      <c r="NU116" s="534"/>
      <c r="NV116" s="177" t="str">
        <f t="shared" si="49"/>
        <v/>
      </c>
    </row>
    <row r="117" spans="1:387" s="41" customFormat="1" ht="18" customHeight="1" x14ac:dyDescent="0.2">
      <c r="A117" s="177" t="str">
        <f>IF(B117&lt;&gt;"",20,"")</f>
        <v/>
      </c>
      <c r="B117" s="533"/>
      <c r="C117" s="533"/>
      <c r="D117" s="533"/>
      <c r="E117" s="534"/>
      <c r="F117" s="534"/>
      <c r="G117" s="535"/>
      <c r="H117" s="535"/>
      <c r="I117" s="177" t="str">
        <f t="shared" si="0"/>
        <v/>
      </c>
      <c r="N117" s="177" t="str">
        <f>IF(O117&lt;&gt;"",45,"")</f>
        <v/>
      </c>
      <c r="O117" s="533"/>
      <c r="P117" s="533"/>
      <c r="Q117" s="533"/>
      <c r="R117" s="534"/>
      <c r="S117" s="534"/>
      <c r="T117" s="534"/>
      <c r="U117" s="534"/>
      <c r="V117" s="177" t="str">
        <f t="shared" si="1"/>
        <v/>
      </c>
      <c r="AA117" s="177" t="str">
        <f>IF(AB117&lt;&gt;"",70,"")</f>
        <v/>
      </c>
      <c r="AB117" s="533"/>
      <c r="AC117" s="533"/>
      <c r="AD117" s="533"/>
      <c r="AE117" s="534"/>
      <c r="AF117" s="534"/>
      <c r="AG117" s="534"/>
      <c r="AH117" s="534"/>
      <c r="AI117" s="177" t="str">
        <f t="shared" si="2"/>
        <v/>
      </c>
      <c r="AN117" s="177" t="str">
        <f>IF(AO117&lt;&gt;"",95,"")</f>
        <v/>
      </c>
      <c r="AO117" s="533"/>
      <c r="AP117" s="533"/>
      <c r="AQ117" s="533"/>
      <c r="AR117" s="534"/>
      <c r="AS117" s="534"/>
      <c r="AT117" s="534"/>
      <c r="AU117" s="534"/>
      <c r="AV117" s="177" t="str">
        <f t="shared" si="3"/>
        <v/>
      </c>
      <c r="BA117" s="177" t="str">
        <f>IF(BB117&lt;&gt;"",120,"")</f>
        <v/>
      </c>
      <c r="BB117" s="533"/>
      <c r="BC117" s="533"/>
      <c r="BD117" s="533"/>
      <c r="BE117" s="534"/>
      <c r="BF117" s="534"/>
      <c r="BG117" s="534"/>
      <c r="BH117" s="534"/>
      <c r="BI117" s="177" t="str">
        <f t="shared" si="4"/>
        <v/>
      </c>
      <c r="BN117" s="177" t="str">
        <f>IF(BO117&lt;&gt;"",145,"")</f>
        <v/>
      </c>
      <c r="BO117" s="533"/>
      <c r="BP117" s="533"/>
      <c r="BQ117" s="533"/>
      <c r="BR117" s="534"/>
      <c r="BS117" s="534"/>
      <c r="BT117" s="534"/>
      <c r="BU117" s="534"/>
      <c r="BV117" s="177" t="str">
        <f t="shared" si="5"/>
        <v/>
      </c>
      <c r="CA117" s="177" t="str">
        <f>IF(CB117&lt;&gt;"",170,"")</f>
        <v/>
      </c>
      <c r="CB117" s="533"/>
      <c r="CC117" s="533"/>
      <c r="CD117" s="533"/>
      <c r="CE117" s="534"/>
      <c r="CF117" s="534"/>
      <c r="CG117" s="534"/>
      <c r="CH117" s="534"/>
      <c r="CI117" s="177" t="str">
        <f t="shared" si="6"/>
        <v/>
      </c>
      <c r="CN117" s="177" t="str">
        <f>IF(CO117&lt;&gt;"",195,"")</f>
        <v/>
      </c>
      <c r="CO117" s="533"/>
      <c r="CP117" s="533"/>
      <c r="CQ117" s="533"/>
      <c r="CR117" s="534"/>
      <c r="CS117" s="534"/>
      <c r="CT117" s="534"/>
      <c r="CU117" s="534"/>
      <c r="CV117" s="177" t="str">
        <f t="shared" si="7"/>
        <v/>
      </c>
      <c r="DA117" s="177" t="str">
        <f>IF(DB117&lt;&gt;"",220,"")</f>
        <v/>
      </c>
      <c r="DB117" s="533"/>
      <c r="DC117" s="533"/>
      <c r="DD117" s="533"/>
      <c r="DE117" s="534"/>
      <c r="DF117" s="534"/>
      <c r="DG117" s="534"/>
      <c r="DH117" s="534"/>
      <c r="DI117" s="177" t="str">
        <f t="shared" si="8"/>
        <v/>
      </c>
      <c r="DN117" s="177" t="str">
        <f>IF(DO117&lt;&gt;"",245,"")</f>
        <v/>
      </c>
      <c r="DO117" s="533"/>
      <c r="DP117" s="533"/>
      <c r="DQ117" s="533"/>
      <c r="DR117" s="534"/>
      <c r="DS117" s="534"/>
      <c r="DT117" s="534"/>
      <c r="DU117" s="534"/>
      <c r="DV117" s="177" t="str">
        <f t="shared" si="9"/>
        <v/>
      </c>
      <c r="EA117" s="177" t="str">
        <f t="shared" si="10"/>
        <v/>
      </c>
      <c r="EB117" s="533"/>
      <c r="EC117" s="533"/>
      <c r="ED117" s="533"/>
      <c r="EE117" s="534"/>
      <c r="EF117" s="534"/>
      <c r="EG117" s="534"/>
      <c r="EH117" s="534"/>
      <c r="EI117" s="177" t="str">
        <f t="shared" si="11"/>
        <v/>
      </c>
      <c r="EN117" s="177" t="str">
        <f t="shared" si="12"/>
        <v/>
      </c>
      <c r="EO117" s="533"/>
      <c r="EP117" s="533"/>
      <c r="EQ117" s="533"/>
      <c r="ER117" s="534"/>
      <c r="ES117" s="534"/>
      <c r="ET117" s="534"/>
      <c r="EU117" s="534"/>
      <c r="EV117" s="177" t="str">
        <f t="shared" si="13"/>
        <v/>
      </c>
      <c r="FA117" s="177" t="str">
        <f t="shared" si="14"/>
        <v/>
      </c>
      <c r="FB117" s="533"/>
      <c r="FC117" s="533"/>
      <c r="FD117" s="533"/>
      <c r="FE117" s="534"/>
      <c r="FF117" s="534"/>
      <c r="FG117" s="534"/>
      <c r="FH117" s="534"/>
      <c r="FI117" s="177" t="str">
        <f t="shared" si="15"/>
        <v/>
      </c>
      <c r="FN117" s="177" t="str">
        <f t="shared" si="16"/>
        <v/>
      </c>
      <c r="FO117" s="533"/>
      <c r="FP117" s="533"/>
      <c r="FQ117" s="533"/>
      <c r="FR117" s="534"/>
      <c r="FS117" s="534"/>
      <c r="FT117" s="534"/>
      <c r="FU117" s="534"/>
      <c r="FV117" s="177" t="str">
        <f t="shared" si="17"/>
        <v/>
      </c>
      <c r="GA117" s="177" t="str">
        <f t="shared" si="18"/>
        <v/>
      </c>
      <c r="GB117" s="533"/>
      <c r="GC117" s="533"/>
      <c r="GD117" s="533"/>
      <c r="GE117" s="534"/>
      <c r="GF117" s="534"/>
      <c r="GG117" s="534"/>
      <c r="GH117" s="534"/>
      <c r="GI117" s="177" t="str">
        <f t="shared" si="19"/>
        <v/>
      </c>
      <c r="GN117" s="177" t="str">
        <f t="shared" si="20"/>
        <v/>
      </c>
      <c r="GO117" s="533"/>
      <c r="GP117" s="533"/>
      <c r="GQ117" s="533"/>
      <c r="GR117" s="534"/>
      <c r="GS117" s="534"/>
      <c r="GT117" s="534"/>
      <c r="GU117" s="534"/>
      <c r="GV117" s="177" t="str">
        <f t="shared" si="21"/>
        <v/>
      </c>
      <c r="HA117" s="177" t="str">
        <f t="shared" si="22"/>
        <v/>
      </c>
      <c r="HB117" s="533"/>
      <c r="HC117" s="533"/>
      <c r="HD117" s="533"/>
      <c r="HE117" s="534"/>
      <c r="HF117" s="534"/>
      <c r="HG117" s="534"/>
      <c r="HH117" s="534"/>
      <c r="HI117" s="177" t="str">
        <f t="shared" si="23"/>
        <v/>
      </c>
      <c r="HN117" s="177" t="str">
        <f t="shared" si="24"/>
        <v/>
      </c>
      <c r="HO117" s="533"/>
      <c r="HP117" s="533"/>
      <c r="HQ117" s="533"/>
      <c r="HR117" s="534"/>
      <c r="HS117" s="534"/>
      <c r="HT117" s="534"/>
      <c r="HU117" s="534"/>
      <c r="HV117" s="177" t="str">
        <f t="shared" si="25"/>
        <v/>
      </c>
      <c r="IA117" s="177" t="str">
        <f t="shared" si="26"/>
        <v/>
      </c>
      <c r="IB117" s="533"/>
      <c r="IC117" s="533"/>
      <c r="ID117" s="533"/>
      <c r="IE117" s="534"/>
      <c r="IF117" s="534"/>
      <c r="IG117" s="534"/>
      <c r="IH117" s="534"/>
      <c r="II117" s="177" t="str">
        <f t="shared" si="27"/>
        <v/>
      </c>
      <c r="IN117" s="177" t="str">
        <f t="shared" si="28"/>
        <v/>
      </c>
      <c r="IO117" s="533"/>
      <c r="IP117" s="533"/>
      <c r="IQ117" s="533"/>
      <c r="IR117" s="534"/>
      <c r="IS117" s="534"/>
      <c r="IT117" s="534"/>
      <c r="IU117" s="534"/>
      <c r="IV117" s="177" t="str">
        <f t="shared" si="29"/>
        <v/>
      </c>
      <c r="JA117" s="177" t="str">
        <f t="shared" si="30"/>
        <v/>
      </c>
      <c r="JB117" s="533"/>
      <c r="JC117" s="533"/>
      <c r="JD117" s="533"/>
      <c r="JE117" s="534"/>
      <c r="JF117" s="534"/>
      <c r="JG117" s="534"/>
      <c r="JH117" s="534"/>
      <c r="JI117" s="177" t="str">
        <f t="shared" si="31"/>
        <v/>
      </c>
      <c r="JN117" s="177" t="str">
        <f t="shared" si="32"/>
        <v/>
      </c>
      <c r="JO117" s="533"/>
      <c r="JP117" s="533"/>
      <c r="JQ117" s="533"/>
      <c r="JR117" s="534"/>
      <c r="JS117" s="534"/>
      <c r="JT117" s="534"/>
      <c r="JU117" s="534"/>
      <c r="JV117" s="177" t="str">
        <f t="shared" si="33"/>
        <v/>
      </c>
      <c r="KA117" s="177" t="str">
        <f t="shared" si="34"/>
        <v/>
      </c>
      <c r="KB117" s="533"/>
      <c r="KC117" s="533"/>
      <c r="KD117" s="533"/>
      <c r="KE117" s="534"/>
      <c r="KF117" s="534"/>
      <c r="KG117" s="534"/>
      <c r="KH117" s="534"/>
      <c r="KI117" s="177" t="str">
        <f t="shared" si="35"/>
        <v/>
      </c>
      <c r="KN117" s="177" t="str">
        <f t="shared" si="36"/>
        <v/>
      </c>
      <c r="KO117" s="533"/>
      <c r="KP117" s="533"/>
      <c r="KQ117" s="533"/>
      <c r="KR117" s="534"/>
      <c r="KS117" s="534"/>
      <c r="KT117" s="534"/>
      <c r="KU117" s="534"/>
      <c r="KV117" s="177" t="str">
        <f t="shared" si="37"/>
        <v/>
      </c>
      <c r="LA117" s="177" t="str">
        <f t="shared" si="38"/>
        <v/>
      </c>
      <c r="LB117" s="533"/>
      <c r="LC117" s="533"/>
      <c r="LD117" s="533"/>
      <c r="LE117" s="534"/>
      <c r="LF117" s="534"/>
      <c r="LG117" s="534"/>
      <c r="LH117" s="534"/>
      <c r="LI117" s="177" t="str">
        <f t="shared" si="39"/>
        <v/>
      </c>
      <c r="LN117" s="177" t="str">
        <f t="shared" si="40"/>
        <v/>
      </c>
      <c r="LO117" s="533"/>
      <c r="LP117" s="533"/>
      <c r="LQ117" s="533"/>
      <c r="LR117" s="534"/>
      <c r="LS117" s="534"/>
      <c r="LT117" s="534"/>
      <c r="LU117" s="534"/>
      <c r="LV117" s="177" t="str">
        <f t="shared" si="41"/>
        <v/>
      </c>
      <c r="MA117" s="177" t="str">
        <f t="shared" si="42"/>
        <v/>
      </c>
      <c r="MB117" s="533"/>
      <c r="MC117" s="533"/>
      <c r="MD117" s="533"/>
      <c r="ME117" s="534"/>
      <c r="MF117" s="534"/>
      <c r="MG117" s="534"/>
      <c r="MH117" s="534"/>
      <c r="MI117" s="177" t="str">
        <f t="shared" si="43"/>
        <v/>
      </c>
      <c r="MN117" s="177" t="str">
        <f t="shared" si="44"/>
        <v/>
      </c>
      <c r="MO117" s="533"/>
      <c r="MP117" s="533"/>
      <c r="MQ117" s="533"/>
      <c r="MR117" s="534"/>
      <c r="MS117" s="534"/>
      <c r="MT117" s="534"/>
      <c r="MU117" s="534"/>
      <c r="MV117" s="177" t="str">
        <f t="shared" si="45"/>
        <v/>
      </c>
      <c r="NA117" s="177" t="str">
        <f t="shared" si="46"/>
        <v/>
      </c>
      <c r="NB117" s="533"/>
      <c r="NC117" s="533"/>
      <c r="ND117" s="533"/>
      <c r="NE117" s="534"/>
      <c r="NF117" s="534"/>
      <c r="NG117" s="534"/>
      <c r="NH117" s="534"/>
      <c r="NI117" s="177" t="str">
        <f t="shared" si="47"/>
        <v/>
      </c>
      <c r="NN117" s="177" t="str">
        <f t="shared" si="48"/>
        <v/>
      </c>
      <c r="NO117" s="533"/>
      <c r="NP117" s="533"/>
      <c r="NQ117" s="533"/>
      <c r="NR117" s="534"/>
      <c r="NS117" s="534"/>
      <c r="NT117" s="534"/>
      <c r="NU117" s="534"/>
      <c r="NV117" s="177" t="str">
        <f t="shared" si="49"/>
        <v/>
      </c>
    </row>
    <row r="118" spans="1:387" s="41" customFormat="1" ht="18" customHeight="1" x14ac:dyDescent="0.2">
      <c r="A118" s="177" t="str">
        <f>IF(B118&lt;&gt;"",21,"")</f>
        <v/>
      </c>
      <c r="B118" s="533"/>
      <c r="C118" s="533"/>
      <c r="D118" s="533"/>
      <c r="E118" s="534"/>
      <c r="F118" s="534"/>
      <c r="G118" s="535"/>
      <c r="H118" s="535"/>
      <c r="I118" s="177" t="str">
        <f t="shared" si="0"/>
        <v/>
      </c>
      <c r="N118" s="177" t="str">
        <f>IF(O118&lt;&gt;"",46,"")</f>
        <v/>
      </c>
      <c r="O118" s="533"/>
      <c r="P118" s="533"/>
      <c r="Q118" s="533"/>
      <c r="R118" s="534"/>
      <c r="S118" s="534"/>
      <c r="T118" s="534"/>
      <c r="U118" s="534"/>
      <c r="V118" s="177" t="str">
        <f t="shared" si="1"/>
        <v/>
      </c>
      <c r="AA118" s="177" t="str">
        <f>IF(AB118&lt;&gt;"",71,"")</f>
        <v/>
      </c>
      <c r="AB118" s="533"/>
      <c r="AC118" s="533"/>
      <c r="AD118" s="533"/>
      <c r="AE118" s="534"/>
      <c r="AF118" s="534"/>
      <c r="AG118" s="534"/>
      <c r="AH118" s="534"/>
      <c r="AI118" s="177" t="str">
        <f t="shared" si="2"/>
        <v/>
      </c>
      <c r="AN118" s="177" t="str">
        <f>IF(AO118&lt;&gt;"",96,"")</f>
        <v/>
      </c>
      <c r="AO118" s="533"/>
      <c r="AP118" s="533"/>
      <c r="AQ118" s="533"/>
      <c r="AR118" s="534"/>
      <c r="AS118" s="534"/>
      <c r="AT118" s="534"/>
      <c r="AU118" s="534"/>
      <c r="AV118" s="177" t="str">
        <f t="shared" si="3"/>
        <v/>
      </c>
      <c r="BA118" s="177" t="str">
        <f>IF(BB118&lt;&gt;"",121,"")</f>
        <v/>
      </c>
      <c r="BB118" s="533"/>
      <c r="BC118" s="533"/>
      <c r="BD118" s="533"/>
      <c r="BE118" s="534"/>
      <c r="BF118" s="534"/>
      <c r="BG118" s="534"/>
      <c r="BH118" s="534"/>
      <c r="BI118" s="177" t="str">
        <f t="shared" si="4"/>
        <v/>
      </c>
      <c r="BN118" s="177" t="str">
        <f>IF(BO118&lt;&gt;"",146,"")</f>
        <v/>
      </c>
      <c r="BO118" s="533"/>
      <c r="BP118" s="533"/>
      <c r="BQ118" s="533"/>
      <c r="BR118" s="534"/>
      <c r="BS118" s="534"/>
      <c r="BT118" s="534"/>
      <c r="BU118" s="534"/>
      <c r="BV118" s="177" t="str">
        <f t="shared" si="5"/>
        <v/>
      </c>
      <c r="CA118" s="177" t="str">
        <f>IF(CB118&lt;&gt;"",171,"")</f>
        <v/>
      </c>
      <c r="CB118" s="533"/>
      <c r="CC118" s="533"/>
      <c r="CD118" s="533"/>
      <c r="CE118" s="534"/>
      <c r="CF118" s="534"/>
      <c r="CG118" s="534"/>
      <c r="CH118" s="534"/>
      <c r="CI118" s="177" t="str">
        <f t="shared" si="6"/>
        <v/>
      </c>
      <c r="CN118" s="177" t="str">
        <f>IF(CO118&lt;&gt;"",196,"")</f>
        <v/>
      </c>
      <c r="CO118" s="533"/>
      <c r="CP118" s="533"/>
      <c r="CQ118" s="533"/>
      <c r="CR118" s="534"/>
      <c r="CS118" s="534"/>
      <c r="CT118" s="534"/>
      <c r="CU118" s="534"/>
      <c r="CV118" s="177" t="str">
        <f t="shared" si="7"/>
        <v/>
      </c>
      <c r="DA118" s="177" t="str">
        <f>IF(DB118&lt;&gt;"",221,"")</f>
        <v/>
      </c>
      <c r="DB118" s="533"/>
      <c r="DC118" s="533"/>
      <c r="DD118" s="533"/>
      <c r="DE118" s="534"/>
      <c r="DF118" s="534"/>
      <c r="DG118" s="534"/>
      <c r="DH118" s="534"/>
      <c r="DI118" s="177" t="str">
        <f t="shared" si="8"/>
        <v/>
      </c>
      <c r="DN118" s="177" t="str">
        <f>IF(DO118&lt;&gt;"",246,"")</f>
        <v/>
      </c>
      <c r="DO118" s="533"/>
      <c r="DP118" s="533"/>
      <c r="DQ118" s="533"/>
      <c r="DR118" s="534"/>
      <c r="DS118" s="534"/>
      <c r="DT118" s="534"/>
      <c r="DU118" s="534"/>
      <c r="DV118" s="177" t="str">
        <f t="shared" si="9"/>
        <v/>
      </c>
      <c r="EA118" s="177" t="str">
        <f t="shared" si="10"/>
        <v/>
      </c>
      <c r="EB118" s="533"/>
      <c r="EC118" s="533"/>
      <c r="ED118" s="533"/>
      <c r="EE118" s="534"/>
      <c r="EF118" s="534"/>
      <c r="EG118" s="534"/>
      <c r="EH118" s="534"/>
      <c r="EI118" s="177" t="str">
        <f t="shared" si="11"/>
        <v/>
      </c>
      <c r="EN118" s="177" t="str">
        <f t="shared" si="12"/>
        <v/>
      </c>
      <c r="EO118" s="533"/>
      <c r="EP118" s="533"/>
      <c r="EQ118" s="533"/>
      <c r="ER118" s="534"/>
      <c r="ES118" s="534"/>
      <c r="ET118" s="534"/>
      <c r="EU118" s="534"/>
      <c r="EV118" s="177" t="str">
        <f t="shared" si="13"/>
        <v/>
      </c>
      <c r="FA118" s="177" t="str">
        <f t="shared" si="14"/>
        <v/>
      </c>
      <c r="FB118" s="533"/>
      <c r="FC118" s="533"/>
      <c r="FD118" s="533"/>
      <c r="FE118" s="534"/>
      <c r="FF118" s="534"/>
      <c r="FG118" s="534"/>
      <c r="FH118" s="534"/>
      <c r="FI118" s="177" t="str">
        <f t="shared" si="15"/>
        <v/>
      </c>
      <c r="FN118" s="177" t="str">
        <f t="shared" si="16"/>
        <v/>
      </c>
      <c r="FO118" s="533"/>
      <c r="FP118" s="533"/>
      <c r="FQ118" s="533"/>
      <c r="FR118" s="534"/>
      <c r="FS118" s="534"/>
      <c r="FT118" s="534"/>
      <c r="FU118" s="534"/>
      <c r="FV118" s="177" t="str">
        <f t="shared" si="17"/>
        <v/>
      </c>
      <c r="GA118" s="177" t="str">
        <f t="shared" si="18"/>
        <v/>
      </c>
      <c r="GB118" s="533"/>
      <c r="GC118" s="533"/>
      <c r="GD118" s="533"/>
      <c r="GE118" s="534"/>
      <c r="GF118" s="534"/>
      <c r="GG118" s="534"/>
      <c r="GH118" s="534"/>
      <c r="GI118" s="177" t="str">
        <f t="shared" si="19"/>
        <v/>
      </c>
      <c r="GN118" s="177" t="str">
        <f t="shared" si="20"/>
        <v/>
      </c>
      <c r="GO118" s="533"/>
      <c r="GP118" s="533"/>
      <c r="GQ118" s="533"/>
      <c r="GR118" s="534"/>
      <c r="GS118" s="534"/>
      <c r="GT118" s="534"/>
      <c r="GU118" s="534"/>
      <c r="GV118" s="177" t="str">
        <f t="shared" si="21"/>
        <v/>
      </c>
      <c r="HA118" s="177" t="str">
        <f t="shared" si="22"/>
        <v/>
      </c>
      <c r="HB118" s="533"/>
      <c r="HC118" s="533"/>
      <c r="HD118" s="533"/>
      <c r="HE118" s="534"/>
      <c r="HF118" s="534"/>
      <c r="HG118" s="534"/>
      <c r="HH118" s="534"/>
      <c r="HI118" s="177" t="str">
        <f t="shared" si="23"/>
        <v/>
      </c>
      <c r="HN118" s="177" t="str">
        <f t="shared" si="24"/>
        <v/>
      </c>
      <c r="HO118" s="533"/>
      <c r="HP118" s="533"/>
      <c r="HQ118" s="533"/>
      <c r="HR118" s="534"/>
      <c r="HS118" s="534"/>
      <c r="HT118" s="534"/>
      <c r="HU118" s="534"/>
      <c r="HV118" s="177" t="str">
        <f t="shared" si="25"/>
        <v/>
      </c>
      <c r="IA118" s="177" t="str">
        <f t="shared" si="26"/>
        <v/>
      </c>
      <c r="IB118" s="533"/>
      <c r="IC118" s="533"/>
      <c r="ID118" s="533"/>
      <c r="IE118" s="534"/>
      <c r="IF118" s="534"/>
      <c r="IG118" s="534"/>
      <c r="IH118" s="534"/>
      <c r="II118" s="177" t="str">
        <f t="shared" si="27"/>
        <v/>
      </c>
      <c r="IN118" s="177" t="str">
        <f t="shared" si="28"/>
        <v/>
      </c>
      <c r="IO118" s="533"/>
      <c r="IP118" s="533"/>
      <c r="IQ118" s="533"/>
      <c r="IR118" s="534"/>
      <c r="IS118" s="534"/>
      <c r="IT118" s="534"/>
      <c r="IU118" s="534"/>
      <c r="IV118" s="177" t="str">
        <f t="shared" si="29"/>
        <v/>
      </c>
      <c r="JA118" s="177" t="str">
        <f t="shared" si="30"/>
        <v/>
      </c>
      <c r="JB118" s="533"/>
      <c r="JC118" s="533"/>
      <c r="JD118" s="533"/>
      <c r="JE118" s="534"/>
      <c r="JF118" s="534"/>
      <c r="JG118" s="534"/>
      <c r="JH118" s="534"/>
      <c r="JI118" s="177" t="str">
        <f t="shared" si="31"/>
        <v/>
      </c>
      <c r="JN118" s="177" t="str">
        <f t="shared" si="32"/>
        <v/>
      </c>
      <c r="JO118" s="533"/>
      <c r="JP118" s="533"/>
      <c r="JQ118" s="533"/>
      <c r="JR118" s="534"/>
      <c r="JS118" s="534"/>
      <c r="JT118" s="534"/>
      <c r="JU118" s="534"/>
      <c r="JV118" s="177" t="str">
        <f t="shared" si="33"/>
        <v/>
      </c>
      <c r="KA118" s="177" t="str">
        <f t="shared" si="34"/>
        <v/>
      </c>
      <c r="KB118" s="533"/>
      <c r="KC118" s="533"/>
      <c r="KD118" s="533"/>
      <c r="KE118" s="534"/>
      <c r="KF118" s="534"/>
      <c r="KG118" s="534"/>
      <c r="KH118" s="534"/>
      <c r="KI118" s="177" t="str">
        <f t="shared" si="35"/>
        <v/>
      </c>
      <c r="KN118" s="177" t="str">
        <f t="shared" si="36"/>
        <v/>
      </c>
      <c r="KO118" s="533"/>
      <c r="KP118" s="533"/>
      <c r="KQ118" s="533"/>
      <c r="KR118" s="534"/>
      <c r="KS118" s="534"/>
      <c r="KT118" s="534"/>
      <c r="KU118" s="534"/>
      <c r="KV118" s="177" t="str">
        <f t="shared" si="37"/>
        <v/>
      </c>
      <c r="LA118" s="177" t="str">
        <f t="shared" si="38"/>
        <v/>
      </c>
      <c r="LB118" s="533"/>
      <c r="LC118" s="533"/>
      <c r="LD118" s="533"/>
      <c r="LE118" s="534"/>
      <c r="LF118" s="534"/>
      <c r="LG118" s="534"/>
      <c r="LH118" s="534"/>
      <c r="LI118" s="177" t="str">
        <f t="shared" si="39"/>
        <v/>
      </c>
      <c r="LN118" s="177" t="str">
        <f t="shared" si="40"/>
        <v/>
      </c>
      <c r="LO118" s="533"/>
      <c r="LP118" s="533"/>
      <c r="LQ118" s="533"/>
      <c r="LR118" s="534"/>
      <c r="LS118" s="534"/>
      <c r="LT118" s="534"/>
      <c r="LU118" s="534"/>
      <c r="LV118" s="177" t="str">
        <f t="shared" si="41"/>
        <v/>
      </c>
      <c r="MA118" s="177" t="str">
        <f t="shared" si="42"/>
        <v/>
      </c>
      <c r="MB118" s="533"/>
      <c r="MC118" s="533"/>
      <c r="MD118" s="533"/>
      <c r="ME118" s="534"/>
      <c r="MF118" s="534"/>
      <c r="MG118" s="534"/>
      <c r="MH118" s="534"/>
      <c r="MI118" s="177" t="str">
        <f t="shared" si="43"/>
        <v/>
      </c>
      <c r="MN118" s="177" t="str">
        <f t="shared" si="44"/>
        <v/>
      </c>
      <c r="MO118" s="533"/>
      <c r="MP118" s="533"/>
      <c r="MQ118" s="533"/>
      <c r="MR118" s="534"/>
      <c r="MS118" s="534"/>
      <c r="MT118" s="534"/>
      <c r="MU118" s="534"/>
      <c r="MV118" s="177" t="str">
        <f t="shared" si="45"/>
        <v/>
      </c>
      <c r="NA118" s="177" t="str">
        <f t="shared" si="46"/>
        <v/>
      </c>
      <c r="NB118" s="533"/>
      <c r="NC118" s="533"/>
      <c r="ND118" s="533"/>
      <c r="NE118" s="534"/>
      <c r="NF118" s="534"/>
      <c r="NG118" s="534"/>
      <c r="NH118" s="534"/>
      <c r="NI118" s="177" t="str">
        <f t="shared" si="47"/>
        <v/>
      </c>
      <c r="NN118" s="177" t="str">
        <f t="shared" si="48"/>
        <v/>
      </c>
      <c r="NO118" s="533"/>
      <c r="NP118" s="533"/>
      <c r="NQ118" s="533"/>
      <c r="NR118" s="534"/>
      <c r="NS118" s="534"/>
      <c r="NT118" s="534"/>
      <c r="NU118" s="534"/>
      <c r="NV118" s="177" t="str">
        <f t="shared" si="49"/>
        <v/>
      </c>
    </row>
    <row r="119" spans="1:387" s="41" customFormat="1" ht="18" customHeight="1" x14ac:dyDescent="0.2">
      <c r="A119" s="177" t="str">
        <f>IF(B119&lt;&gt;"",22,"")</f>
        <v/>
      </c>
      <c r="B119" s="533"/>
      <c r="C119" s="533"/>
      <c r="D119" s="533"/>
      <c r="E119" s="534"/>
      <c r="F119" s="534"/>
      <c r="G119" s="535"/>
      <c r="H119" s="535"/>
      <c r="I119" s="177" t="str">
        <f t="shared" si="0"/>
        <v/>
      </c>
      <c r="N119" s="177" t="str">
        <f>IF(O119&lt;&gt;"",47,"")</f>
        <v/>
      </c>
      <c r="O119" s="533"/>
      <c r="P119" s="533"/>
      <c r="Q119" s="533"/>
      <c r="R119" s="534"/>
      <c r="S119" s="534"/>
      <c r="T119" s="534"/>
      <c r="U119" s="534"/>
      <c r="V119" s="177" t="str">
        <f t="shared" si="1"/>
        <v/>
      </c>
      <c r="AA119" s="177" t="str">
        <f>IF(AB119&lt;&gt;"",72,"")</f>
        <v/>
      </c>
      <c r="AB119" s="533"/>
      <c r="AC119" s="533"/>
      <c r="AD119" s="533"/>
      <c r="AE119" s="534"/>
      <c r="AF119" s="534"/>
      <c r="AG119" s="534"/>
      <c r="AH119" s="534"/>
      <c r="AI119" s="177" t="str">
        <f t="shared" si="2"/>
        <v/>
      </c>
      <c r="AN119" s="177" t="str">
        <f>IF(AO119&lt;&gt;"",97,"")</f>
        <v/>
      </c>
      <c r="AO119" s="533"/>
      <c r="AP119" s="533"/>
      <c r="AQ119" s="533"/>
      <c r="AR119" s="534"/>
      <c r="AS119" s="534"/>
      <c r="AT119" s="534"/>
      <c r="AU119" s="534"/>
      <c r="AV119" s="177" t="str">
        <f t="shared" si="3"/>
        <v/>
      </c>
      <c r="BA119" s="177" t="str">
        <f>IF(BB119&lt;&gt;"",122,"")</f>
        <v/>
      </c>
      <c r="BB119" s="533"/>
      <c r="BC119" s="533"/>
      <c r="BD119" s="533"/>
      <c r="BE119" s="534"/>
      <c r="BF119" s="534"/>
      <c r="BG119" s="534"/>
      <c r="BH119" s="534"/>
      <c r="BI119" s="177" t="str">
        <f t="shared" si="4"/>
        <v/>
      </c>
      <c r="BN119" s="177" t="str">
        <f>IF(BO119&lt;&gt;"",147,"")</f>
        <v/>
      </c>
      <c r="BO119" s="533"/>
      <c r="BP119" s="533"/>
      <c r="BQ119" s="533"/>
      <c r="BR119" s="534"/>
      <c r="BS119" s="534"/>
      <c r="BT119" s="534"/>
      <c r="BU119" s="534"/>
      <c r="BV119" s="177" t="str">
        <f t="shared" si="5"/>
        <v/>
      </c>
      <c r="CA119" s="177" t="str">
        <f>IF(CB119&lt;&gt;"",172,"")</f>
        <v/>
      </c>
      <c r="CB119" s="533"/>
      <c r="CC119" s="533"/>
      <c r="CD119" s="533"/>
      <c r="CE119" s="534"/>
      <c r="CF119" s="534"/>
      <c r="CG119" s="534"/>
      <c r="CH119" s="534"/>
      <c r="CI119" s="177" t="str">
        <f t="shared" si="6"/>
        <v/>
      </c>
      <c r="CN119" s="177" t="str">
        <f>IF(CO119&lt;&gt;"",197,"")</f>
        <v/>
      </c>
      <c r="CO119" s="533"/>
      <c r="CP119" s="533"/>
      <c r="CQ119" s="533"/>
      <c r="CR119" s="534"/>
      <c r="CS119" s="534"/>
      <c r="CT119" s="534"/>
      <c r="CU119" s="534"/>
      <c r="CV119" s="177" t="str">
        <f t="shared" si="7"/>
        <v/>
      </c>
      <c r="DA119" s="177" t="str">
        <f>IF(DB119&lt;&gt;"",222,"")</f>
        <v/>
      </c>
      <c r="DB119" s="533"/>
      <c r="DC119" s="533"/>
      <c r="DD119" s="533"/>
      <c r="DE119" s="534"/>
      <c r="DF119" s="534"/>
      <c r="DG119" s="534"/>
      <c r="DH119" s="534"/>
      <c r="DI119" s="177" t="str">
        <f t="shared" si="8"/>
        <v/>
      </c>
      <c r="DN119" s="177" t="str">
        <f>IF(DO119&lt;&gt;"",247,"")</f>
        <v/>
      </c>
      <c r="DO119" s="533"/>
      <c r="DP119" s="533"/>
      <c r="DQ119" s="533"/>
      <c r="DR119" s="534"/>
      <c r="DS119" s="534"/>
      <c r="DT119" s="534"/>
      <c r="DU119" s="534"/>
      <c r="DV119" s="177" t="str">
        <f t="shared" si="9"/>
        <v/>
      </c>
      <c r="EA119" s="177" t="str">
        <f t="shared" si="10"/>
        <v/>
      </c>
      <c r="EB119" s="533"/>
      <c r="EC119" s="533"/>
      <c r="ED119" s="533"/>
      <c r="EE119" s="534"/>
      <c r="EF119" s="534"/>
      <c r="EG119" s="534"/>
      <c r="EH119" s="534"/>
      <c r="EI119" s="177" t="str">
        <f t="shared" si="11"/>
        <v/>
      </c>
      <c r="EN119" s="177" t="str">
        <f t="shared" si="12"/>
        <v/>
      </c>
      <c r="EO119" s="533"/>
      <c r="EP119" s="533"/>
      <c r="EQ119" s="533"/>
      <c r="ER119" s="534"/>
      <c r="ES119" s="534"/>
      <c r="ET119" s="534"/>
      <c r="EU119" s="534"/>
      <c r="EV119" s="177" t="str">
        <f t="shared" si="13"/>
        <v/>
      </c>
      <c r="FA119" s="177" t="str">
        <f t="shared" si="14"/>
        <v/>
      </c>
      <c r="FB119" s="533"/>
      <c r="FC119" s="533"/>
      <c r="FD119" s="533"/>
      <c r="FE119" s="534"/>
      <c r="FF119" s="534"/>
      <c r="FG119" s="534"/>
      <c r="FH119" s="534"/>
      <c r="FI119" s="177" t="str">
        <f t="shared" si="15"/>
        <v/>
      </c>
      <c r="FN119" s="177" t="str">
        <f t="shared" si="16"/>
        <v/>
      </c>
      <c r="FO119" s="533"/>
      <c r="FP119" s="533"/>
      <c r="FQ119" s="533"/>
      <c r="FR119" s="534"/>
      <c r="FS119" s="534"/>
      <c r="FT119" s="534"/>
      <c r="FU119" s="534"/>
      <c r="FV119" s="177" t="str">
        <f t="shared" si="17"/>
        <v/>
      </c>
      <c r="GA119" s="177" t="str">
        <f t="shared" si="18"/>
        <v/>
      </c>
      <c r="GB119" s="533"/>
      <c r="GC119" s="533"/>
      <c r="GD119" s="533"/>
      <c r="GE119" s="534"/>
      <c r="GF119" s="534"/>
      <c r="GG119" s="534"/>
      <c r="GH119" s="534"/>
      <c r="GI119" s="177" t="str">
        <f t="shared" si="19"/>
        <v/>
      </c>
      <c r="GN119" s="177" t="str">
        <f t="shared" si="20"/>
        <v/>
      </c>
      <c r="GO119" s="533"/>
      <c r="GP119" s="533"/>
      <c r="GQ119" s="533"/>
      <c r="GR119" s="534"/>
      <c r="GS119" s="534"/>
      <c r="GT119" s="534"/>
      <c r="GU119" s="534"/>
      <c r="GV119" s="177" t="str">
        <f t="shared" si="21"/>
        <v/>
      </c>
      <c r="HA119" s="177" t="str">
        <f t="shared" si="22"/>
        <v/>
      </c>
      <c r="HB119" s="533"/>
      <c r="HC119" s="533"/>
      <c r="HD119" s="533"/>
      <c r="HE119" s="534"/>
      <c r="HF119" s="534"/>
      <c r="HG119" s="534"/>
      <c r="HH119" s="534"/>
      <c r="HI119" s="177" t="str">
        <f t="shared" si="23"/>
        <v/>
      </c>
      <c r="HN119" s="177" t="str">
        <f t="shared" si="24"/>
        <v/>
      </c>
      <c r="HO119" s="533"/>
      <c r="HP119" s="533"/>
      <c r="HQ119" s="533"/>
      <c r="HR119" s="534"/>
      <c r="HS119" s="534"/>
      <c r="HT119" s="534"/>
      <c r="HU119" s="534"/>
      <c r="HV119" s="177" t="str">
        <f t="shared" si="25"/>
        <v/>
      </c>
      <c r="IA119" s="177" t="str">
        <f t="shared" si="26"/>
        <v/>
      </c>
      <c r="IB119" s="533"/>
      <c r="IC119" s="533"/>
      <c r="ID119" s="533"/>
      <c r="IE119" s="534"/>
      <c r="IF119" s="534"/>
      <c r="IG119" s="534"/>
      <c r="IH119" s="534"/>
      <c r="II119" s="177" t="str">
        <f t="shared" si="27"/>
        <v/>
      </c>
      <c r="IN119" s="177" t="str">
        <f t="shared" si="28"/>
        <v/>
      </c>
      <c r="IO119" s="533"/>
      <c r="IP119" s="533"/>
      <c r="IQ119" s="533"/>
      <c r="IR119" s="534"/>
      <c r="IS119" s="534"/>
      <c r="IT119" s="534"/>
      <c r="IU119" s="534"/>
      <c r="IV119" s="177" t="str">
        <f t="shared" si="29"/>
        <v/>
      </c>
      <c r="JA119" s="177" t="str">
        <f t="shared" si="30"/>
        <v/>
      </c>
      <c r="JB119" s="533"/>
      <c r="JC119" s="533"/>
      <c r="JD119" s="533"/>
      <c r="JE119" s="534"/>
      <c r="JF119" s="534"/>
      <c r="JG119" s="534"/>
      <c r="JH119" s="534"/>
      <c r="JI119" s="177" t="str">
        <f t="shared" si="31"/>
        <v/>
      </c>
      <c r="JN119" s="177" t="str">
        <f t="shared" si="32"/>
        <v/>
      </c>
      <c r="JO119" s="533"/>
      <c r="JP119" s="533"/>
      <c r="JQ119" s="533"/>
      <c r="JR119" s="534"/>
      <c r="JS119" s="534"/>
      <c r="JT119" s="534"/>
      <c r="JU119" s="534"/>
      <c r="JV119" s="177" t="str">
        <f t="shared" si="33"/>
        <v/>
      </c>
      <c r="KA119" s="177" t="str">
        <f t="shared" si="34"/>
        <v/>
      </c>
      <c r="KB119" s="533"/>
      <c r="KC119" s="533"/>
      <c r="KD119" s="533"/>
      <c r="KE119" s="534"/>
      <c r="KF119" s="534"/>
      <c r="KG119" s="534"/>
      <c r="KH119" s="534"/>
      <c r="KI119" s="177" t="str">
        <f t="shared" si="35"/>
        <v/>
      </c>
      <c r="KN119" s="177" t="str">
        <f t="shared" si="36"/>
        <v/>
      </c>
      <c r="KO119" s="533"/>
      <c r="KP119" s="533"/>
      <c r="KQ119" s="533"/>
      <c r="KR119" s="534"/>
      <c r="KS119" s="534"/>
      <c r="KT119" s="534"/>
      <c r="KU119" s="534"/>
      <c r="KV119" s="177" t="str">
        <f t="shared" si="37"/>
        <v/>
      </c>
      <c r="LA119" s="177" t="str">
        <f t="shared" si="38"/>
        <v/>
      </c>
      <c r="LB119" s="533"/>
      <c r="LC119" s="533"/>
      <c r="LD119" s="533"/>
      <c r="LE119" s="534"/>
      <c r="LF119" s="534"/>
      <c r="LG119" s="535"/>
      <c r="LH119" s="534"/>
      <c r="LI119" s="177" t="str">
        <f t="shared" si="39"/>
        <v/>
      </c>
      <c r="LN119" s="177" t="str">
        <f t="shared" si="40"/>
        <v/>
      </c>
      <c r="LO119" s="533"/>
      <c r="LP119" s="533"/>
      <c r="LQ119" s="533"/>
      <c r="LR119" s="534"/>
      <c r="LS119" s="534"/>
      <c r="LT119" s="534"/>
      <c r="LU119" s="534"/>
      <c r="LV119" s="177" t="str">
        <f t="shared" si="41"/>
        <v/>
      </c>
      <c r="MA119" s="177" t="str">
        <f t="shared" si="42"/>
        <v/>
      </c>
      <c r="MB119" s="533"/>
      <c r="MC119" s="533"/>
      <c r="MD119" s="533"/>
      <c r="ME119" s="534"/>
      <c r="MF119" s="534"/>
      <c r="MG119" s="534"/>
      <c r="MH119" s="534"/>
      <c r="MI119" s="177" t="str">
        <f t="shared" si="43"/>
        <v/>
      </c>
      <c r="MN119" s="177" t="str">
        <f t="shared" si="44"/>
        <v/>
      </c>
      <c r="MO119" s="533"/>
      <c r="MP119" s="533"/>
      <c r="MQ119" s="533"/>
      <c r="MR119" s="534"/>
      <c r="MS119" s="534"/>
      <c r="MT119" s="534"/>
      <c r="MU119" s="534"/>
      <c r="MV119" s="177" t="str">
        <f t="shared" si="45"/>
        <v/>
      </c>
      <c r="NA119" s="177" t="str">
        <f t="shared" si="46"/>
        <v/>
      </c>
      <c r="NB119" s="533"/>
      <c r="NC119" s="533"/>
      <c r="ND119" s="533"/>
      <c r="NE119" s="534"/>
      <c r="NF119" s="534"/>
      <c r="NG119" s="534"/>
      <c r="NH119" s="534"/>
      <c r="NI119" s="177" t="str">
        <f t="shared" si="47"/>
        <v/>
      </c>
      <c r="NN119" s="177" t="str">
        <f t="shared" si="48"/>
        <v/>
      </c>
      <c r="NO119" s="533"/>
      <c r="NP119" s="533"/>
      <c r="NQ119" s="533"/>
      <c r="NR119" s="534"/>
      <c r="NS119" s="534"/>
      <c r="NT119" s="534"/>
      <c r="NU119" s="534"/>
      <c r="NV119" s="177" t="str">
        <f t="shared" si="49"/>
        <v/>
      </c>
    </row>
    <row r="120" spans="1:387" s="41" customFormat="1" ht="18" customHeight="1" x14ac:dyDescent="0.2">
      <c r="A120" s="177" t="str">
        <f>IF(B120&lt;&gt;"",23,"")</f>
        <v/>
      </c>
      <c r="B120" s="533"/>
      <c r="C120" s="533"/>
      <c r="D120" s="533"/>
      <c r="E120" s="534"/>
      <c r="F120" s="534"/>
      <c r="G120" s="535"/>
      <c r="H120" s="535"/>
      <c r="I120" s="177" t="str">
        <f t="shared" si="0"/>
        <v/>
      </c>
      <c r="N120" s="177" t="str">
        <f>IF(O120&lt;&gt;"",48,"")</f>
        <v/>
      </c>
      <c r="O120" s="533"/>
      <c r="P120" s="533"/>
      <c r="Q120" s="533"/>
      <c r="R120" s="534"/>
      <c r="S120" s="534"/>
      <c r="T120" s="534"/>
      <c r="U120" s="534"/>
      <c r="V120" s="177" t="str">
        <f t="shared" si="1"/>
        <v/>
      </c>
      <c r="AA120" s="177" t="str">
        <f>IF(AB120&lt;&gt;"",73,"")</f>
        <v/>
      </c>
      <c r="AB120" s="533"/>
      <c r="AC120" s="533"/>
      <c r="AD120" s="533"/>
      <c r="AE120" s="534"/>
      <c r="AF120" s="534"/>
      <c r="AG120" s="534"/>
      <c r="AH120" s="534"/>
      <c r="AI120" s="177" t="str">
        <f t="shared" si="2"/>
        <v/>
      </c>
      <c r="AN120" s="177" t="str">
        <f>IF(AO120&lt;&gt;"",98,"")</f>
        <v/>
      </c>
      <c r="AO120" s="533"/>
      <c r="AP120" s="533"/>
      <c r="AQ120" s="533"/>
      <c r="AR120" s="534"/>
      <c r="AS120" s="534"/>
      <c r="AT120" s="534"/>
      <c r="AU120" s="534"/>
      <c r="AV120" s="177" t="str">
        <f t="shared" si="3"/>
        <v/>
      </c>
      <c r="BA120" s="177" t="str">
        <f>IF(BB120&lt;&gt;"",123,"")</f>
        <v/>
      </c>
      <c r="BB120" s="533"/>
      <c r="BC120" s="533"/>
      <c r="BD120" s="533"/>
      <c r="BE120" s="534"/>
      <c r="BF120" s="534"/>
      <c r="BG120" s="534"/>
      <c r="BH120" s="534"/>
      <c r="BI120" s="177" t="str">
        <f t="shared" si="4"/>
        <v/>
      </c>
      <c r="BN120" s="177" t="str">
        <f>IF(BO120&lt;&gt;"",148,"")</f>
        <v/>
      </c>
      <c r="BO120" s="533"/>
      <c r="BP120" s="533"/>
      <c r="BQ120" s="533"/>
      <c r="BR120" s="534"/>
      <c r="BS120" s="534"/>
      <c r="BT120" s="534"/>
      <c r="BU120" s="534"/>
      <c r="BV120" s="177" t="str">
        <f t="shared" si="5"/>
        <v/>
      </c>
      <c r="CA120" s="177" t="str">
        <f>IF(CB120&lt;&gt;"",173,"")</f>
        <v/>
      </c>
      <c r="CB120" s="533"/>
      <c r="CC120" s="533"/>
      <c r="CD120" s="533"/>
      <c r="CE120" s="534"/>
      <c r="CF120" s="534"/>
      <c r="CG120" s="534"/>
      <c r="CH120" s="534"/>
      <c r="CI120" s="177" t="str">
        <f t="shared" si="6"/>
        <v/>
      </c>
      <c r="CN120" s="177" t="str">
        <f>IF(CO120&lt;&gt;"",198,"")</f>
        <v/>
      </c>
      <c r="CO120" s="533"/>
      <c r="CP120" s="533"/>
      <c r="CQ120" s="533"/>
      <c r="CR120" s="534"/>
      <c r="CS120" s="534"/>
      <c r="CT120" s="534"/>
      <c r="CU120" s="534"/>
      <c r="CV120" s="177" t="str">
        <f t="shared" si="7"/>
        <v/>
      </c>
      <c r="DA120" s="177" t="str">
        <f>IF(DB120&lt;&gt;"",223,"")</f>
        <v/>
      </c>
      <c r="DB120" s="533"/>
      <c r="DC120" s="533"/>
      <c r="DD120" s="533"/>
      <c r="DE120" s="534"/>
      <c r="DF120" s="534"/>
      <c r="DG120" s="534"/>
      <c r="DH120" s="534"/>
      <c r="DI120" s="177" t="str">
        <f t="shared" si="8"/>
        <v/>
      </c>
      <c r="DN120" s="177" t="str">
        <f>IF(DO120&lt;&gt;"",248,"")</f>
        <v/>
      </c>
      <c r="DO120" s="533"/>
      <c r="DP120" s="533"/>
      <c r="DQ120" s="533"/>
      <c r="DR120" s="534"/>
      <c r="DS120" s="534"/>
      <c r="DT120" s="534"/>
      <c r="DU120" s="534"/>
      <c r="DV120" s="177" t="str">
        <f t="shared" si="9"/>
        <v/>
      </c>
      <c r="EA120" s="177" t="str">
        <f t="shared" si="10"/>
        <v/>
      </c>
      <c r="EB120" s="533"/>
      <c r="EC120" s="533"/>
      <c r="ED120" s="533"/>
      <c r="EE120" s="534"/>
      <c r="EF120" s="534"/>
      <c r="EG120" s="534"/>
      <c r="EH120" s="534"/>
      <c r="EI120" s="177" t="str">
        <f t="shared" si="11"/>
        <v/>
      </c>
      <c r="EN120" s="177" t="str">
        <f t="shared" si="12"/>
        <v/>
      </c>
      <c r="EO120" s="533"/>
      <c r="EP120" s="533"/>
      <c r="EQ120" s="533"/>
      <c r="ER120" s="534"/>
      <c r="ES120" s="534"/>
      <c r="ET120" s="534"/>
      <c r="EU120" s="534"/>
      <c r="EV120" s="177" t="str">
        <f t="shared" si="13"/>
        <v/>
      </c>
      <c r="FA120" s="177" t="str">
        <f t="shared" si="14"/>
        <v/>
      </c>
      <c r="FB120" s="533"/>
      <c r="FC120" s="533"/>
      <c r="FD120" s="533"/>
      <c r="FE120" s="534"/>
      <c r="FF120" s="534"/>
      <c r="FG120" s="534"/>
      <c r="FH120" s="534"/>
      <c r="FI120" s="177" t="str">
        <f t="shared" si="15"/>
        <v/>
      </c>
      <c r="FN120" s="177" t="str">
        <f t="shared" si="16"/>
        <v/>
      </c>
      <c r="FO120" s="533"/>
      <c r="FP120" s="533"/>
      <c r="FQ120" s="533"/>
      <c r="FR120" s="534"/>
      <c r="FS120" s="534"/>
      <c r="FT120" s="534"/>
      <c r="FU120" s="534"/>
      <c r="FV120" s="177" t="str">
        <f t="shared" si="17"/>
        <v/>
      </c>
      <c r="GA120" s="177" t="str">
        <f t="shared" si="18"/>
        <v/>
      </c>
      <c r="GB120" s="533"/>
      <c r="GC120" s="533"/>
      <c r="GD120" s="533"/>
      <c r="GE120" s="534"/>
      <c r="GF120" s="534"/>
      <c r="GG120" s="534"/>
      <c r="GH120" s="534"/>
      <c r="GI120" s="177" t="str">
        <f t="shared" si="19"/>
        <v/>
      </c>
      <c r="GN120" s="177" t="str">
        <f t="shared" si="20"/>
        <v/>
      </c>
      <c r="GO120" s="533"/>
      <c r="GP120" s="533"/>
      <c r="GQ120" s="533"/>
      <c r="GR120" s="534"/>
      <c r="GS120" s="534"/>
      <c r="GT120" s="534"/>
      <c r="GU120" s="534"/>
      <c r="GV120" s="177" t="str">
        <f t="shared" si="21"/>
        <v/>
      </c>
      <c r="HA120" s="177" t="str">
        <f t="shared" si="22"/>
        <v/>
      </c>
      <c r="HB120" s="533"/>
      <c r="HC120" s="533"/>
      <c r="HD120" s="533"/>
      <c r="HE120" s="534"/>
      <c r="HF120" s="534"/>
      <c r="HG120" s="534"/>
      <c r="HH120" s="534"/>
      <c r="HI120" s="177" t="str">
        <f t="shared" si="23"/>
        <v/>
      </c>
      <c r="HN120" s="177" t="str">
        <f t="shared" si="24"/>
        <v/>
      </c>
      <c r="HO120" s="533"/>
      <c r="HP120" s="533"/>
      <c r="HQ120" s="533"/>
      <c r="HR120" s="534"/>
      <c r="HS120" s="534"/>
      <c r="HT120" s="534"/>
      <c r="HU120" s="534"/>
      <c r="HV120" s="177" t="str">
        <f t="shared" si="25"/>
        <v/>
      </c>
      <c r="IA120" s="177" t="str">
        <f t="shared" si="26"/>
        <v/>
      </c>
      <c r="IB120" s="533"/>
      <c r="IC120" s="533"/>
      <c r="ID120" s="533"/>
      <c r="IE120" s="534"/>
      <c r="IF120" s="534"/>
      <c r="IG120" s="534"/>
      <c r="IH120" s="534"/>
      <c r="II120" s="177" t="str">
        <f t="shared" si="27"/>
        <v/>
      </c>
      <c r="IN120" s="177" t="str">
        <f t="shared" si="28"/>
        <v/>
      </c>
      <c r="IO120" s="533"/>
      <c r="IP120" s="533"/>
      <c r="IQ120" s="533"/>
      <c r="IR120" s="534"/>
      <c r="IS120" s="534"/>
      <c r="IT120" s="534"/>
      <c r="IU120" s="534"/>
      <c r="IV120" s="177" t="str">
        <f t="shared" si="29"/>
        <v/>
      </c>
      <c r="JA120" s="177" t="str">
        <f t="shared" si="30"/>
        <v/>
      </c>
      <c r="JB120" s="533"/>
      <c r="JC120" s="533"/>
      <c r="JD120" s="533"/>
      <c r="JE120" s="534"/>
      <c r="JF120" s="534"/>
      <c r="JG120" s="534"/>
      <c r="JH120" s="534"/>
      <c r="JI120" s="177" t="str">
        <f t="shared" si="31"/>
        <v/>
      </c>
      <c r="JN120" s="177" t="str">
        <f t="shared" si="32"/>
        <v/>
      </c>
      <c r="JO120" s="533"/>
      <c r="JP120" s="533"/>
      <c r="JQ120" s="533"/>
      <c r="JR120" s="534"/>
      <c r="JS120" s="534"/>
      <c r="JT120" s="534"/>
      <c r="JU120" s="534"/>
      <c r="JV120" s="177" t="str">
        <f t="shared" si="33"/>
        <v/>
      </c>
      <c r="KA120" s="177" t="str">
        <f t="shared" si="34"/>
        <v/>
      </c>
      <c r="KB120" s="533"/>
      <c r="KC120" s="533"/>
      <c r="KD120" s="533"/>
      <c r="KE120" s="534"/>
      <c r="KF120" s="534"/>
      <c r="KG120" s="534"/>
      <c r="KH120" s="534"/>
      <c r="KI120" s="177" t="str">
        <f t="shared" si="35"/>
        <v/>
      </c>
      <c r="KN120" s="177" t="str">
        <f t="shared" si="36"/>
        <v/>
      </c>
      <c r="KO120" s="533"/>
      <c r="KP120" s="533"/>
      <c r="KQ120" s="533"/>
      <c r="KR120" s="534"/>
      <c r="KS120" s="534"/>
      <c r="KT120" s="534"/>
      <c r="KU120" s="534"/>
      <c r="KV120" s="177" t="str">
        <f t="shared" si="37"/>
        <v/>
      </c>
      <c r="LA120" s="177" t="str">
        <f t="shared" si="38"/>
        <v/>
      </c>
      <c r="LB120" s="533"/>
      <c r="LC120" s="533"/>
      <c r="LD120" s="533"/>
      <c r="LE120" s="534"/>
      <c r="LF120" s="534"/>
      <c r="LG120" s="534"/>
      <c r="LH120" s="534"/>
      <c r="LI120" s="177" t="str">
        <f t="shared" si="39"/>
        <v/>
      </c>
      <c r="LN120" s="177" t="str">
        <f t="shared" si="40"/>
        <v/>
      </c>
      <c r="LO120" s="533"/>
      <c r="LP120" s="533"/>
      <c r="LQ120" s="533"/>
      <c r="LR120" s="534"/>
      <c r="LS120" s="534"/>
      <c r="LT120" s="534"/>
      <c r="LU120" s="534"/>
      <c r="LV120" s="177" t="str">
        <f t="shared" si="41"/>
        <v/>
      </c>
      <c r="MA120" s="177" t="str">
        <f t="shared" si="42"/>
        <v/>
      </c>
      <c r="MB120" s="533"/>
      <c r="MC120" s="533"/>
      <c r="MD120" s="533"/>
      <c r="ME120" s="534"/>
      <c r="MF120" s="534"/>
      <c r="MG120" s="534"/>
      <c r="MH120" s="534"/>
      <c r="MI120" s="177" t="str">
        <f t="shared" si="43"/>
        <v/>
      </c>
      <c r="MN120" s="177" t="str">
        <f t="shared" si="44"/>
        <v/>
      </c>
      <c r="MO120" s="533"/>
      <c r="MP120" s="533"/>
      <c r="MQ120" s="533"/>
      <c r="MR120" s="534"/>
      <c r="MS120" s="534"/>
      <c r="MT120" s="534"/>
      <c r="MU120" s="534"/>
      <c r="MV120" s="177" t="str">
        <f t="shared" si="45"/>
        <v/>
      </c>
      <c r="NA120" s="177" t="str">
        <f t="shared" si="46"/>
        <v/>
      </c>
      <c r="NB120" s="533"/>
      <c r="NC120" s="533"/>
      <c r="ND120" s="533"/>
      <c r="NE120" s="534"/>
      <c r="NF120" s="534"/>
      <c r="NG120" s="534"/>
      <c r="NH120" s="534"/>
      <c r="NI120" s="177" t="str">
        <f t="shared" si="47"/>
        <v/>
      </c>
      <c r="NN120" s="177" t="str">
        <f t="shared" si="48"/>
        <v/>
      </c>
      <c r="NO120" s="533"/>
      <c r="NP120" s="533"/>
      <c r="NQ120" s="533"/>
      <c r="NR120" s="534"/>
      <c r="NS120" s="534"/>
      <c r="NT120" s="534"/>
      <c r="NU120" s="534"/>
      <c r="NV120" s="177" t="str">
        <f t="shared" si="49"/>
        <v/>
      </c>
    </row>
    <row r="121" spans="1:387" s="41" customFormat="1" ht="18" customHeight="1" x14ac:dyDescent="0.2">
      <c r="A121" s="177" t="str">
        <f>IF(B121&lt;&gt;"",24,"")</f>
        <v/>
      </c>
      <c r="B121" s="533"/>
      <c r="C121" s="533"/>
      <c r="D121" s="533"/>
      <c r="E121" s="534"/>
      <c r="F121" s="534"/>
      <c r="G121" s="535"/>
      <c r="H121" s="535"/>
      <c r="I121" s="177" t="str">
        <f t="shared" si="0"/>
        <v/>
      </c>
      <c r="N121" s="177" t="str">
        <f>IF(O121&lt;&gt;"",49,"")</f>
        <v/>
      </c>
      <c r="O121" s="533"/>
      <c r="P121" s="533"/>
      <c r="Q121" s="533"/>
      <c r="R121" s="534"/>
      <c r="S121" s="534"/>
      <c r="T121" s="534"/>
      <c r="U121" s="534"/>
      <c r="V121" s="177" t="str">
        <f t="shared" si="1"/>
        <v/>
      </c>
      <c r="AA121" s="177" t="str">
        <f>IF(AB121&lt;&gt;"",74,"")</f>
        <v/>
      </c>
      <c r="AB121" s="533"/>
      <c r="AC121" s="533"/>
      <c r="AD121" s="533"/>
      <c r="AE121" s="534"/>
      <c r="AF121" s="534"/>
      <c r="AG121" s="534"/>
      <c r="AH121" s="534"/>
      <c r="AI121" s="177" t="str">
        <f t="shared" si="2"/>
        <v/>
      </c>
      <c r="AN121" s="177" t="str">
        <f>IF(AO121&lt;&gt;"",99,"")</f>
        <v/>
      </c>
      <c r="AO121" s="533"/>
      <c r="AP121" s="533"/>
      <c r="AQ121" s="533"/>
      <c r="AR121" s="534"/>
      <c r="AS121" s="534"/>
      <c r="AT121" s="534"/>
      <c r="AU121" s="534"/>
      <c r="AV121" s="177" t="str">
        <f t="shared" si="3"/>
        <v/>
      </c>
      <c r="BA121" s="177" t="str">
        <f>IF(BB121&lt;&gt;"",124,"")</f>
        <v/>
      </c>
      <c r="BB121" s="533"/>
      <c r="BC121" s="533"/>
      <c r="BD121" s="533"/>
      <c r="BE121" s="534"/>
      <c r="BF121" s="534"/>
      <c r="BG121" s="534"/>
      <c r="BH121" s="534"/>
      <c r="BI121" s="177" t="str">
        <f t="shared" si="4"/>
        <v/>
      </c>
      <c r="BN121" s="177" t="str">
        <f>IF(BO121&lt;&gt;"",149,"")</f>
        <v/>
      </c>
      <c r="BO121" s="533"/>
      <c r="BP121" s="533"/>
      <c r="BQ121" s="533"/>
      <c r="BR121" s="534"/>
      <c r="BS121" s="534"/>
      <c r="BT121" s="534"/>
      <c r="BU121" s="534"/>
      <c r="BV121" s="177" t="str">
        <f t="shared" si="5"/>
        <v/>
      </c>
      <c r="CA121" s="177" t="str">
        <f>IF(CB121&lt;&gt;"",174,"")</f>
        <v/>
      </c>
      <c r="CB121" s="533"/>
      <c r="CC121" s="533"/>
      <c r="CD121" s="533"/>
      <c r="CE121" s="534"/>
      <c r="CF121" s="534"/>
      <c r="CG121" s="534"/>
      <c r="CH121" s="534"/>
      <c r="CI121" s="177" t="str">
        <f t="shared" si="6"/>
        <v/>
      </c>
      <c r="CN121" s="177" t="str">
        <f>IF(CO121&lt;&gt;"",199,"")</f>
        <v/>
      </c>
      <c r="CO121" s="533"/>
      <c r="CP121" s="533"/>
      <c r="CQ121" s="533"/>
      <c r="CR121" s="534"/>
      <c r="CS121" s="534"/>
      <c r="CT121" s="534"/>
      <c r="CU121" s="534"/>
      <c r="CV121" s="177" t="str">
        <f t="shared" si="7"/>
        <v/>
      </c>
      <c r="DA121" s="177" t="str">
        <f>IF(DB121&lt;&gt;"",224,"")</f>
        <v/>
      </c>
      <c r="DB121" s="533"/>
      <c r="DC121" s="533"/>
      <c r="DD121" s="533"/>
      <c r="DE121" s="534"/>
      <c r="DF121" s="534"/>
      <c r="DG121" s="534"/>
      <c r="DH121" s="534"/>
      <c r="DI121" s="177" t="str">
        <f t="shared" si="8"/>
        <v/>
      </c>
      <c r="DN121" s="177" t="str">
        <f>IF(DO121&lt;&gt;"",249,"")</f>
        <v/>
      </c>
      <c r="DO121" s="533"/>
      <c r="DP121" s="533"/>
      <c r="DQ121" s="533"/>
      <c r="DR121" s="534"/>
      <c r="DS121" s="534"/>
      <c r="DT121" s="534"/>
      <c r="DU121" s="534"/>
      <c r="DV121" s="177" t="str">
        <f t="shared" si="9"/>
        <v/>
      </c>
      <c r="EA121" s="177" t="str">
        <f t="shared" si="10"/>
        <v/>
      </c>
      <c r="EB121" s="533"/>
      <c r="EC121" s="533"/>
      <c r="ED121" s="533"/>
      <c r="EE121" s="534"/>
      <c r="EF121" s="534"/>
      <c r="EG121" s="534"/>
      <c r="EH121" s="534"/>
      <c r="EI121" s="177" t="str">
        <f t="shared" si="11"/>
        <v/>
      </c>
      <c r="EN121" s="177" t="str">
        <f t="shared" si="12"/>
        <v/>
      </c>
      <c r="EO121" s="533"/>
      <c r="EP121" s="533"/>
      <c r="EQ121" s="533"/>
      <c r="ER121" s="534"/>
      <c r="ES121" s="534"/>
      <c r="ET121" s="534"/>
      <c r="EU121" s="534"/>
      <c r="EV121" s="177" t="str">
        <f t="shared" si="13"/>
        <v/>
      </c>
      <c r="FA121" s="177" t="str">
        <f t="shared" si="14"/>
        <v/>
      </c>
      <c r="FB121" s="533"/>
      <c r="FC121" s="533"/>
      <c r="FD121" s="533"/>
      <c r="FE121" s="534"/>
      <c r="FF121" s="534"/>
      <c r="FG121" s="534"/>
      <c r="FH121" s="534"/>
      <c r="FI121" s="177" t="str">
        <f t="shared" si="15"/>
        <v/>
      </c>
      <c r="FN121" s="177" t="str">
        <f t="shared" si="16"/>
        <v/>
      </c>
      <c r="FO121" s="533"/>
      <c r="FP121" s="533"/>
      <c r="FQ121" s="533"/>
      <c r="FR121" s="534"/>
      <c r="FS121" s="534"/>
      <c r="FT121" s="534"/>
      <c r="FU121" s="534"/>
      <c r="FV121" s="177" t="str">
        <f t="shared" si="17"/>
        <v/>
      </c>
      <c r="GA121" s="177" t="str">
        <f t="shared" si="18"/>
        <v/>
      </c>
      <c r="GB121" s="533"/>
      <c r="GC121" s="533"/>
      <c r="GD121" s="533"/>
      <c r="GE121" s="534"/>
      <c r="GF121" s="534"/>
      <c r="GG121" s="534"/>
      <c r="GH121" s="534"/>
      <c r="GI121" s="177" t="str">
        <f t="shared" si="19"/>
        <v/>
      </c>
      <c r="GN121" s="177" t="str">
        <f t="shared" si="20"/>
        <v/>
      </c>
      <c r="GO121" s="533"/>
      <c r="GP121" s="533"/>
      <c r="GQ121" s="533"/>
      <c r="GR121" s="534"/>
      <c r="GS121" s="534"/>
      <c r="GT121" s="534"/>
      <c r="GU121" s="534"/>
      <c r="GV121" s="177" t="str">
        <f t="shared" si="21"/>
        <v/>
      </c>
      <c r="HA121" s="177" t="str">
        <f t="shared" si="22"/>
        <v/>
      </c>
      <c r="HB121" s="533"/>
      <c r="HC121" s="533"/>
      <c r="HD121" s="533"/>
      <c r="HE121" s="534"/>
      <c r="HF121" s="534"/>
      <c r="HG121" s="534"/>
      <c r="HH121" s="534"/>
      <c r="HI121" s="177" t="str">
        <f t="shared" si="23"/>
        <v/>
      </c>
      <c r="HN121" s="177" t="str">
        <f t="shared" si="24"/>
        <v/>
      </c>
      <c r="HO121" s="533"/>
      <c r="HP121" s="533"/>
      <c r="HQ121" s="533"/>
      <c r="HR121" s="534"/>
      <c r="HS121" s="534"/>
      <c r="HT121" s="534"/>
      <c r="HU121" s="534"/>
      <c r="HV121" s="177" t="str">
        <f t="shared" si="25"/>
        <v/>
      </c>
      <c r="IA121" s="177" t="str">
        <f t="shared" si="26"/>
        <v/>
      </c>
      <c r="IB121" s="533"/>
      <c r="IC121" s="533"/>
      <c r="ID121" s="533"/>
      <c r="IE121" s="534"/>
      <c r="IF121" s="534"/>
      <c r="IG121" s="534"/>
      <c r="IH121" s="534"/>
      <c r="II121" s="177" t="str">
        <f t="shared" si="27"/>
        <v/>
      </c>
      <c r="IN121" s="177" t="str">
        <f t="shared" si="28"/>
        <v/>
      </c>
      <c r="IO121" s="533"/>
      <c r="IP121" s="533"/>
      <c r="IQ121" s="533"/>
      <c r="IR121" s="534"/>
      <c r="IS121" s="534"/>
      <c r="IT121" s="534"/>
      <c r="IU121" s="534"/>
      <c r="IV121" s="177" t="str">
        <f t="shared" si="29"/>
        <v/>
      </c>
      <c r="JA121" s="177" t="str">
        <f t="shared" si="30"/>
        <v/>
      </c>
      <c r="JB121" s="533"/>
      <c r="JC121" s="533"/>
      <c r="JD121" s="533"/>
      <c r="JE121" s="534"/>
      <c r="JF121" s="534"/>
      <c r="JG121" s="534"/>
      <c r="JH121" s="534"/>
      <c r="JI121" s="177" t="str">
        <f t="shared" si="31"/>
        <v/>
      </c>
      <c r="JN121" s="177" t="str">
        <f t="shared" si="32"/>
        <v/>
      </c>
      <c r="JO121" s="533"/>
      <c r="JP121" s="533"/>
      <c r="JQ121" s="533"/>
      <c r="JR121" s="534"/>
      <c r="JS121" s="534"/>
      <c r="JT121" s="534"/>
      <c r="JU121" s="534"/>
      <c r="JV121" s="177" t="str">
        <f t="shared" si="33"/>
        <v/>
      </c>
      <c r="KA121" s="177" t="str">
        <f t="shared" si="34"/>
        <v/>
      </c>
      <c r="KB121" s="533"/>
      <c r="KC121" s="533"/>
      <c r="KD121" s="533"/>
      <c r="KE121" s="534"/>
      <c r="KF121" s="534"/>
      <c r="KG121" s="534"/>
      <c r="KH121" s="534"/>
      <c r="KI121" s="177" t="str">
        <f t="shared" si="35"/>
        <v/>
      </c>
      <c r="KN121" s="177" t="str">
        <f t="shared" si="36"/>
        <v/>
      </c>
      <c r="KO121" s="533"/>
      <c r="KP121" s="533"/>
      <c r="KQ121" s="533"/>
      <c r="KR121" s="534"/>
      <c r="KS121" s="534"/>
      <c r="KT121" s="534"/>
      <c r="KU121" s="534"/>
      <c r="KV121" s="177" t="str">
        <f t="shared" si="37"/>
        <v/>
      </c>
      <c r="LA121" s="177" t="str">
        <f t="shared" si="38"/>
        <v/>
      </c>
      <c r="LB121" s="533"/>
      <c r="LC121" s="533"/>
      <c r="LD121" s="533"/>
      <c r="LE121" s="534"/>
      <c r="LF121" s="534"/>
      <c r="LG121" s="534"/>
      <c r="LH121" s="534"/>
      <c r="LI121" s="177" t="str">
        <f t="shared" si="39"/>
        <v/>
      </c>
      <c r="LN121" s="177" t="str">
        <f t="shared" si="40"/>
        <v/>
      </c>
      <c r="LO121" s="533"/>
      <c r="LP121" s="533"/>
      <c r="LQ121" s="533"/>
      <c r="LR121" s="534"/>
      <c r="LS121" s="534"/>
      <c r="LT121" s="534"/>
      <c r="LU121" s="534"/>
      <c r="LV121" s="177" t="str">
        <f t="shared" si="41"/>
        <v/>
      </c>
      <c r="MA121" s="177" t="str">
        <f t="shared" si="42"/>
        <v/>
      </c>
      <c r="MB121" s="533"/>
      <c r="MC121" s="533"/>
      <c r="MD121" s="533"/>
      <c r="ME121" s="534"/>
      <c r="MF121" s="534"/>
      <c r="MG121" s="534"/>
      <c r="MH121" s="534"/>
      <c r="MI121" s="177" t="str">
        <f t="shared" si="43"/>
        <v/>
      </c>
      <c r="MN121" s="177" t="str">
        <f t="shared" si="44"/>
        <v/>
      </c>
      <c r="MO121" s="533"/>
      <c r="MP121" s="533"/>
      <c r="MQ121" s="533"/>
      <c r="MR121" s="534"/>
      <c r="MS121" s="534"/>
      <c r="MT121" s="534"/>
      <c r="MU121" s="534"/>
      <c r="MV121" s="177" t="str">
        <f t="shared" si="45"/>
        <v/>
      </c>
      <c r="NA121" s="177" t="str">
        <f t="shared" si="46"/>
        <v/>
      </c>
      <c r="NB121" s="533"/>
      <c r="NC121" s="533"/>
      <c r="ND121" s="533"/>
      <c r="NE121" s="534"/>
      <c r="NF121" s="534"/>
      <c r="NG121" s="534"/>
      <c r="NH121" s="534"/>
      <c r="NI121" s="177" t="str">
        <f t="shared" si="47"/>
        <v/>
      </c>
      <c r="NN121" s="177" t="str">
        <f t="shared" si="48"/>
        <v/>
      </c>
      <c r="NO121" s="533"/>
      <c r="NP121" s="533"/>
      <c r="NQ121" s="533"/>
      <c r="NR121" s="534"/>
      <c r="NS121" s="534"/>
      <c r="NT121" s="534"/>
      <c r="NU121" s="534"/>
      <c r="NV121" s="177" t="str">
        <f t="shared" si="49"/>
        <v/>
      </c>
    </row>
    <row r="122" spans="1:387" s="41" customFormat="1" ht="18" customHeight="1" x14ac:dyDescent="0.2">
      <c r="A122" s="177" t="str">
        <f>IF(B122&lt;&gt;"",25,"")</f>
        <v/>
      </c>
      <c r="B122" s="533"/>
      <c r="C122" s="533"/>
      <c r="D122" s="533"/>
      <c r="E122" s="534"/>
      <c r="F122" s="534"/>
      <c r="G122" s="535"/>
      <c r="H122" s="535"/>
      <c r="I122" s="177" t="str">
        <f t="shared" si="0"/>
        <v/>
      </c>
      <c r="N122" s="177" t="str">
        <f>IF(O122&lt;&gt;"",50,"")</f>
        <v/>
      </c>
      <c r="O122" s="533"/>
      <c r="P122" s="533"/>
      <c r="Q122" s="533"/>
      <c r="R122" s="534"/>
      <c r="S122" s="534"/>
      <c r="T122" s="534"/>
      <c r="U122" s="534"/>
      <c r="V122" s="177" t="str">
        <f t="shared" si="1"/>
        <v/>
      </c>
      <c r="AA122" s="177" t="str">
        <f>IF(AB122&lt;&gt;"",75,"")</f>
        <v/>
      </c>
      <c r="AB122" s="533"/>
      <c r="AC122" s="533"/>
      <c r="AD122" s="533"/>
      <c r="AE122" s="534"/>
      <c r="AF122" s="534"/>
      <c r="AG122" s="534"/>
      <c r="AH122" s="534"/>
      <c r="AI122" s="177" t="str">
        <f t="shared" si="2"/>
        <v/>
      </c>
      <c r="AN122" s="177" t="str">
        <f>IF(AO122&lt;&gt;"",100,"")</f>
        <v/>
      </c>
      <c r="AO122" s="533"/>
      <c r="AP122" s="533"/>
      <c r="AQ122" s="533"/>
      <c r="AR122" s="534"/>
      <c r="AS122" s="534"/>
      <c r="AT122" s="534"/>
      <c r="AU122" s="534"/>
      <c r="AV122" s="177" t="str">
        <f t="shared" si="3"/>
        <v/>
      </c>
      <c r="BA122" s="177" t="str">
        <f>IF(BB122&lt;&gt;"",125,"")</f>
        <v/>
      </c>
      <c r="BB122" s="533"/>
      <c r="BC122" s="533"/>
      <c r="BD122" s="533"/>
      <c r="BE122" s="534"/>
      <c r="BF122" s="534"/>
      <c r="BG122" s="534"/>
      <c r="BH122" s="534"/>
      <c r="BI122" s="177" t="str">
        <f t="shared" si="4"/>
        <v/>
      </c>
      <c r="BN122" s="177" t="str">
        <f>IF(BO122&lt;&gt;"",150,"")</f>
        <v/>
      </c>
      <c r="BO122" s="533"/>
      <c r="BP122" s="533"/>
      <c r="BQ122" s="533"/>
      <c r="BR122" s="534"/>
      <c r="BS122" s="534"/>
      <c r="BT122" s="534"/>
      <c r="BU122" s="534"/>
      <c r="BV122" s="177" t="str">
        <f t="shared" si="5"/>
        <v/>
      </c>
      <c r="CA122" s="177" t="str">
        <f>IF(CB122&lt;&gt;"",175,"")</f>
        <v/>
      </c>
      <c r="CB122" s="533"/>
      <c r="CC122" s="533"/>
      <c r="CD122" s="533"/>
      <c r="CE122" s="534"/>
      <c r="CF122" s="534"/>
      <c r="CG122" s="534"/>
      <c r="CH122" s="534"/>
      <c r="CI122" s="177" t="str">
        <f t="shared" si="6"/>
        <v/>
      </c>
      <c r="CN122" s="177" t="str">
        <f>IF(CO122&lt;&gt;"",200,"")</f>
        <v/>
      </c>
      <c r="CO122" s="533"/>
      <c r="CP122" s="533"/>
      <c r="CQ122" s="533"/>
      <c r="CR122" s="534"/>
      <c r="CS122" s="534"/>
      <c r="CT122" s="534"/>
      <c r="CU122" s="534"/>
      <c r="CV122" s="177" t="str">
        <f t="shared" si="7"/>
        <v/>
      </c>
      <c r="DA122" s="177" t="str">
        <f>IF(DB122&lt;&gt;"",225,"")</f>
        <v/>
      </c>
      <c r="DB122" s="533"/>
      <c r="DC122" s="533"/>
      <c r="DD122" s="533"/>
      <c r="DE122" s="534"/>
      <c r="DF122" s="534"/>
      <c r="DG122" s="534"/>
      <c r="DH122" s="534"/>
      <c r="DI122" s="177" t="str">
        <f t="shared" si="8"/>
        <v/>
      </c>
      <c r="DN122" s="177" t="str">
        <f>IF(DO122&lt;&gt;"",250,"")</f>
        <v/>
      </c>
      <c r="DO122" s="533"/>
      <c r="DP122" s="533"/>
      <c r="DQ122" s="533"/>
      <c r="DR122" s="534"/>
      <c r="DS122" s="534"/>
      <c r="DT122" s="534"/>
      <c r="DU122" s="534"/>
      <c r="DV122" s="177" t="str">
        <f t="shared" si="9"/>
        <v/>
      </c>
      <c r="EA122" s="177" t="str">
        <f t="shared" si="10"/>
        <v/>
      </c>
      <c r="EB122" s="533"/>
      <c r="EC122" s="533"/>
      <c r="ED122" s="533"/>
      <c r="EE122" s="534"/>
      <c r="EF122" s="534"/>
      <c r="EG122" s="534"/>
      <c r="EH122" s="534"/>
      <c r="EI122" s="177" t="str">
        <f t="shared" si="11"/>
        <v/>
      </c>
      <c r="EN122" s="177" t="str">
        <f t="shared" si="12"/>
        <v/>
      </c>
      <c r="EO122" s="533"/>
      <c r="EP122" s="533"/>
      <c r="EQ122" s="533"/>
      <c r="ER122" s="534"/>
      <c r="ES122" s="534"/>
      <c r="ET122" s="534"/>
      <c r="EU122" s="534"/>
      <c r="EV122" s="177" t="str">
        <f t="shared" si="13"/>
        <v/>
      </c>
      <c r="FA122" s="177" t="str">
        <f t="shared" si="14"/>
        <v/>
      </c>
      <c r="FB122" s="533"/>
      <c r="FC122" s="533"/>
      <c r="FD122" s="533"/>
      <c r="FE122" s="534"/>
      <c r="FF122" s="534"/>
      <c r="FG122" s="534"/>
      <c r="FH122" s="534"/>
      <c r="FI122" s="177" t="str">
        <f t="shared" si="15"/>
        <v/>
      </c>
      <c r="FN122" s="177" t="str">
        <f t="shared" si="16"/>
        <v/>
      </c>
      <c r="FO122" s="533"/>
      <c r="FP122" s="533"/>
      <c r="FQ122" s="533"/>
      <c r="FR122" s="534"/>
      <c r="FS122" s="534"/>
      <c r="FT122" s="534"/>
      <c r="FU122" s="534"/>
      <c r="FV122" s="177" t="str">
        <f t="shared" si="17"/>
        <v/>
      </c>
      <c r="GA122" s="177" t="str">
        <f t="shared" si="18"/>
        <v/>
      </c>
      <c r="GB122" s="533"/>
      <c r="GC122" s="533"/>
      <c r="GD122" s="533"/>
      <c r="GE122" s="534"/>
      <c r="GF122" s="534"/>
      <c r="GG122" s="534"/>
      <c r="GH122" s="534"/>
      <c r="GI122" s="177" t="str">
        <f t="shared" si="19"/>
        <v/>
      </c>
      <c r="GN122" s="177" t="str">
        <f t="shared" si="20"/>
        <v/>
      </c>
      <c r="GO122" s="533"/>
      <c r="GP122" s="533"/>
      <c r="GQ122" s="533"/>
      <c r="GR122" s="534"/>
      <c r="GS122" s="534"/>
      <c r="GT122" s="534"/>
      <c r="GU122" s="534"/>
      <c r="GV122" s="177" t="str">
        <f t="shared" si="21"/>
        <v/>
      </c>
      <c r="HA122" s="177" t="str">
        <f t="shared" si="22"/>
        <v/>
      </c>
      <c r="HB122" s="533"/>
      <c r="HC122" s="533"/>
      <c r="HD122" s="533"/>
      <c r="HE122" s="534"/>
      <c r="HF122" s="534"/>
      <c r="HG122" s="534"/>
      <c r="HH122" s="534"/>
      <c r="HI122" s="177" t="str">
        <f t="shared" si="23"/>
        <v/>
      </c>
      <c r="HN122" s="177" t="str">
        <f t="shared" si="24"/>
        <v/>
      </c>
      <c r="HO122" s="533"/>
      <c r="HP122" s="533"/>
      <c r="HQ122" s="533"/>
      <c r="HR122" s="534"/>
      <c r="HS122" s="534"/>
      <c r="HT122" s="534"/>
      <c r="HU122" s="534"/>
      <c r="HV122" s="177" t="str">
        <f t="shared" si="25"/>
        <v/>
      </c>
      <c r="IA122" s="177" t="str">
        <f t="shared" si="26"/>
        <v/>
      </c>
      <c r="IB122" s="533"/>
      <c r="IC122" s="533"/>
      <c r="ID122" s="533"/>
      <c r="IE122" s="534"/>
      <c r="IF122" s="534"/>
      <c r="IG122" s="534"/>
      <c r="IH122" s="534"/>
      <c r="II122" s="177" t="str">
        <f t="shared" si="27"/>
        <v/>
      </c>
      <c r="IN122" s="177" t="str">
        <f t="shared" si="28"/>
        <v/>
      </c>
      <c r="IO122" s="533"/>
      <c r="IP122" s="533"/>
      <c r="IQ122" s="533"/>
      <c r="IR122" s="534"/>
      <c r="IS122" s="534"/>
      <c r="IT122" s="534"/>
      <c r="IU122" s="534"/>
      <c r="IV122" s="177" t="str">
        <f t="shared" si="29"/>
        <v/>
      </c>
      <c r="JA122" s="177" t="str">
        <f t="shared" si="30"/>
        <v/>
      </c>
      <c r="JB122" s="533"/>
      <c r="JC122" s="533"/>
      <c r="JD122" s="533"/>
      <c r="JE122" s="534"/>
      <c r="JF122" s="534"/>
      <c r="JG122" s="534"/>
      <c r="JH122" s="534"/>
      <c r="JI122" s="177" t="str">
        <f t="shared" si="31"/>
        <v/>
      </c>
      <c r="JN122" s="177" t="str">
        <f t="shared" si="32"/>
        <v/>
      </c>
      <c r="JO122" s="533"/>
      <c r="JP122" s="533"/>
      <c r="JQ122" s="533"/>
      <c r="JR122" s="534"/>
      <c r="JS122" s="534"/>
      <c r="JT122" s="534"/>
      <c r="JU122" s="534"/>
      <c r="JV122" s="177" t="str">
        <f t="shared" si="33"/>
        <v/>
      </c>
      <c r="KA122" s="177" t="str">
        <f t="shared" si="34"/>
        <v/>
      </c>
      <c r="KB122" s="533"/>
      <c r="KC122" s="533"/>
      <c r="KD122" s="533"/>
      <c r="KE122" s="534"/>
      <c r="KF122" s="534"/>
      <c r="KG122" s="534"/>
      <c r="KH122" s="534"/>
      <c r="KI122" s="177" t="str">
        <f t="shared" si="35"/>
        <v/>
      </c>
      <c r="KN122" s="177" t="str">
        <f t="shared" si="36"/>
        <v/>
      </c>
      <c r="KO122" s="533"/>
      <c r="KP122" s="533"/>
      <c r="KQ122" s="533"/>
      <c r="KR122" s="534"/>
      <c r="KS122" s="534"/>
      <c r="KT122" s="534"/>
      <c r="KU122" s="534"/>
      <c r="KV122" s="177" t="str">
        <f t="shared" si="37"/>
        <v/>
      </c>
      <c r="LA122" s="177" t="str">
        <f t="shared" si="38"/>
        <v/>
      </c>
      <c r="LB122" s="533"/>
      <c r="LC122" s="533"/>
      <c r="LD122" s="533"/>
      <c r="LE122" s="534"/>
      <c r="LF122" s="534"/>
      <c r="LG122" s="534"/>
      <c r="LH122" s="534"/>
      <c r="LI122" s="177" t="str">
        <f t="shared" si="39"/>
        <v/>
      </c>
      <c r="LN122" s="177" t="str">
        <f t="shared" si="40"/>
        <v/>
      </c>
      <c r="LO122" s="533"/>
      <c r="LP122" s="533"/>
      <c r="LQ122" s="533"/>
      <c r="LR122" s="534"/>
      <c r="LS122" s="534"/>
      <c r="LT122" s="534"/>
      <c r="LU122" s="534"/>
      <c r="LV122" s="177" t="str">
        <f t="shared" si="41"/>
        <v/>
      </c>
      <c r="MA122" s="61" t="str">
        <f t="shared" si="42"/>
        <v/>
      </c>
      <c r="MB122" s="533"/>
      <c r="MC122" s="533"/>
      <c r="MD122" s="533"/>
      <c r="ME122" s="534"/>
      <c r="MF122" s="534"/>
      <c r="MG122" s="534"/>
      <c r="MH122" s="534"/>
      <c r="MI122" s="177" t="str">
        <f t="shared" si="43"/>
        <v/>
      </c>
      <c r="MN122" s="177" t="str">
        <f t="shared" si="44"/>
        <v/>
      </c>
      <c r="MO122" s="533"/>
      <c r="MP122" s="533"/>
      <c r="MQ122" s="533"/>
      <c r="MR122" s="534"/>
      <c r="MS122" s="534"/>
      <c r="MT122" s="534"/>
      <c r="MU122" s="534"/>
      <c r="MV122" s="177" t="str">
        <f t="shared" si="45"/>
        <v/>
      </c>
      <c r="NA122" s="177" t="str">
        <f t="shared" si="46"/>
        <v/>
      </c>
      <c r="NB122" s="533"/>
      <c r="NC122" s="533"/>
      <c r="ND122" s="533"/>
      <c r="NE122" s="534"/>
      <c r="NF122" s="534"/>
      <c r="NG122" s="534"/>
      <c r="NH122" s="534"/>
      <c r="NI122" s="177" t="str">
        <f t="shared" si="47"/>
        <v/>
      </c>
      <c r="NN122" s="177" t="str">
        <f t="shared" si="48"/>
        <v/>
      </c>
      <c r="NO122" s="533"/>
      <c r="NP122" s="533"/>
      <c r="NQ122" s="533"/>
      <c r="NR122" s="534"/>
      <c r="NS122" s="534"/>
      <c r="NT122" s="534"/>
      <c r="NU122" s="534"/>
      <c r="NV122" s="177" t="str">
        <f t="shared" si="49"/>
        <v/>
      </c>
    </row>
    <row r="123" spans="1:387" s="41" customFormat="1" ht="14.25" x14ac:dyDescent="0.2">
      <c r="A123" s="87"/>
      <c r="B123" s="52"/>
      <c r="C123" s="87"/>
      <c r="D123" s="87"/>
      <c r="E123" s="87"/>
      <c r="F123" s="87"/>
      <c r="O123" s="32"/>
      <c r="AB123" s="32"/>
      <c r="AO123" s="32"/>
      <c r="BB123" s="32"/>
      <c r="BO123" s="32"/>
      <c r="CB123" s="32"/>
      <c r="CO123" s="32"/>
      <c r="DB123" s="32"/>
      <c r="DO123" s="32"/>
      <c r="EB123" s="32"/>
      <c r="EO123" s="32"/>
      <c r="FB123" s="32"/>
      <c r="FO123" s="32"/>
      <c r="GB123" s="32"/>
      <c r="GO123" s="32"/>
      <c r="HB123" s="32"/>
      <c r="HO123" s="32"/>
      <c r="IB123" s="32"/>
      <c r="IO123" s="32"/>
      <c r="JB123" s="32"/>
      <c r="JO123" s="32"/>
      <c r="KB123" s="32"/>
      <c r="KO123" s="32"/>
      <c r="LB123" s="32"/>
      <c r="LO123" s="32"/>
      <c r="MB123" s="32"/>
      <c r="MO123" s="32"/>
      <c r="NB123" s="32"/>
      <c r="NO123" s="32"/>
    </row>
    <row r="124" spans="1:387" s="41" customFormat="1" ht="14.25" x14ac:dyDescent="0.2">
      <c r="A124" s="87"/>
      <c r="B124" s="52"/>
      <c r="C124" s="87"/>
      <c r="D124" s="87"/>
      <c r="E124" s="87"/>
      <c r="F124" s="87"/>
      <c r="O124" s="32"/>
      <c r="AB124" s="32"/>
      <c r="AO124" s="32"/>
      <c r="BB124" s="32"/>
      <c r="BO124" s="32"/>
      <c r="CB124" s="32"/>
      <c r="CO124" s="32"/>
      <c r="DB124" s="32"/>
      <c r="DO124" s="32"/>
      <c r="EB124" s="32"/>
      <c r="EO124" s="32"/>
      <c r="FB124" s="32"/>
      <c r="FO124" s="32"/>
      <c r="GB124" s="32"/>
      <c r="GO124" s="32"/>
      <c r="HB124" s="32"/>
      <c r="HO124" s="32"/>
      <c r="IB124" s="32"/>
      <c r="IO124" s="32"/>
      <c r="JB124" s="32"/>
      <c r="JO124" s="32"/>
      <c r="KB124" s="32"/>
      <c r="KO124" s="32"/>
      <c r="LB124" s="32"/>
      <c r="LO124" s="32"/>
      <c r="MB124" s="32"/>
      <c r="MO124" s="32"/>
      <c r="NB124" s="32"/>
      <c r="NO124" s="32"/>
    </row>
    <row r="125" spans="1:387" s="41" customFormat="1" ht="74.25" customHeight="1" x14ac:dyDescent="0.2">
      <c r="B125" s="341" t="str">
        <f>IF(AND($H$64&gt;=1,$H$64&lt;&gt;"Please Select",I84=""),"Place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[.xlsx]).",IF(AND($H$64&gt;=1,$H$64&lt;&gt;"Please Select",I84&lt;&gt;""),"Place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125" s="341"/>
      <c r="D125" s="341"/>
      <c r="E125" s="341"/>
      <c r="F125" s="341"/>
      <c r="G125" s="341"/>
      <c r="H125" s="341"/>
      <c r="I125" s="341"/>
      <c r="J125" s="341"/>
      <c r="O125" s="341" t="str">
        <f>IF(AND($H$64&gt;=2,$H$64&lt;&gt;"Please Select",V84=""),"Place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[.xlsx]).",IF(AND($H$64&gt;=2,$H$64&lt;&gt;"Please Select",V84&lt;&gt;""),"Place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P125" s="341"/>
      <c r="Q125" s="341"/>
      <c r="R125" s="341"/>
      <c r="S125" s="341"/>
      <c r="T125" s="341"/>
      <c r="U125" s="341"/>
      <c r="V125" s="341"/>
      <c r="W125" s="341"/>
      <c r="AB125" s="341" t="str">
        <f>IF(AND($H$64&gt;=3,$H$64&lt;&gt;"Please Select",AI84=""),"Place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[.xlsx]).",IF(AND($H$64&gt;=3,$H$64&lt;&gt;"Please Select",AI84&lt;&gt;""),"Place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AC125" s="341"/>
      <c r="AD125" s="341"/>
      <c r="AE125" s="341"/>
      <c r="AF125" s="341"/>
      <c r="AG125" s="341"/>
      <c r="AH125" s="341"/>
      <c r="AI125" s="341"/>
      <c r="AJ125" s="341"/>
      <c r="AO125" s="341" t="str">
        <f>IF(AND($H$64&gt;=4,$H$64&lt;&gt;"Please Select",AV84=""),"Place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[.xlsx]).",IF(AND($H$64&gt;=4,$H$64&lt;&gt;"Please Select",AV84&lt;&gt;""),"Place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AP125" s="341"/>
      <c r="AQ125" s="341"/>
      <c r="AR125" s="341"/>
      <c r="AS125" s="341"/>
      <c r="AT125" s="341"/>
      <c r="AU125" s="341"/>
      <c r="AV125" s="341"/>
      <c r="AW125" s="341"/>
      <c r="BB125" s="341" t="str">
        <f>IF(AND($H$64&gt;=5,$H$64&lt;&gt;"Please Select",BI84=""),"Place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[.xlsx]).",IF(AND($H$64&gt;=5,$H$64&lt;&gt;"Please Select",BI84&lt;&gt;""),"Place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BC125" s="341"/>
      <c r="BD125" s="341"/>
      <c r="BE125" s="341"/>
      <c r="BF125" s="341"/>
      <c r="BG125" s="341"/>
      <c r="BH125" s="341"/>
      <c r="BI125" s="341"/>
      <c r="BJ125" s="341"/>
      <c r="BO125" s="341" t="str">
        <f>IF(AND($H$64&gt;=6,$H$64&lt;&gt;"Please Select",BV84=""),"Place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[.xlsx]).",IF(AND($H$64&gt;=6,$H$64&lt;&gt;"Please Select",BV84&lt;&gt;""),"Place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BP125" s="341"/>
      <c r="BQ125" s="341"/>
      <c r="BR125" s="341"/>
      <c r="BS125" s="341"/>
      <c r="BT125" s="341"/>
      <c r="BU125" s="341"/>
      <c r="BV125" s="341"/>
      <c r="BW125" s="341"/>
      <c r="CB125" s="341" t="str">
        <f>IF(AND($H$64&gt;=7,$H$64&lt;&gt;"Please Select",CI84=""),"Place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[.xlsx]).",IF(AND($H$64&gt;=7,$H$64&lt;&gt;"Please Select",CI84&lt;&gt;""),"Place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C125" s="341"/>
      <c r="CD125" s="341"/>
      <c r="CE125" s="341"/>
      <c r="CF125" s="341"/>
      <c r="CG125" s="341"/>
      <c r="CH125" s="341"/>
      <c r="CI125" s="341"/>
      <c r="CJ125" s="341"/>
      <c r="CO125" s="341" t="str">
        <f>IF(AND($H$64&gt;=8,$H$64&lt;&gt;"Please Select",CV84=""),"Place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[.xlsx]).",IF(AND($H$64&gt;=8,$H$64&lt;&gt;"Please Select",CV84&lt;&gt;""),"Place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P125" s="341"/>
      <c r="CQ125" s="341"/>
      <c r="CR125" s="341"/>
      <c r="CS125" s="341"/>
      <c r="CT125" s="341"/>
      <c r="CU125" s="341"/>
      <c r="CV125" s="341"/>
      <c r="CW125" s="341"/>
      <c r="DB125" s="341" t="str">
        <f>IF(AND($H$64&gt;=9,$H$64&lt;&gt;"Please Select",DI84=""),"Place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[.xlsx]).",IF(AND($H$64&gt;=9,$H$64&lt;&gt;"Please Select",DI84&lt;&gt;""),"Place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DC125" s="341"/>
      <c r="DD125" s="341"/>
      <c r="DE125" s="341"/>
      <c r="DF125" s="341"/>
      <c r="DG125" s="341"/>
      <c r="DH125" s="341"/>
      <c r="DI125" s="341"/>
      <c r="DJ125" s="341"/>
      <c r="DO125" s="341" t="str">
        <f>IF(AND($H$64&gt;=10,$H$64&lt;&gt;"Please Select",DV84=""),"Place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[.xlsx]).",IF(AND($H$64&gt;=10,$H$64&lt;&gt;"Please Select",DV84&lt;&gt;""),"Place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DP125" s="341"/>
      <c r="DQ125" s="341"/>
      <c r="DR125" s="341"/>
      <c r="DS125" s="341"/>
      <c r="DT125" s="341"/>
      <c r="DU125" s="341"/>
      <c r="DV125" s="341"/>
      <c r="DW125" s="341"/>
      <c r="EB125" s="341" t="str">
        <f>IF(AND($H$64&gt;=11,$H$64&lt;&gt;"Please Select",EI84=""),"Place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[.xlsx]).",IF(AND($H$64&gt;=11,$H$64&lt;&gt;"Please Select",EI84&lt;&gt;""),"Place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EC125" s="341"/>
      <c r="ED125" s="341"/>
      <c r="EE125" s="341"/>
      <c r="EF125" s="341"/>
      <c r="EG125" s="341"/>
      <c r="EH125" s="341"/>
      <c r="EI125" s="341"/>
      <c r="EJ125" s="341"/>
      <c r="EO125" s="341" t="str">
        <f>IF(AND($H$64&gt;=12,$H$64&lt;&gt;"Please Select",EV84=""),"Place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[.xlsx]).",IF(AND($H$64&gt;=12,$H$64&lt;&gt;"Please Select",EV84&lt;&gt;""),"Place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EP125" s="341"/>
      <c r="EQ125" s="341"/>
      <c r="ER125" s="341"/>
      <c r="ES125" s="341"/>
      <c r="ET125" s="341"/>
      <c r="EU125" s="341"/>
      <c r="EV125" s="341"/>
      <c r="EW125" s="341"/>
      <c r="FB125" s="341" t="str">
        <f>IF(AND($H$64&gt;=13,$H$64&lt;&gt;"Please Select",FI84=""),"Place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[.xlsx]).",IF(AND($H$64&gt;=13,$H$64&lt;&gt;"Please Select",FI84&lt;&gt;""),"Place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FC125" s="341"/>
      <c r="FD125" s="341"/>
      <c r="FE125" s="341"/>
      <c r="FF125" s="341"/>
      <c r="FG125" s="341"/>
      <c r="FH125" s="341"/>
      <c r="FI125" s="341"/>
      <c r="FJ125" s="341"/>
      <c r="FO125" s="341" t="str">
        <f>IF(AND($H$64&gt;=14,$H$64&lt;&gt;"Please Select",FV84=""),"Place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[.xlsx]).",IF(AND($H$64&gt;=14,$H$64&lt;&gt;"Please Select",FV84&lt;&gt;""),"Place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FP125" s="341"/>
      <c r="FQ125" s="341"/>
      <c r="FR125" s="341"/>
      <c r="FS125" s="341"/>
      <c r="FT125" s="341"/>
      <c r="FU125" s="341"/>
      <c r="FV125" s="341"/>
      <c r="FW125" s="341"/>
      <c r="GB125" s="341" t="str">
        <f>IF(AND($H$64&gt;=15,$H$64&lt;&gt;"Please Select",GI84=""),"Place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[.xlsx]).",IF(AND($H$64&gt;=15,$H$64&lt;&gt;"Please Select",GI84&lt;&gt;""),"Place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GC125" s="341"/>
      <c r="GD125" s="341"/>
      <c r="GE125" s="341"/>
      <c r="GF125" s="341"/>
      <c r="GG125" s="341"/>
      <c r="GH125" s="341"/>
      <c r="GI125" s="341"/>
      <c r="GJ125" s="341"/>
      <c r="GO125" s="341" t="str">
        <f>IF(AND($H$64&gt;=16,$H$64&lt;&gt;"Please Select",GV84=""),"Place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[.xlsx]).",IF(AND($H$64&gt;=16,$H$64&lt;&gt;"Please Select",GV84&lt;&gt;""),"Place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GP125" s="341"/>
      <c r="GQ125" s="341"/>
      <c r="GR125" s="341"/>
      <c r="GS125" s="341"/>
      <c r="GT125" s="341"/>
      <c r="GU125" s="341"/>
      <c r="GV125" s="341"/>
      <c r="GW125" s="341"/>
      <c r="HB125" s="341" t="str">
        <f>IF(AND($H$64&gt;=17,$H$64&lt;&gt;"Please Select",HI84=""),"Place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[.xlsx]).",IF(AND($H$64&gt;=17,$H$64&lt;&gt;"Please Select",HI84&lt;&gt;""),"Place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HC125" s="341"/>
      <c r="HD125" s="341"/>
      <c r="HE125" s="341"/>
      <c r="HF125" s="341"/>
      <c r="HG125" s="341"/>
      <c r="HH125" s="341"/>
      <c r="HI125" s="341"/>
      <c r="HJ125" s="341"/>
      <c r="HO125" s="341" t="str">
        <f>IF(AND($H$64&gt;=18,$H$64&lt;&gt;"Please Select",HV84=""),"Place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[.xlsx]).",IF(AND($H$64&gt;=18,$H$64&lt;&gt;"Please Select",HV84&lt;&gt;""),"Place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HP125" s="341"/>
      <c r="HQ125" s="341"/>
      <c r="HR125" s="341"/>
      <c r="HS125" s="341"/>
      <c r="HT125" s="341"/>
      <c r="HU125" s="341"/>
      <c r="HV125" s="341"/>
      <c r="HW125" s="341"/>
      <c r="IB125" s="341" t="str">
        <f>IF(AND($H$64&gt;=19,$H$64&lt;&gt;"Please Select",II84=""),"Place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[.xlsx]).",IF(AND($H$64&gt;=19,$H$64&lt;&gt;"Please Select",II84&lt;&gt;""),"Place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IC125" s="341"/>
      <c r="ID125" s="341"/>
      <c r="IE125" s="341"/>
      <c r="IF125" s="341"/>
      <c r="IG125" s="341"/>
      <c r="IH125" s="341"/>
      <c r="II125" s="341"/>
      <c r="IJ125" s="341"/>
      <c r="IO125" s="341" t="str">
        <f>IF(AND($H$64&gt;=20,$H$64&lt;&gt;"Please Select",IV84=""),"Place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[.xlsx]).",IF(AND($H$64&gt;=20,$H$64&lt;&gt;"Please Select",IV84&lt;&gt;""),"Place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IP125" s="341"/>
      <c r="IQ125" s="341"/>
      <c r="IR125" s="341"/>
      <c r="IS125" s="341"/>
      <c r="IT125" s="341"/>
      <c r="IU125" s="341"/>
      <c r="IV125" s="341"/>
      <c r="IW125" s="341"/>
      <c r="JB125" s="341" t="str">
        <f>IF(AND($H$64&gt;=21,$H$64&lt;&gt;"Please Select",JI84=""),"Place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[.xlsx]).",IF(AND($H$64&gt;=21,$H$64&lt;&gt;"Please Select",JI84&lt;&gt;""),"Place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JC125" s="341"/>
      <c r="JD125" s="341"/>
      <c r="JE125" s="341"/>
      <c r="JF125" s="341"/>
      <c r="JG125" s="341"/>
      <c r="JH125" s="341"/>
      <c r="JI125" s="341"/>
      <c r="JJ125" s="341"/>
      <c r="JO125" s="341" t="str">
        <f>IF(AND($H$64&gt;=22,$H$64&lt;&gt;"Please Select",JV84=""),"Place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[.xlsx]).",IF(AND($H$64&gt;=22,$H$64&lt;&gt;"Please Select",JV84&lt;&gt;""),"Place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JP125" s="341"/>
      <c r="JQ125" s="341"/>
      <c r="JR125" s="341"/>
      <c r="JS125" s="341"/>
      <c r="JT125" s="341"/>
      <c r="JU125" s="341"/>
      <c r="JV125" s="341"/>
      <c r="JW125" s="341"/>
      <c r="KB125" s="341" t="str">
        <f>IF(AND($H$64&gt;=23,$H$64&lt;&gt;"Please Select",KI84=""),"Place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[.xlsx]).",IF(AND($H$64&gt;=23,$H$64&lt;&gt;"Please Select",KI84&lt;&gt;""),"Place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KC125" s="341"/>
      <c r="KD125" s="341"/>
      <c r="KE125" s="341"/>
      <c r="KF125" s="341"/>
      <c r="KG125" s="341"/>
      <c r="KH125" s="341"/>
      <c r="KI125" s="341"/>
      <c r="KJ125" s="341"/>
      <c r="KO125" s="341" t="str">
        <f>IF(AND($H$64&gt;=24,$H$64&lt;&gt;"Please Select",KV84=""),"Place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[.xlsx]).",IF(AND($H$64&gt;=24,$H$64&lt;&gt;"Please Select",KV84&lt;&gt;""),"Place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KP125" s="341"/>
      <c r="KQ125" s="341"/>
      <c r="KR125" s="341"/>
      <c r="KS125" s="341"/>
      <c r="KT125" s="341"/>
      <c r="KU125" s="341"/>
      <c r="KV125" s="341"/>
      <c r="KW125" s="341"/>
      <c r="LB125" s="341" t="str">
        <f>IF(AND($H$64&gt;=25,$H$64&lt;&gt;"Please Select",LI84=""),"Place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[.xlsx]).",IF(AND($H$64&gt;=25,$H$64&lt;&gt;"Please Select",LI84&lt;&gt;""),"Place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LC125" s="341"/>
      <c r="LD125" s="341"/>
      <c r="LE125" s="341"/>
      <c r="LF125" s="341"/>
      <c r="LG125" s="341"/>
      <c r="LH125" s="341"/>
      <c r="LI125" s="341"/>
      <c r="LJ125" s="341"/>
      <c r="LO125" s="341" t="str">
        <f>IF(AND($H$64&gt;=26,$H$64&lt;&gt;"Please Select",LV84=""),"Place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[.xlsx]).",IF(AND($H$64&gt;=26,$H$64&lt;&gt;"Please Select",LV84&lt;&gt;""),"Place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LP125" s="341"/>
      <c r="LQ125" s="341"/>
      <c r="LR125" s="341"/>
      <c r="LS125" s="341"/>
      <c r="LT125" s="341"/>
      <c r="LU125" s="341"/>
      <c r="LV125" s="341"/>
      <c r="LW125" s="341"/>
      <c r="MB125" s="341" t="str">
        <f>IF(AND($H$64&gt;=27,$H$64&lt;&gt;"Please Select",MI84=""),"Place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[.xlsx]).",IF(AND($H$64&gt;=27,$H$64&lt;&gt;"Please Select",MI84&lt;&gt;""),"Place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MC125" s="341"/>
      <c r="MD125" s="341"/>
      <c r="ME125" s="341"/>
      <c r="MF125" s="341"/>
      <c r="MG125" s="341"/>
      <c r="MH125" s="341"/>
      <c r="MI125" s="341"/>
      <c r="MJ125" s="341"/>
      <c r="MO125" s="341" t="str">
        <f>IF(AND($H$64&gt;=28,$H$64&lt;&gt;"Please Select",MV84=""),"Place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[.xlsx]).",IF(AND($H$64&gt;=28,$H$64&lt;&gt;"Please Select",MV84&lt;&gt;""),"Place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MP125" s="341"/>
      <c r="MQ125" s="341"/>
      <c r="MR125" s="341"/>
      <c r="MS125" s="341"/>
      <c r="MT125" s="341"/>
      <c r="MU125" s="341"/>
      <c r="MV125" s="341"/>
      <c r="MW125" s="341"/>
      <c r="NB125" s="341" t="str">
        <f>IF(AND($H$64&gt;=29,$H$64&lt;&gt;"Please Select",NI84=""),"Place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[.xlsx]).",IF(AND($H$64&gt;=29,$H$64&lt;&gt;"Please Select",NI84&lt;&gt;""),"Place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NC125" s="341"/>
      <c r="ND125" s="341"/>
      <c r="NE125" s="341"/>
      <c r="NF125" s="341"/>
      <c r="NG125" s="341"/>
      <c r="NH125" s="341"/>
      <c r="NI125" s="341"/>
      <c r="NJ125" s="341"/>
      <c r="NO125" s="341" t="str">
        <f>IF(AND($H$64&gt;=30,$H$64&lt;&gt;"Please Select",NV84=""),"Place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[.xlsx]).",IF(AND($H$64&gt;=30,$H$64&lt;&gt;"Please Select",NV84&lt;&gt;""),"Place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NP125" s="341"/>
      <c r="NQ125" s="341"/>
      <c r="NR125" s="341"/>
      <c r="NS125" s="341"/>
      <c r="NT125" s="341"/>
      <c r="NU125" s="341"/>
      <c r="NV125" s="341"/>
      <c r="NW125" s="341"/>
    </row>
    <row r="126" spans="1:387" s="41" customFormat="1" ht="27" customHeight="1" x14ac:dyDescent="0.2">
      <c r="C126" s="88"/>
      <c r="E126" s="342" t="str">
        <f>IF(AND($H$64&gt;=1, $H$64&lt;&gt;"Please Select"),"            Exact Document Name:","")</f>
        <v/>
      </c>
      <c r="F126" s="342"/>
      <c r="G126" s="342"/>
      <c r="H126" s="342"/>
      <c r="I126" s="342"/>
      <c r="J126" s="342"/>
      <c r="P126" s="88"/>
      <c r="R126" s="342" t="str">
        <f>IF(AND($H$64&gt;=2, $H$64&lt;&gt;"Please Select"),"            Exact Document Name:","")</f>
        <v/>
      </c>
      <c r="S126" s="342"/>
      <c r="T126" s="342"/>
      <c r="U126" s="342"/>
      <c r="V126" s="342"/>
      <c r="W126" s="342"/>
      <c r="AC126" s="88"/>
      <c r="AE126" s="342" t="str">
        <f>IF(AND($H$64&gt;=3, $H$64&lt;&gt;"Please Select"),"            Exact Document Name:","")</f>
        <v/>
      </c>
      <c r="AF126" s="342"/>
      <c r="AG126" s="342"/>
      <c r="AH126" s="342"/>
      <c r="AI126" s="342"/>
      <c r="AJ126" s="342"/>
      <c r="AP126" s="88"/>
      <c r="AR126" s="342" t="str">
        <f>IF(AND($H$64&gt;=4, $H$64&lt;&gt;"Please Select"),"            Exact Document Name:","")</f>
        <v/>
      </c>
      <c r="AS126" s="342"/>
      <c r="AT126" s="342"/>
      <c r="AU126" s="342"/>
      <c r="AV126" s="342"/>
      <c r="AW126" s="342"/>
      <c r="BC126" s="88"/>
      <c r="BE126" s="342" t="str">
        <f>IF(AND($H$64&gt;=5, $H$64&lt;&gt;"Please Select"),"            Exact Document Name:","")</f>
        <v/>
      </c>
      <c r="BF126" s="342"/>
      <c r="BG126" s="342"/>
      <c r="BH126" s="342"/>
      <c r="BI126" s="342"/>
      <c r="BJ126" s="342"/>
      <c r="BP126" s="88"/>
      <c r="BR126" s="342" t="str">
        <f>IF(AND($H$64&gt;=6, $H$64&lt;&gt;"Please Select"),"            Exact Document Name:","")</f>
        <v/>
      </c>
      <c r="BS126" s="342"/>
      <c r="BT126" s="342"/>
      <c r="BU126" s="342"/>
      <c r="BV126" s="342"/>
      <c r="BW126" s="342"/>
      <c r="CC126" s="88"/>
      <c r="CE126" s="342" t="str">
        <f>IF(AND($H$64&gt;=7, $H$64&lt;&gt;"Please Select"),"            Exact Document Name:","")</f>
        <v/>
      </c>
      <c r="CF126" s="342"/>
      <c r="CG126" s="342"/>
      <c r="CH126" s="342"/>
      <c r="CI126" s="342"/>
      <c r="CJ126" s="342"/>
      <c r="CP126" s="88"/>
      <c r="CR126" s="342" t="str">
        <f>IF(AND($H$64&gt;=8, $H$64&lt;&gt;"Please Select"),"            Exact Document Name:","")</f>
        <v/>
      </c>
      <c r="CS126" s="342"/>
      <c r="CT126" s="342"/>
      <c r="CU126" s="342"/>
      <c r="CV126" s="342"/>
      <c r="CW126" s="342"/>
      <c r="DC126" s="88"/>
      <c r="DE126" s="342" t="str">
        <f>IF(AND($H$64&gt;=9, $H$64&lt;&gt;"Please Select"),"            Exact Document Name:","")</f>
        <v/>
      </c>
      <c r="DF126" s="342"/>
      <c r="DG126" s="342"/>
      <c r="DH126" s="342"/>
      <c r="DI126" s="342"/>
      <c r="DJ126" s="342"/>
      <c r="DP126" s="88"/>
      <c r="DR126" s="342" t="str">
        <f>IF(AND($H$64&gt;=10, $H$64&lt;&gt;"Please Select"),"            Exact Document Name:","")</f>
        <v/>
      </c>
      <c r="DS126" s="342"/>
      <c r="DT126" s="342"/>
      <c r="DU126" s="342"/>
      <c r="DV126" s="342"/>
      <c r="DW126" s="342"/>
      <c r="EC126" s="88"/>
      <c r="EE126" s="342" t="str">
        <f>IF(AND($H$64&gt;=11, $H$64&lt;&gt;"Please Select"),"            Exact Document Name:","")</f>
        <v/>
      </c>
      <c r="EF126" s="342"/>
      <c r="EG126" s="342"/>
      <c r="EH126" s="342"/>
      <c r="EI126" s="342"/>
      <c r="EJ126" s="342"/>
      <c r="EP126" s="88"/>
      <c r="ER126" s="342" t="str">
        <f>IF(AND($H$64&gt;=12, $H$64&lt;&gt;"Please Select"),"            Exact Document Name:","")</f>
        <v/>
      </c>
      <c r="ES126" s="342"/>
      <c r="ET126" s="342"/>
      <c r="EU126" s="342"/>
      <c r="EV126" s="342"/>
      <c r="EW126" s="342"/>
      <c r="FC126" s="88"/>
      <c r="FE126" s="342" t="str">
        <f>IF(AND($H$64&gt;=13, $H$64&lt;&gt;"Please Select"),"            Exact Document Name:","")</f>
        <v/>
      </c>
      <c r="FF126" s="342"/>
      <c r="FG126" s="342"/>
      <c r="FH126" s="342"/>
      <c r="FI126" s="342"/>
      <c r="FJ126" s="342"/>
      <c r="FP126" s="88"/>
      <c r="FR126" s="342" t="str">
        <f>IF(AND($H$64&gt;=14, $H$64&lt;&gt;"Please Select"),"            Exact Document Name:","")</f>
        <v/>
      </c>
      <c r="FS126" s="342"/>
      <c r="FT126" s="342"/>
      <c r="FU126" s="342"/>
      <c r="FV126" s="342"/>
      <c r="FW126" s="342"/>
      <c r="GC126" s="88"/>
      <c r="GE126" s="342" t="str">
        <f>IF(AND($H$64&gt;=15, $H$64&lt;&gt;"Please Select"),"            Exact Document Name:","")</f>
        <v/>
      </c>
      <c r="GF126" s="342"/>
      <c r="GG126" s="342"/>
      <c r="GH126" s="342"/>
      <c r="GI126" s="342"/>
      <c r="GJ126" s="342"/>
      <c r="GP126" s="88"/>
      <c r="GR126" s="342" t="str">
        <f>IF(AND($H$64&gt;=16, $H$64&lt;&gt;"Please Select"),"            Exact Document Name:","")</f>
        <v/>
      </c>
      <c r="GS126" s="342"/>
      <c r="GT126" s="342"/>
      <c r="GU126" s="342"/>
      <c r="GV126" s="342"/>
      <c r="GW126" s="342"/>
      <c r="HC126" s="88"/>
      <c r="HE126" s="342" t="str">
        <f>IF(AND($H$64&gt;=17, $H$64&lt;&gt;"Please Select"),"            Exact Document Name:","")</f>
        <v/>
      </c>
      <c r="HF126" s="342"/>
      <c r="HG126" s="342"/>
      <c r="HH126" s="342"/>
      <c r="HI126" s="342"/>
      <c r="HJ126" s="342"/>
      <c r="HP126" s="88"/>
      <c r="HR126" s="342" t="str">
        <f>IF(AND($H$64&gt;=18, $H$64&lt;&gt;"Please Select"),"            Exact Document Name:","")</f>
        <v/>
      </c>
      <c r="HS126" s="342"/>
      <c r="HT126" s="342"/>
      <c r="HU126" s="342"/>
      <c r="HV126" s="342"/>
      <c r="HW126" s="342"/>
      <c r="IC126" s="88"/>
      <c r="IE126" s="342" t="str">
        <f>IF(AND($H$64&gt;=19, $H$64&lt;&gt;"Please Select"),"            Exact Document Name:","")</f>
        <v/>
      </c>
      <c r="IF126" s="342"/>
      <c r="IG126" s="342"/>
      <c r="IH126" s="342"/>
      <c r="II126" s="342"/>
      <c r="IJ126" s="342"/>
      <c r="IP126" s="88"/>
      <c r="IR126" s="342" t="str">
        <f>IF(AND($H$64&gt;=20, $H$64&lt;&gt;"Please Select"),"            Exact Document Name:","")</f>
        <v/>
      </c>
      <c r="IS126" s="342"/>
      <c r="IT126" s="342"/>
      <c r="IU126" s="342"/>
      <c r="IV126" s="342"/>
      <c r="IW126" s="342"/>
      <c r="JC126" s="88"/>
      <c r="JE126" s="342" t="str">
        <f>IF(AND($H$64&gt;=21, $H$64&lt;&gt;"Please Select"),"            Exact Document Name:","")</f>
        <v/>
      </c>
      <c r="JF126" s="342"/>
      <c r="JG126" s="342"/>
      <c r="JH126" s="342"/>
      <c r="JI126" s="342"/>
      <c r="JJ126" s="342"/>
      <c r="JP126" s="88"/>
      <c r="JR126" s="342" t="str">
        <f>IF(AND($H$64&gt;=22, $H$64&lt;&gt;"Please Select"),"            Exact Document Name:","")</f>
        <v/>
      </c>
      <c r="JS126" s="342"/>
      <c r="JT126" s="342"/>
      <c r="JU126" s="342"/>
      <c r="JV126" s="342"/>
      <c r="JW126" s="342"/>
      <c r="KC126" s="88"/>
      <c r="KE126" s="342" t="str">
        <f>IF(AND($H$64&gt;=23, $H$64&lt;&gt;"Please Select"),"            Exact Document Name:","")</f>
        <v/>
      </c>
      <c r="KF126" s="342"/>
      <c r="KG126" s="342"/>
      <c r="KH126" s="342"/>
      <c r="KI126" s="342"/>
      <c r="KJ126" s="342"/>
      <c r="KP126" s="88"/>
      <c r="KR126" s="342" t="str">
        <f>IF(AND($H$64&gt;=24, $H$64&lt;&gt;"Please Select"),"            Exact Document Name:","")</f>
        <v/>
      </c>
      <c r="KS126" s="342"/>
      <c r="KT126" s="342"/>
      <c r="KU126" s="342"/>
      <c r="KV126" s="342"/>
      <c r="KW126" s="342"/>
      <c r="LC126" s="88"/>
      <c r="LE126" s="342" t="str">
        <f>IF(AND($H$64&gt;=25, $H$64&lt;&gt;"Please Select"),"            Exact Document Name:","")</f>
        <v/>
      </c>
      <c r="LF126" s="342"/>
      <c r="LG126" s="342"/>
      <c r="LH126" s="342"/>
      <c r="LI126" s="342"/>
      <c r="LJ126" s="342"/>
      <c r="LP126" s="88"/>
      <c r="LR126" s="342" t="str">
        <f>IF(AND($H$64&gt;=26, $H$64&lt;&gt;"Please Select"),"            Exact Document Name:","")</f>
        <v/>
      </c>
      <c r="LS126" s="342"/>
      <c r="LT126" s="342"/>
      <c r="LU126" s="342"/>
      <c r="LV126" s="342"/>
      <c r="LW126" s="342"/>
      <c r="MC126" s="88"/>
      <c r="ME126" s="342" t="str">
        <f>IF(AND($H$64&gt;=27, $H$64&lt;&gt;"Please Select"),"            Exact Document Name:","")</f>
        <v/>
      </c>
      <c r="MF126" s="342"/>
      <c r="MG126" s="342"/>
      <c r="MH126" s="342"/>
      <c r="MI126" s="342"/>
      <c r="MJ126" s="342"/>
      <c r="MP126" s="88"/>
      <c r="MR126" s="342" t="str">
        <f>IF(AND($H$64&gt;=28, $H$64&lt;&gt;"Please Select"),"            Exact Document Name:","")</f>
        <v/>
      </c>
      <c r="MS126" s="342"/>
      <c r="MT126" s="342"/>
      <c r="MU126" s="342"/>
      <c r="MV126" s="342"/>
      <c r="MW126" s="342"/>
      <c r="NC126" s="88"/>
      <c r="NE126" s="342" t="str">
        <f>IF(AND($H$64&gt;=29, $H$64&lt;&gt;"Please Select"),"            Exact Document Name:","")</f>
        <v/>
      </c>
      <c r="NF126" s="342"/>
      <c r="NG126" s="342"/>
      <c r="NH126" s="342"/>
      <c r="NI126" s="342"/>
      <c r="NJ126" s="342"/>
      <c r="NP126" s="88"/>
      <c r="NR126" s="342" t="str">
        <f>IF(AND($H$64&gt;=30, $H$64&lt;&gt;"Please Select"),"            Exact Document Name:","")</f>
        <v/>
      </c>
      <c r="NS126" s="342"/>
      <c r="NT126" s="342"/>
      <c r="NU126" s="342"/>
      <c r="NV126" s="342"/>
      <c r="NW126" s="342"/>
    </row>
    <row r="127" spans="1:387" s="41" customFormat="1" ht="29.25" customHeight="1" x14ac:dyDescent="0.2">
      <c r="B127" s="430" t="str">
        <f>IF(AND(E127&lt;&gt;"",E128&lt;&gt;""),"Automatic Links ====&gt;",IF(E127&lt;&gt;"","Automatic Link ====&gt;",""))</f>
        <v/>
      </c>
      <c r="C127" s="430"/>
      <c r="E127" s="342" t="str">
        <f>IF(AND($H$64&gt;=1, $H$64&lt;&gt;"Please Select"),"                                            22 Capstone Affiliate 01","")</f>
        <v/>
      </c>
      <c r="F127" s="342"/>
      <c r="G127" s="342"/>
      <c r="H127" s="342"/>
      <c r="I127" s="342"/>
      <c r="J127" s="342"/>
      <c r="O127" s="430" t="str">
        <f>IF(AND(R127&lt;&gt;"",R128&lt;&gt;""),"Automatic Links ====&gt;",IF(R127&lt;&gt;"","Automatic Link ====&gt;",""))</f>
        <v/>
      </c>
      <c r="P127" s="430"/>
      <c r="R127" s="342" t="str">
        <f>IF(AND($H$64&gt;=2, $H$64&lt;&gt;"Please Select"),"                                            22 Capstone Affiliate 02","")</f>
        <v/>
      </c>
      <c r="S127" s="342"/>
      <c r="T127" s="342"/>
      <c r="U127" s="342"/>
      <c r="V127" s="342"/>
      <c r="W127" s="342"/>
      <c r="AB127" s="430" t="str">
        <f>IF(AND(AE127&lt;&gt;"",AE128&lt;&gt;""),"Automatic Links ====&gt;",IF(AE127&lt;&gt;"","Automatic Link ====&gt;",""))</f>
        <v/>
      </c>
      <c r="AC127" s="430"/>
      <c r="AE127" s="342" t="str">
        <f>IF(AND($H$64&gt;=3, $H$64&lt;&gt;"Please Select"),"                                            22 Capstone Affiliate 03","")</f>
        <v/>
      </c>
      <c r="AF127" s="342"/>
      <c r="AG127" s="342"/>
      <c r="AH127" s="342"/>
      <c r="AI127" s="342"/>
      <c r="AJ127" s="342"/>
      <c r="AO127" s="430" t="str">
        <f>IF(AND(AR127&lt;&gt;"",AR128&lt;&gt;""),"Automatic Links ====&gt;",IF(AR127&lt;&gt;"","Automatic Link ====&gt;",""))</f>
        <v/>
      </c>
      <c r="AP127" s="430"/>
      <c r="AR127" s="342" t="str">
        <f>IF(AND($H$64&gt;=4, $H$64&lt;&gt;"Please Select"),"                                            22 Capstone Affiliate 04","")</f>
        <v/>
      </c>
      <c r="AS127" s="342"/>
      <c r="AT127" s="342"/>
      <c r="AU127" s="342"/>
      <c r="AV127" s="342"/>
      <c r="AW127" s="342"/>
      <c r="BB127" s="430" t="str">
        <f>IF(AND(BE127&lt;&gt;"",BE128&lt;&gt;""),"Automatic Links ====&gt;",IF(BE127&lt;&gt;"","Automatic Link ====&gt;",""))</f>
        <v/>
      </c>
      <c r="BC127" s="430"/>
      <c r="BE127" s="342" t="str">
        <f>IF(AND($H$64&gt;=5, $H$64&lt;&gt;"Please Select"),"                                            22 Capstone Affiliate 05","")</f>
        <v/>
      </c>
      <c r="BF127" s="342"/>
      <c r="BG127" s="342"/>
      <c r="BH127" s="342"/>
      <c r="BI127" s="342"/>
      <c r="BJ127" s="342"/>
      <c r="BO127" s="430" t="str">
        <f>IF(AND(BR127&lt;&gt;"",BR128&lt;&gt;""),"Automatic Links ====&gt;",IF(BR127&lt;&gt;"","Automatic Link ====&gt;",""))</f>
        <v/>
      </c>
      <c r="BP127" s="430"/>
      <c r="BR127" s="342" t="str">
        <f>IF(AND($H$64&gt;=6, $H$64&lt;&gt;"Please Select"),"                                            22 Capstone Affiliate 06","")</f>
        <v/>
      </c>
      <c r="BS127" s="342"/>
      <c r="BT127" s="342"/>
      <c r="BU127" s="342"/>
      <c r="BV127" s="342"/>
      <c r="BW127" s="342"/>
      <c r="CB127" s="430" t="str">
        <f>IF(AND(CE127&lt;&gt;"",CE128&lt;&gt;""),"Automatic Links ====&gt;",IF(CE127&lt;&gt;"","Automatic Link ====&gt;",""))</f>
        <v/>
      </c>
      <c r="CC127" s="430"/>
      <c r="CE127" s="342" t="str">
        <f>IF(AND($H$64&gt;=7, $H$64&lt;&gt;"Please Select"),"                                            22 Capstone Affiliate 07","")</f>
        <v/>
      </c>
      <c r="CF127" s="342"/>
      <c r="CG127" s="342"/>
      <c r="CH127" s="342"/>
      <c r="CI127" s="342"/>
      <c r="CJ127" s="342"/>
      <c r="CO127" s="430" t="str">
        <f>IF(AND(CR127&lt;&gt;"",CR128&lt;&gt;""),"Automatic Links ====&gt;",IF(CR127&lt;&gt;"","Automatic Link ====&gt;",""))</f>
        <v/>
      </c>
      <c r="CP127" s="430"/>
      <c r="CR127" s="342" t="str">
        <f>IF(AND($H$64&gt;=8, $H$64&lt;&gt;"Please Select"),"                                            22 Capstone Affiliate 08","")</f>
        <v/>
      </c>
      <c r="CS127" s="342"/>
      <c r="CT127" s="342"/>
      <c r="CU127" s="342"/>
      <c r="CV127" s="342"/>
      <c r="CW127" s="342"/>
      <c r="DB127" s="430" t="str">
        <f>IF(AND(DE127&lt;&gt;"",DE128&lt;&gt;""),"Automatic Links ====&gt;",IF(DE127&lt;&gt;"","Automatic Link ====&gt;",""))</f>
        <v/>
      </c>
      <c r="DC127" s="430"/>
      <c r="DE127" s="342" t="str">
        <f>IF(AND($H$64&gt;=9, $H$64&lt;&gt;"Please Select"),"                                            22 Capstone Affiliate 09","")</f>
        <v/>
      </c>
      <c r="DF127" s="342"/>
      <c r="DG127" s="342"/>
      <c r="DH127" s="342"/>
      <c r="DI127" s="342"/>
      <c r="DJ127" s="342"/>
      <c r="DO127" s="430" t="str">
        <f>IF(AND(DR127&lt;&gt;"",DR128&lt;&gt;""),"Automatic Links ====&gt;",IF(DR127&lt;&gt;"","Automatic Link ====&gt;",""))</f>
        <v/>
      </c>
      <c r="DP127" s="430"/>
      <c r="DR127" s="342" t="str">
        <f>IF(AND($H$64&gt;=10, $H$64&lt;&gt;"Please Select"),"                                            22 Capstone Affiliate 10","")</f>
        <v/>
      </c>
      <c r="DS127" s="342"/>
      <c r="DT127" s="342"/>
      <c r="DU127" s="342"/>
      <c r="DV127" s="342"/>
      <c r="DW127" s="342"/>
      <c r="EB127" s="430" t="str">
        <f>IF(AND(EE127&lt;&gt;"",EE128&lt;&gt;""),"Automatic Links ====&gt;",IF(EE127&lt;&gt;"","Automatic Link ====&gt;",""))</f>
        <v/>
      </c>
      <c r="EC127" s="430"/>
      <c r="EE127" s="342" t="str">
        <f>IF(AND($H$64&gt;=11, $H$64&lt;&gt;"Please Select"),"                                            22 Capstone Affiliate 11","")</f>
        <v/>
      </c>
      <c r="EF127" s="342"/>
      <c r="EG127" s="342"/>
      <c r="EH127" s="342"/>
      <c r="EI127" s="342"/>
      <c r="EJ127" s="342"/>
      <c r="EO127" s="430" t="str">
        <f>IF(AND(ER127&lt;&gt;"",ER128&lt;&gt;""),"Automatic Links ====&gt;",IF(ER127&lt;&gt;"","Automatic Link ====&gt;",""))</f>
        <v/>
      </c>
      <c r="EP127" s="430"/>
      <c r="ER127" s="342" t="str">
        <f>IF(AND($H$64&gt;=12, $H$64&lt;&gt;"Please Select"),"                                            22 Capstone Affiliate 12","")</f>
        <v/>
      </c>
      <c r="ES127" s="342"/>
      <c r="ET127" s="342"/>
      <c r="EU127" s="342"/>
      <c r="EV127" s="342"/>
      <c r="EW127" s="342"/>
      <c r="FB127" s="430" t="str">
        <f>IF(AND(FE127&lt;&gt;"",FE128&lt;&gt;""),"Automatic Links ====&gt;",IF(FE127&lt;&gt;"","Automatic Link ====&gt;",""))</f>
        <v/>
      </c>
      <c r="FC127" s="430"/>
      <c r="FE127" s="342" t="str">
        <f>IF(AND($H$64&gt;=13, $H$64&lt;&gt;"Please Select"),"                                            22 Capstone Affiliate 13","")</f>
        <v/>
      </c>
      <c r="FF127" s="342"/>
      <c r="FG127" s="342"/>
      <c r="FH127" s="342"/>
      <c r="FI127" s="342"/>
      <c r="FJ127" s="342"/>
      <c r="FO127" s="430" t="str">
        <f>IF(AND(FR127&lt;&gt;"",FR128&lt;&gt;""),"Automatic Links ====&gt;",IF(FR127&lt;&gt;"","Automatic Link ====&gt;",""))</f>
        <v/>
      </c>
      <c r="FP127" s="430"/>
      <c r="FR127" s="342" t="str">
        <f>IF(AND($H$64&gt;=14, $H$64&lt;&gt;"Please Select"),"                                            22 Capstone Affiliate 14","")</f>
        <v/>
      </c>
      <c r="FS127" s="342"/>
      <c r="FT127" s="342"/>
      <c r="FU127" s="342"/>
      <c r="FV127" s="342"/>
      <c r="FW127" s="342"/>
      <c r="GB127" s="430" t="str">
        <f>IF(AND(GE127&lt;&gt;"",GE128&lt;&gt;""),"Automatic Links ====&gt;",IF(GE127&lt;&gt;"","Automatic Link ====&gt;",""))</f>
        <v/>
      </c>
      <c r="GC127" s="430"/>
      <c r="GE127" s="342" t="str">
        <f>IF(AND($H$64&gt;=15, $H$64&lt;&gt;"Please Select"),"                                            22 Capstone Affiliate 15","")</f>
        <v/>
      </c>
      <c r="GF127" s="342"/>
      <c r="GG127" s="342"/>
      <c r="GH127" s="342"/>
      <c r="GI127" s="342"/>
      <c r="GJ127" s="342"/>
      <c r="GO127" s="430" t="str">
        <f>IF(AND(GR127&lt;&gt;"",GR128&lt;&gt;""),"Automatic Links ====&gt;",IF(GR127&lt;&gt;"","Automatic Link ====&gt;",""))</f>
        <v/>
      </c>
      <c r="GP127" s="430"/>
      <c r="GR127" s="342" t="str">
        <f>IF(AND($H$64&gt;=16, $H$64&lt;&gt;"Please Select"),"                                            22 Capstone Affiliate 16","")</f>
        <v/>
      </c>
      <c r="GS127" s="342"/>
      <c r="GT127" s="342"/>
      <c r="GU127" s="342"/>
      <c r="GV127" s="342"/>
      <c r="GW127" s="342"/>
      <c r="HB127" s="430" t="str">
        <f>IF(AND(HE127&lt;&gt;"",HE128&lt;&gt;""),"Automatic Links ====&gt;",IF(HE127&lt;&gt;"","Automatic Link ====&gt;",""))</f>
        <v/>
      </c>
      <c r="HC127" s="430"/>
      <c r="HE127" s="342" t="str">
        <f>IF(AND($H$64&gt;=17, $H$64&lt;&gt;"Please Select"),"                                            22 Capstone Affiliate 17","")</f>
        <v/>
      </c>
      <c r="HF127" s="342"/>
      <c r="HG127" s="342"/>
      <c r="HH127" s="342"/>
      <c r="HI127" s="342"/>
      <c r="HJ127" s="342"/>
      <c r="HO127" s="430" t="str">
        <f>IF(AND(HR127&lt;&gt;"",HR128&lt;&gt;""),"Automatic Links ====&gt;",IF(HR127&lt;&gt;"","Automatic Link ====&gt;",""))</f>
        <v/>
      </c>
      <c r="HP127" s="430"/>
      <c r="HR127" s="342" t="str">
        <f>IF(AND($H$64&gt;=18, $H$64&lt;&gt;"Please Select"),"                                            22 Capstone Affiliate 18","")</f>
        <v/>
      </c>
      <c r="HS127" s="342"/>
      <c r="HT127" s="342"/>
      <c r="HU127" s="342"/>
      <c r="HV127" s="342"/>
      <c r="HW127" s="342"/>
      <c r="IB127" s="430" t="str">
        <f>IF(AND(IE127&lt;&gt;"",IE128&lt;&gt;""),"Automatic Links ====&gt;",IF(IE127&lt;&gt;"","Automatic Link ====&gt;",""))</f>
        <v/>
      </c>
      <c r="IC127" s="430"/>
      <c r="IE127" s="342" t="str">
        <f>IF(AND($H$64&gt;=19, $H$64&lt;&gt;"Please Select"),"                                            22 Capstone Affiliate 19","")</f>
        <v/>
      </c>
      <c r="IF127" s="342"/>
      <c r="IG127" s="342"/>
      <c r="IH127" s="342"/>
      <c r="II127" s="342"/>
      <c r="IJ127" s="342"/>
      <c r="IO127" s="430" t="str">
        <f>IF(AND(IR127&lt;&gt;"",IR128&lt;&gt;""),"Automatic Links ====&gt;",IF(IR127&lt;&gt;"","Automatic Link ====&gt;",""))</f>
        <v/>
      </c>
      <c r="IP127" s="430"/>
      <c r="IR127" s="342" t="str">
        <f>IF(AND($H$64&gt;=20, $H$64&lt;&gt;"Please Select"),"                                            22 Capstone Affiliate 20","")</f>
        <v/>
      </c>
      <c r="IS127" s="342"/>
      <c r="IT127" s="342"/>
      <c r="IU127" s="342"/>
      <c r="IV127" s="342"/>
      <c r="IW127" s="342"/>
      <c r="JB127" s="430" t="str">
        <f>IF(AND(JE127&lt;&gt;"",JE128&lt;&gt;""),"Automatic Links ====&gt;",IF(JE127&lt;&gt;"","Automatic Link ====&gt;",""))</f>
        <v/>
      </c>
      <c r="JC127" s="430"/>
      <c r="JE127" s="342" t="str">
        <f>IF(AND($H$64&gt;=21, $H$64&lt;&gt;"Please Select"),"                                            22 Capstone Affiliate 21","")</f>
        <v/>
      </c>
      <c r="JF127" s="342"/>
      <c r="JG127" s="342"/>
      <c r="JH127" s="342"/>
      <c r="JI127" s="342"/>
      <c r="JJ127" s="342"/>
      <c r="JO127" s="430" t="str">
        <f>IF(AND(JR127&lt;&gt;"",JR128&lt;&gt;""),"Automatic Links ====&gt;",IF(JR127&lt;&gt;"","Automatic Link ====&gt;",""))</f>
        <v/>
      </c>
      <c r="JP127" s="430"/>
      <c r="JR127" s="342" t="str">
        <f>IF(AND($H$64&gt;=22, $H$64&lt;&gt;"Please Select"),"                                            22 Capstone Affiliate 22","")</f>
        <v/>
      </c>
      <c r="JS127" s="342"/>
      <c r="JT127" s="342"/>
      <c r="JU127" s="342"/>
      <c r="JV127" s="342"/>
      <c r="JW127" s="342"/>
      <c r="KB127" s="430" t="str">
        <f>IF(AND(KE127&lt;&gt;"",KE128&lt;&gt;""),"Automatic Links ====&gt;",IF(KE127&lt;&gt;"","Automatic Link ====&gt;",""))</f>
        <v/>
      </c>
      <c r="KC127" s="430"/>
      <c r="KE127" s="342" t="str">
        <f>IF(AND($H$64&gt;=23, $H$64&lt;&gt;"Please Select"),"                                            22 Capstone Affiliate 23","")</f>
        <v/>
      </c>
      <c r="KF127" s="342"/>
      <c r="KG127" s="342"/>
      <c r="KH127" s="342"/>
      <c r="KI127" s="342"/>
      <c r="KJ127" s="342"/>
      <c r="KO127" s="430" t="str">
        <f>IF(AND(KR127&lt;&gt;"",KR128&lt;&gt;""),"Automatic Links ====&gt;",IF(KR127&lt;&gt;"","Automatic Link ====&gt;",""))</f>
        <v/>
      </c>
      <c r="KP127" s="430"/>
      <c r="KR127" s="342" t="str">
        <f>IF(AND($H$64&gt;=24, $H$64&lt;&gt;"Please Select"),"                                            22 Capstone Affiliate 24","")</f>
        <v/>
      </c>
      <c r="KS127" s="342"/>
      <c r="KT127" s="342"/>
      <c r="KU127" s="342"/>
      <c r="KV127" s="342"/>
      <c r="KW127" s="342"/>
      <c r="LB127" s="430" t="str">
        <f>IF(AND(LE127&lt;&gt;"",LE128&lt;&gt;""),"Automatic Links ====&gt;",IF(LE127&lt;&gt;"","Automatic Link ====&gt;",""))</f>
        <v/>
      </c>
      <c r="LC127" s="430"/>
      <c r="LE127" s="342" t="str">
        <f>IF(AND($H$64&gt;=25, $H$64&lt;&gt;"Please Select"),"                                            22 Capstone Affiliate 25","")</f>
        <v/>
      </c>
      <c r="LF127" s="342"/>
      <c r="LG127" s="342"/>
      <c r="LH127" s="342"/>
      <c r="LI127" s="342"/>
      <c r="LJ127" s="342"/>
      <c r="LO127" s="430" t="str">
        <f>IF(AND(LR127&lt;&gt;"",LR128&lt;&gt;""),"Automatic Links ====&gt;",IF(LR127&lt;&gt;"","Automatic Link ====&gt;",""))</f>
        <v/>
      </c>
      <c r="LP127" s="430"/>
      <c r="LR127" s="342" t="str">
        <f>IF(AND($H$64&gt;=26, $H$64&lt;&gt;"Please Select"),"                                            22 Capstone Affiliate 26","")</f>
        <v/>
      </c>
      <c r="LS127" s="342"/>
      <c r="LT127" s="342"/>
      <c r="LU127" s="342"/>
      <c r="LV127" s="342"/>
      <c r="LW127" s="342"/>
      <c r="MB127" s="430" t="str">
        <f>IF(AND(ME127&lt;&gt;"",ME128&lt;&gt;""),"Automatic Links ====&gt;",IF(ME127&lt;&gt;"","Automatic Link ====&gt;",""))</f>
        <v/>
      </c>
      <c r="MC127" s="430"/>
      <c r="ME127" s="342" t="str">
        <f>IF(AND($H$64&gt;=27, $H$64&lt;&gt;"Please Select"),"                                            22 Capstone Affiliate 27","")</f>
        <v/>
      </c>
      <c r="MF127" s="342"/>
      <c r="MG127" s="342"/>
      <c r="MH127" s="342"/>
      <c r="MI127" s="342"/>
      <c r="MJ127" s="342"/>
      <c r="MO127" s="430" t="str">
        <f>IF(AND(MR127&lt;&gt;"",MR128&lt;&gt;""),"Automatic Links ====&gt;",IF(MR127&lt;&gt;"","Automatic Link ====&gt;",""))</f>
        <v/>
      </c>
      <c r="MP127" s="430"/>
      <c r="MR127" s="342" t="str">
        <f>IF(AND($H$64&gt;=28, $H$64&lt;&gt;"Please Select"),"                                            22 Capstone Affiliate 28","")</f>
        <v/>
      </c>
      <c r="MS127" s="342"/>
      <c r="MT127" s="342"/>
      <c r="MU127" s="342"/>
      <c r="MV127" s="342"/>
      <c r="MW127" s="342"/>
      <c r="NB127" s="430" t="str">
        <f>IF(AND(NE127&lt;&gt;"",NE128&lt;&gt;""),"Automatic Links ====&gt;",IF(NE127&lt;&gt;"","Automatic Link ====&gt;",""))</f>
        <v/>
      </c>
      <c r="NC127" s="430"/>
      <c r="NE127" s="342" t="str">
        <f>IF(AND($H$64&gt;=29, $H$64&lt;&gt;"Please Select"),"                                            22 Capstone Affiliate 29","")</f>
        <v/>
      </c>
      <c r="NF127" s="342"/>
      <c r="NG127" s="342"/>
      <c r="NH127" s="342"/>
      <c r="NI127" s="342"/>
      <c r="NJ127" s="342"/>
      <c r="NO127" s="430" t="str">
        <f>IF(AND(NR127&lt;&gt;"",NR128&lt;&gt;""),"Automatic Links ====&gt;",IF(NR127&lt;&gt;"","Automatic Link ====&gt;",""))</f>
        <v/>
      </c>
      <c r="NP127" s="430"/>
      <c r="NR127" s="342" t="str">
        <f>IF(AND($H$64&gt;=30, $H$64&lt;&gt;"Please Select"),"                                            22 Capstone Affiliate 30","")</f>
        <v/>
      </c>
      <c r="NS127" s="342"/>
      <c r="NT127" s="342"/>
      <c r="NU127" s="342"/>
      <c r="NV127" s="342"/>
      <c r="NW127" s="342"/>
    </row>
    <row r="128" spans="1:387" s="41" customFormat="1" ht="29.25" customHeight="1" x14ac:dyDescent="0.2">
      <c r="B128" s="343"/>
      <c r="C128" s="343"/>
      <c r="E128" s="342" t="str">
        <f>IF(AND($H$64&gt;=1, $H$64&lt;&gt;"Please Select",I84&lt;&gt;""),"                                            22 Capstone State Approval 01","")</f>
        <v/>
      </c>
      <c r="F128" s="342"/>
      <c r="G128" s="342"/>
      <c r="H128" s="342"/>
      <c r="I128" s="342"/>
      <c r="J128" s="342"/>
      <c r="O128" s="343"/>
      <c r="P128" s="343"/>
      <c r="R128" s="342" t="str">
        <f>IF(AND($H$64&gt;=2, $H$64&lt;&gt;"Please Select",V84&lt;&gt;""),"                                            22 Capstone State Approval 02","")</f>
        <v/>
      </c>
      <c r="S128" s="342"/>
      <c r="T128" s="342"/>
      <c r="U128" s="342"/>
      <c r="V128" s="342"/>
      <c r="W128" s="342"/>
      <c r="AB128" s="343"/>
      <c r="AC128" s="343"/>
      <c r="AE128" s="342" t="str">
        <f>IF(AND($H$64&gt;=3, $H$64&lt;&gt;"Please Select",AI84&lt;&gt;""),"                                            22 Capstone State Approval 03","")</f>
        <v/>
      </c>
      <c r="AF128" s="342"/>
      <c r="AG128" s="342"/>
      <c r="AH128" s="342"/>
      <c r="AI128" s="342"/>
      <c r="AJ128" s="342"/>
      <c r="AO128" s="343"/>
      <c r="AP128" s="343"/>
      <c r="AR128" s="342" t="str">
        <f>IF(AND($H$64&gt;=4, $H$64&lt;&gt;"Please Select",AV84&lt;&gt;""),"                                            22 Capstone State Approval 04","")</f>
        <v/>
      </c>
      <c r="AS128" s="342"/>
      <c r="AT128" s="342"/>
      <c r="AU128" s="342"/>
      <c r="AV128" s="342"/>
      <c r="AW128" s="342"/>
      <c r="BB128" s="343"/>
      <c r="BC128" s="343"/>
      <c r="BE128" s="342" t="str">
        <f>IF(AND($H$64&gt;=5, $H$64&lt;&gt;"Please Select",BI84&lt;&gt;""),"                                            22 Capstone State Approval 05","")</f>
        <v/>
      </c>
      <c r="BF128" s="342"/>
      <c r="BG128" s="342"/>
      <c r="BH128" s="342"/>
      <c r="BI128" s="342"/>
      <c r="BJ128" s="342"/>
      <c r="BO128" s="343"/>
      <c r="BP128" s="343"/>
      <c r="BR128" s="342" t="str">
        <f>IF(AND($H$64&gt;=6, $H$64&lt;&gt;"Please Select",BV84&lt;&gt;""),"                                            22 Capstone State Approval 06","")</f>
        <v/>
      </c>
      <c r="BS128" s="342"/>
      <c r="BT128" s="342"/>
      <c r="BU128" s="342"/>
      <c r="BV128" s="342"/>
      <c r="BW128" s="342"/>
      <c r="CB128" s="343"/>
      <c r="CC128" s="343"/>
      <c r="CE128" s="342" t="str">
        <f>IF(AND($H$64&gt;=7, $H$64&lt;&gt;"Please Select",CI84&lt;&gt;""),"                                            22 Capstone State Approval 07","")</f>
        <v/>
      </c>
      <c r="CF128" s="342"/>
      <c r="CG128" s="342"/>
      <c r="CH128" s="342"/>
      <c r="CI128" s="342"/>
      <c r="CJ128" s="342"/>
      <c r="CO128" s="343"/>
      <c r="CP128" s="343"/>
      <c r="CR128" s="342" t="str">
        <f>IF(AND($H$64&gt;=8, $H$64&lt;&gt;"Please Select",CV84&lt;&gt;""),"                                            22 Capstone State Approval 08","")</f>
        <v/>
      </c>
      <c r="CS128" s="342"/>
      <c r="CT128" s="342"/>
      <c r="CU128" s="342"/>
      <c r="CV128" s="342"/>
      <c r="CW128" s="342"/>
      <c r="DB128" s="343"/>
      <c r="DC128" s="343"/>
      <c r="DE128" s="342" t="str">
        <f>IF(AND($H$64&gt;=9, $H$64&lt;&gt;"Please Select",DI84&lt;&gt;""),"                                            22 Capstone State Approval 09","")</f>
        <v/>
      </c>
      <c r="DF128" s="342"/>
      <c r="DG128" s="342"/>
      <c r="DH128" s="342"/>
      <c r="DI128" s="342"/>
      <c r="DJ128" s="342"/>
      <c r="DO128" s="343"/>
      <c r="DP128" s="343"/>
      <c r="DR128" s="342" t="str">
        <f>IF(AND($H$64&gt;=10, $H$64&lt;&gt;"Please Select",DV84&lt;&gt;""),"                                            22 Capstone State Approval 10","")</f>
        <v/>
      </c>
      <c r="DS128" s="342"/>
      <c r="DT128" s="342"/>
      <c r="DU128" s="342"/>
      <c r="DV128" s="342"/>
      <c r="DW128" s="342"/>
      <c r="EB128" s="343"/>
      <c r="EC128" s="343"/>
      <c r="EE128" s="342" t="str">
        <f>IF(AND($H$64&gt;=11, $H$64&lt;&gt;"Please Select",EI84&lt;&gt;""),"                                            22 Capstone State Approval 11","")</f>
        <v/>
      </c>
      <c r="EF128" s="342"/>
      <c r="EG128" s="342"/>
      <c r="EH128" s="342"/>
      <c r="EI128" s="342"/>
      <c r="EJ128" s="342"/>
      <c r="EO128" s="343"/>
      <c r="EP128" s="343"/>
      <c r="ER128" s="342" t="str">
        <f>IF(AND($H$64&gt;=12, $H$64&lt;&gt;"Please Select",EV84&lt;&gt;""),"                                            22 Capstone State Approval 12","")</f>
        <v/>
      </c>
      <c r="ES128" s="342"/>
      <c r="ET128" s="342"/>
      <c r="EU128" s="342"/>
      <c r="EV128" s="342"/>
      <c r="EW128" s="342"/>
      <c r="FB128" s="343"/>
      <c r="FC128" s="343"/>
      <c r="FE128" s="342" t="str">
        <f>IF(AND($H$64&gt;=13, $H$64&lt;&gt;"Please Select",FI84&lt;&gt;""),"                                            22 Capstone State Approval 13","")</f>
        <v/>
      </c>
      <c r="FF128" s="342"/>
      <c r="FG128" s="342"/>
      <c r="FH128" s="342"/>
      <c r="FI128" s="342"/>
      <c r="FJ128" s="342"/>
      <c r="FO128" s="343"/>
      <c r="FP128" s="343"/>
      <c r="FR128" s="342" t="str">
        <f>IF(AND($H$64&gt;=14, $H$64&lt;&gt;"Please Select",FV84&lt;&gt;""),"                                            22 Capstone State Approval 14","")</f>
        <v/>
      </c>
      <c r="FS128" s="342"/>
      <c r="FT128" s="342"/>
      <c r="FU128" s="342"/>
      <c r="FV128" s="342"/>
      <c r="FW128" s="342"/>
      <c r="GB128" s="343"/>
      <c r="GC128" s="343"/>
      <c r="GE128" s="342" t="str">
        <f>IF(AND($H$64&gt;=15, $H$64&lt;&gt;"Please Select",GI84&lt;&gt;""),"                                            22 Capstone State Approval 15","")</f>
        <v/>
      </c>
      <c r="GF128" s="342"/>
      <c r="GG128" s="342"/>
      <c r="GH128" s="342"/>
      <c r="GI128" s="342"/>
      <c r="GJ128" s="342"/>
      <c r="GO128" s="343"/>
      <c r="GP128" s="343"/>
      <c r="GR128" s="342" t="str">
        <f>IF(AND($H$64&gt;=16, $H$64&lt;&gt;"Please Select",GV84&lt;&gt;""),"                                            22 Capstone State Approval 16","")</f>
        <v/>
      </c>
      <c r="GS128" s="342"/>
      <c r="GT128" s="342"/>
      <c r="GU128" s="342"/>
      <c r="GV128" s="342"/>
      <c r="GW128" s="342"/>
      <c r="HB128" s="343"/>
      <c r="HC128" s="343"/>
      <c r="HE128" s="342" t="str">
        <f>IF(AND($H$64&gt;=17, $H$64&lt;&gt;"Please Select",HI84&lt;&gt;""),"                                            22 Capstone State Approval 17","")</f>
        <v/>
      </c>
      <c r="HF128" s="342"/>
      <c r="HG128" s="342"/>
      <c r="HH128" s="342"/>
      <c r="HI128" s="342"/>
      <c r="HJ128" s="342"/>
      <c r="HO128" s="343"/>
      <c r="HP128" s="343"/>
      <c r="HR128" s="342" t="str">
        <f>IF(AND($H$64&gt;=18, $H$64&lt;&gt;"Please Select",HV84&lt;&gt;""),"                                            22 Capstone State Approval 18","")</f>
        <v/>
      </c>
      <c r="HS128" s="342"/>
      <c r="HT128" s="342"/>
      <c r="HU128" s="342"/>
      <c r="HV128" s="342"/>
      <c r="HW128" s="342"/>
      <c r="IB128" s="343"/>
      <c r="IC128" s="343"/>
      <c r="IE128" s="342" t="str">
        <f>IF(AND($H$64&gt;=19, $H$64&lt;&gt;"Please Select",II84&lt;&gt;""),"                                            22 Capstone State Approval 19","")</f>
        <v/>
      </c>
      <c r="IF128" s="342"/>
      <c r="IG128" s="342"/>
      <c r="IH128" s="342"/>
      <c r="II128" s="342"/>
      <c r="IJ128" s="342"/>
      <c r="IO128" s="343"/>
      <c r="IP128" s="343"/>
      <c r="IR128" s="342" t="str">
        <f>IF(AND($H$64&gt;=20, $H$64&lt;&gt;"Please Select",IV84&lt;&gt;""),"                                            22 Capstone State Approval 20","")</f>
        <v/>
      </c>
      <c r="IS128" s="342"/>
      <c r="IT128" s="342"/>
      <c r="IU128" s="342"/>
      <c r="IV128" s="342"/>
      <c r="IW128" s="342"/>
      <c r="JB128" s="343"/>
      <c r="JC128" s="343"/>
      <c r="JE128" s="342" t="str">
        <f>IF(AND($H$64&gt;=21, $H$64&lt;&gt;"Please Select",JI84&lt;&gt;""),"                                            22 Capstone State Approval 21","")</f>
        <v/>
      </c>
      <c r="JF128" s="342"/>
      <c r="JG128" s="342"/>
      <c r="JH128" s="342"/>
      <c r="JI128" s="342"/>
      <c r="JJ128" s="342"/>
      <c r="JO128" s="343"/>
      <c r="JP128" s="343"/>
      <c r="JR128" s="342" t="str">
        <f>IF(AND($H$64&gt;=22, $H$64&lt;&gt;"Please Select",JV84&lt;&gt;""),"                                            22 Capstone State Approval 22","")</f>
        <v/>
      </c>
      <c r="JS128" s="342"/>
      <c r="JT128" s="342"/>
      <c r="JU128" s="342"/>
      <c r="JV128" s="342"/>
      <c r="JW128" s="342"/>
      <c r="KB128" s="343"/>
      <c r="KC128" s="343"/>
      <c r="KE128" s="342" t="str">
        <f>IF(AND($H$64&gt;=23, $H$64&lt;&gt;"Please Select",KI84&lt;&gt;""),"                                            22 Capstone State Approval 23","")</f>
        <v/>
      </c>
      <c r="KF128" s="342"/>
      <c r="KG128" s="342"/>
      <c r="KH128" s="342"/>
      <c r="KI128" s="342"/>
      <c r="KJ128" s="342"/>
      <c r="KO128" s="343"/>
      <c r="KP128" s="343"/>
      <c r="KR128" s="342" t="str">
        <f>IF(AND($H$64&gt;=24, $H$64&lt;&gt;"Please Select",KV84&lt;&gt;""),"                                            22 Capstone State Approval 24","")</f>
        <v/>
      </c>
      <c r="KS128" s="342"/>
      <c r="KT128" s="342"/>
      <c r="KU128" s="342"/>
      <c r="KV128" s="342"/>
      <c r="KW128" s="342"/>
      <c r="LB128" s="343"/>
      <c r="LC128" s="343"/>
      <c r="LE128" s="342" t="str">
        <f>IF(AND($H$64&gt;=25, $H$64&lt;&gt;"Please Select",LI84&lt;&gt;""),"                                            22 Capstone State Approval 25","")</f>
        <v/>
      </c>
      <c r="LF128" s="342"/>
      <c r="LG128" s="342"/>
      <c r="LH128" s="342"/>
      <c r="LI128" s="342"/>
      <c r="LJ128" s="342"/>
      <c r="LO128" s="343"/>
      <c r="LP128" s="343"/>
      <c r="LR128" s="342" t="str">
        <f>IF(AND($H$64&gt;=26, $H$64&lt;&gt;"Please Select",LV84&lt;&gt;""),"                                            22 Capstone State Approval 26","")</f>
        <v/>
      </c>
      <c r="LS128" s="342"/>
      <c r="LT128" s="342"/>
      <c r="LU128" s="342"/>
      <c r="LV128" s="342"/>
      <c r="LW128" s="342"/>
      <c r="MB128" s="343"/>
      <c r="MC128" s="343"/>
      <c r="ME128" s="342" t="str">
        <f>IF(AND($H$64&gt;=27, $H$64&lt;&gt;"Please Select",MI84&lt;&gt;""),"                                            22 Capstone State Approval 27","")</f>
        <v/>
      </c>
      <c r="MF128" s="342"/>
      <c r="MG128" s="342"/>
      <c r="MH128" s="342"/>
      <c r="MI128" s="342"/>
      <c r="MJ128" s="342"/>
      <c r="MO128" s="343"/>
      <c r="MP128" s="343"/>
      <c r="MR128" s="342" t="str">
        <f>IF(AND($H$64&gt;=28, $H$64&lt;&gt;"Please Select",MV84&lt;&gt;""),"                                            22 Capstone State Approval 28","")</f>
        <v/>
      </c>
      <c r="MS128" s="342"/>
      <c r="MT128" s="342"/>
      <c r="MU128" s="342"/>
      <c r="MV128" s="342"/>
      <c r="MW128" s="342"/>
      <c r="NB128" s="343"/>
      <c r="NC128" s="343"/>
      <c r="NE128" s="342" t="str">
        <f>IF(AND($H$64&gt;=29, $H$64&lt;&gt;"Please Select",NI84&lt;&gt;""),"                                            22 Capstone State Approval 29","")</f>
        <v/>
      </c>
      <c r="NF128" s="342"/>
      <c r="NG128" s="342"/>
      <c r="NH128" s="342"/>
      <c r="NI128" s="342"/>
      <c r="NJ128" s="342"/>
      <c r="NO128" s="343"/>
      <c r="NP128" s="343"/>
      <c r="NR128" s="342" t="str">
        <f>IF(AND($H$64&gt;=30, $H$64&lt;&gt;"Please Select",NV84&lt;&gt;""),"                                            22 Capstone State Approval 30","")</f>
        <v/>
      </c>
      <c r="NS128" s="342"/>
      <c r="NT128" s="342"/>
      <c r="NU128" s="342"/>
      <c r="NV128" s="342"/>
      <c r="NW128" s="342"/>
    </row>
    <row r="129" spans="1:391" s="41" customFormat="1" ht="27.75" customHeight="1" x14ac:dyDescent="0.2">
      <c r="C129" s="88"/>
      <c r="E129" s="345" t="str">
        <f>IF(AND($H$64&gt;=1, $H$64&lt;&gt;"Please Select"),"                   Type of File:     Adobe Portable Document (.pdf)","")</f>
        <v/>
      </c>
      <c r="F129" s="345"/>
      <c r="G129" s="345"/>
      <c r="H129" s="345"/>
      <c r="I129" s="345"/>
      <c r="J129" s="345"/>
      <c r="K129" s="521" t="str">
        <f>IF(AND($H$64&gt;1,$H$64&lt;&gt;"Please Select"),"Complete the next 
affiliate form to the right ==&gt;","")</f>
        <v/>
      </c>
      <c r="L129" s="521"/>
      <c r="M129" s="521"/>
      <c r="N129" s="521"/>
      <c r="P129" s="88"/>
      <c r="R129" s="345" t="str">
        <f>IF(AND($H$64&gt;=2, $H$64&lt;&gt;"Please Select"),"                   Type of File:     Adobe Portable Document (.pdf)","")</f>
        <v/>
      </c>
      <c r="S129" s="345"/>
      <c r="T129" s="345"/>
      <c r="U129" s="345"/>
      <c r="V129" s="345"/>
      <c r="W129" s="345"/>
      <c r="X129" s="520" t="str">
        <f>IF(AND($H$64=2,$H$64&lt;3), "Click here when finished 
to go to the next section below",IF(AND($H$64&gt;2,$H$64&lt;&gt;"Please Select"),"Complete the next 
affiliate form to the right ==&gt;",""))</f>
        <v/>
      </c>
      <c r="Y129" s="520"/>
      <c r="Z129" s="520"/>
      <c r="AA129" s="520"/>
      <c r="AC129" s="88"/>
      <c r="AE129" s="345" t="str">
        <f>IF(AND($H$64&gt;=3, $H$64&lt;&gt;"Please Select"),"                   Type of File:     Adobe Portable Document (.pdf)","")</f>
        <v/>
      </c>
      <c r="AF129" s="345"/>
      <c r="AG129" s="345"/>
      <c r="AH129" s="345"/>
      <c r="AI129" s="345"/>
      <c r="AJ129" s="345"/>
      <c r="AK129" s="520" t="str">
        <f>IF(AND($H$64=3,$H$64&lt;4), "Click here when finished 
to go to the next section below",IF(AND($H$64&gt;3,$H$64&lt;&gt;"Please Select"),"Complete the next 
affiliate form to the right ==&gt;",""))</f>
        <v/>
      </c>
      <c r="AL129" s="520"/>
      <c r="AM129" s="520"/>
      <c r="AN129" s="520"/>
      <c r="AP129" s="88"/>
      <c r="AR129" s="345" t="str">
        <f>IF(AND($H$64&gt;=4, $H$64&lt;&gt;"Please Select"),"                   Type of File:     Adobe Portable Document (.pdf)","")</f>
        <v/>
      </c>
      <c r="AS129" s="345"/>
      <c r="AT129" s="345"/>
      <c r="AU129" s="345"/>
      <c r="AV129" s="345"/>
      <c r="AW129" s="345"/>
      <c r="AX129" s="520" t="str">
        <f>IF(AND($H$64=4,$H$64&lt;5), "Click here when finished 
to go to the next section below",IF(AND($H$64&gt;4,$H$64&lt;&gt;"Please Select"),"Complete the next 
affiliate form to the right ==&gt;",""))</f>
        <v/>
      </c>
      <c r="AY129" s="520"/>
      <c r="AZ129" s="520"/>
      <c r="BA129" s="520"/>
      <c r="BC129" s="88"/>
      <c r="BE129" s="345" t="str">
        <f>IF(AND($H$64&gt;=5, $H$64&lt;&gt;"Please Select"),"                   Type of File:     Adobe Portable Document (.pdf)","")</f>
        <v/>
      </c>
      <c r="BF129" s="345"/>
      <c r="BG129" s="345"/>
      <c r="BH129" s="345"/>
      <c r="BI129" s="345"/>
      <c r="BJ129" s="345"/>
      <c r="BK129" s="520" t="str">
        <f>IF(AND($H$64=5,$H$64&lt;6), "Click here when finished 
to go to the next section below",IF(AND($H$64&gt;5,$H$64&lt;&gt;"Please Select"),"Complete the next 
affiliate form to the right ==&gt;",""))</f>
        <v/>
      </c>
      <c r="BL129" s="520"/>
      <c r="BM129" s="520"/>
      <c r="BN129" s="520"/>
      <c r="BP129" s="88"/>
      <c r="BR129" s="345" t="str">
        <f>IF(AND($H$64&gt;=6, $H$64&lt;&gt;"Please Select"),"                   Type of File:     Adobe Portable Document (.pdf)","")</f>
        <v/>
      </c>
      <c r="BS129" s="345"/>
      <c r="BT129" s="345"/>
      <c r="BU129" s="345"/>
      <c r="BV129" s="345"/>
      <c r="BW129" s="345"/>
      <c r="BX129" s="520" t="str">
        <f>IF(AND($H$64=6,$H$64&lt;7), "Click here when finished 
to go to the next section below",IF(AND($H$64&gt;6,$H$64&lt;&gt;"Please Select"),"Complete the next 
affiliate form to the right ==&gt;",""))</f>
        <v/>
      </c>
      <c r="BY129" s="520"/>
      <c r="BZ129" s="520"/>
      <c r="CA129" s="520"/>
      <c r="CC129" s="88"/>
      <c r="CE129" s="345" t="str">
        <f>IF(AND($H$64&gt;=7, $H$64&lt;&gt;"Please Select"),"                   Type of File:     Adobe Portable Document (.pdf)","")</f>
        <v/>
      </c>
      <c r="CF129" s="345"/>
      <c r="CG129" s="345"/>
      <c r="CH129" s="345"/>
      <c r="CI129" s="345"/>
      <c r="CJ129" s="345"/>
      <c r="CK129" s="520" t="str">
        <f>IF(AND($H$64=7,$H$64&lt;8), "Click here when finished 
to go to the next section below",IF(AND($H$64&gt;7,$H$64&lt;&gt;"Please Select"),"Complete the next 
affiliate form to the right ==&gt;",""))</f>
        <v/>
      </c>
      <c r="CL129" s="520"/>
      <c r="CM129" s="520"/>
      <c r="CN129" s="520"/>
      <c r="CP129" s="88"/>
      <c r="CR129" s="345" t="str">
        <f>IF(AND($H$64&gt;=8, $H$64&lt;&gt;"Please Select"),"                   Type of File:     Adobe Portable Document (.pdf)","")</f>
        <v/>
      </c>
      <c r="CS129" s="345"/>
      <c r="CT129" s="345"/>
      <c r="CU129" s="345"/>
      <c r="CV129" s="345"/>
      <c r="CW129" s="345"/>
      <c r="CX129" s="520" t="str">
        <f>IF(AND($H$64=8,$H$64&lt;9), "Click here when finished 
to go to the next section below",IF(AND($H$64&gt;8,$H$64&lt;&gt;"Please Select"),"Complete the next 
affiliate form to the right ==&gt;",""))</f>
        <v/>
      </c>
      <c r="CY129" s="520"/>
      <c r="CZ129" s="520"/>
      <c r="DA129" s="520"/>
      <c r="DC129" s="88"/>
      <c r="DE129" s="345" t="str">
        <f>IF(AND($H$64&gt;=9, $H$64&lt;&gt;"Please Select"),"                   Type of File:     Adobe Portable Document (.pdf)","")</f>
        <v/>
      </c>
      <c r="DF129" s="345"/>
      <c r="DG129" s="345"/>
      <c r="DH129" s="345"/>
      <c r="DI129" s="345"/>
      <c r="DJ129" s="345"/>
      <c r="DK129" s="520" t="str">
        <f>IF(AND($H$64=9,$H$64&lt;10), "Click here when finished 
to go to the next section below",IF(AND($H$64&gt;9,$H$64&lt;&gt;"Please Select"),"Complete the next 
affiliate form to the right ==&gt;",""))</f>
        <v/>
      </c>
      <c r="DL129" s="520"/>
      <c r="DM129" s="520"/>
      <c r="DN129" s="520"/>
      <c r="DP129" s="88"/>
      <c r="DR129" s="345" t="str">
        <f>IF(AND($H$64&gt;=10, $H$64&lt;&gt;"Please Select"),"                   Type of File:     Adobe Portable Document (.pdf)","")</f>
        <v/>
      </c>
      <c r="DS129" s="345"/>
      <c r="DT129" s="345"/>
      <c r="DU129" s="345"/>
      <c r="DV129" s="345"/>
      <c r="DW129" s="345"/>
      <c r="DX129" s="520" t="str">
        <f>IF(AND($H$64=10,$H$64&lt;11), "Click here when finished 
to go to the next section below",IF(AND($H$64&gt;10,$H$64&lt;&gt;"Please Select"),"Complete the next 
affiliate form to the right ==&gt;",""))</f>
        <v/>
      </c>
      <c r="DY129" s="520"/>
      <c r="DZ129" s="520"/>
      <c r="EA129" s="520"/>
      <c r="EC129" s="88"/>
      <c r="EE129" s="345" t="str">
        <f>IF(AND($H$64&gt;=11, $H$64&lt;&gt;"Please Select"),"                   Type of File:     Adobe Portable Document (.pdf)","")</f>
        <v/>
      </c>
      <c r="EF129" s="345"/>
      <c r="EG129" s="345"/>
      <c r="EH129" s="345"/>
      <c r="EI129" s="345"/>
      <c r="EJ129" s="345"/>
      <c r="EK129" s="520" t="str">
        <f>IF(AND($H$64=11,$H$64&lt;12), "Click here when finished 
to go to the next section below",IF(AND($H$64&gt;11,$H$64&lt;&gt;"Please Select"),"Complete the next 
affiliate form to the right ==&gt;",""))</f>
        <v/>
      </c>
      <c r="EL129" s="520"/>
      <c r="EM129" s="520"/>
      <c r="EN129" s="520"/>
      <c r="EP129" s="88"/>
      <c r="ER129" s="345" t="str">
        <f>IF(AND($H$64&gt;=12, $H$64&lt;&gt;"Please Select"),"                   Type of File:     Adobe Portable Document (.pdf)","")</f>
        <v/>
      </c>
      <c r="ES129" s="345"/>
      <c r="ET129" s="345"/>
      <c r="EU129" s="345"/>
      <c r="EV129" s="345"/>
      <c r="EW129" s="345"/>
      <c r="EX129" s="520" t="str">
        <f>IF(AND($H$64=12,$H$64&lt;13), "Click here when finished 
to go to the next section below",IF(AND($H$64&gt;12,$H$64&lt;&gt;"Please Select"),"Complete the next 
affiliate form to the right ==&gt;",""))</f>
        <v/>
      </c>
      <c r="EY129" s="520"/>
      <c r="EZ129" s="520"/>
      <c r="FA129" s="520"/>
      <c r="FC129" s="88"/>
      <c r="FE129" s="345" t="str">
        <f>IF(AND($H$64&gt;=13, $H$64&lt;&gt;"Please Select"),"                   Type of File:     Adobe Portable Document (.pdf)","")</f>
        <v/>
      </c>
      <c r="FF129" s="345"/>
      <c r="FG129" s="345"/>
      <c r="FH129" s="345"/>
      <c r="FI129" s="345"/>
      <c r="FJ129" s="345"/>
      <c r="FK129" s="520" t="str">
        <f>IF(AND($H$64=13,$H$64&lt;14), "Click here when finished 
to go to the next section below",IF(AND($H$64&gt;13,$H$64&lt;&gt;"Please Select"),"Complete the next 
affiliate form to the right ==&gt;",""))</f>
        <v/>
      </c>
      <c r="FL129" s="520"/>
      <c r="FM129" s="520"/>
      <c r="FN129" s="520"/>
      <c r="FP129" s="88"/>
      <c r="FR129" s="345" t="str">
        <f>IF(AND($H$64&gt;=14, $H$64&lt;&gt;"Please Select"),"                   Type of File:     Adobe Portable Document (.pdf)","")</f>
        <v/>
      </c>
      <c r="FS129" s="345"/>
      <c r="FT129" s="345"/>
      <c r="FU129" s="345"/>
      <c r="FV129" s="345"/>
      <c r="FW129" s="345"/>
      <c r="FX129" s="520" t="str">
        <f>IF(AND($H$64=14,$H$64&lt;15), "Click here when finished 
to go to the next section below",IF(AND($H$64&gt;14,$H$64&lt;&gt;"Please Select"),"Complete the next 
affiliate form to the right ==&gt;",""))</f>
        <v/>
      </c>
      <c r="FY129" s="520"/>
      <c r="FZ129" s="520"/>
      <c r="GA129" s="520"/>
      <c r="GC129" s="88"/>
      <c r="GE129" s="345" t="str">
        <f>IF(AND($H$64&gt;=15, $H$64&lt;&gt;"Please Select"),"                   Type of File:     Adobe Portable Document (.pdf)","")</f>
        <v/>
      </c>
      <c r="GF129" s="345"/>
      <c r="GG129" s="345"/>
      <c r="GH129" s="345"/>
      <c r="GI129" s="345"/>
      <c r="GJ129" s="345"/>
      <c r="GK129" s="520" t="str">
        <f>IF(AND($H$64=15,$H$64&lt;16), "Click here when finished 
to go to the next section below",IF(AND($H$64&gt;15,$H$64&lt;&gt;"Please Select"),"Complete the next 
affiliate form to the right ==&gt;",""))</f>
        <v/>
      </c>
      <c r="GL129" s="520"/>
      <c r="GM129" s="520"/>
      <c r="GN129" s="520"/>
      <c r="GP129" s="88"/>
      <c r="GR129" s="345" t="str">
        <f>IF(AND($H$64&gt;=16, $H$64&lt;&gt;"Please Select"),"                   Type of File:     Adobe Portable Document (.pdf)","")</f>
        <v/>
      </c>
      <c r="GS129" s="345"/>
      <c r="GT129" s="345"/>
      <c r="GU129" s="345"/>
      <c r="GV129" s="345"/>
      <c r="GW129" s="345"/>
      <c r="GX129" s="520" t="str">
        <f>IF(AND($H$64=16,$H$64&lt;17), "Click here when finished 
to go to the next section below",IF(AND($H$64&gt;16,$H$64&lt;&gt;"Please Select"),"Complete the next 
affiliate form to the right ==&gt;",""))</f>
        <v/>
      </c>
      <c r="GY129" s="520"/>
      <c r="GZ129" s="520"/>
      <c r="HA129" s="520"/>
      <c r="HC129" s="88"/>
      <c r="HE129" s="345" t="str">
        <f>IF(AND($H$64&gt;=17, $H$64&lt;&gt;"Please Select"),"                   Type of File:     Adobe Portable Document (.pdf)","")</f>
        <v/>
      </c>
      <c r="HF129" s="345"/>
      <c r="HG129" s="345"/>
      <c r="HH129" s="345"/>
      <c r="HI129" s="345"/>
      <c r="HJ129" s="345"/>
      <c r="HK129" s="520" t="str">
        <f>IF(AND($H$64=17,$H$64&lt;18), "Click here when finished 
to go to the next section below",IF(AND($H$64&gt;17,$H$64&lt;&gt;"Please Select"),"Complete the next 
affiliate form to the right ==&gt;",""))</f>
        <v/>
      </c>
      <c r="HL129" s="520"/>
      <c r="HM129" s="520"/>
      <c r="HN129" s="520"/>
      <c r="HP129" s="88"/>
      <c r="HR129" s="345" t="str">
        <f>IF(AND($H$64&gt;=18, $H$64&lt;&gt;"Please Select"),"                   Type of File:     Adobe Portable Document (.pdf)","")</f>
        <v/>
      </c>
      <c r="HS129" s="345"/>
      <c r="HT129" s="345"/>
      <c r="HU129" s="345"/>
      <c r="HV129" s="345"/>
      <c r="HW129" s="345"/>
      <c r="HX129" s="520" t="str">
        <f>IF(AND($H$64=18,$H$64&lt;19), "Click here when finished 
to go to the next section below",IF(AND($H$64&gt;18,$H$64&lt;&gt;"Please Select"),"Complete the next 
affiliate form to the right ==&gt;",""))</f>
        <v/>
      </c>
      <c r="HY129" s="520"/>
      <c r="HZ129" s="520"/>
      <c r="IA129" s="520"/>
      <c r="IC129" s="88"/>
      <c r="IE129" s="345" t="str">
        <f>IF(AND($H$64&gt;=19, $H$64&lt;&gt;"Please Select"),"                   Type of File:     Adobe Portable Document (.pdf)","")</f>
        <v/>
      </c>
      <c r="IF129" s="345"/>
      <c r="IG129" s="345"/>
      <c r="IH129" s="345"/>
      <c r="II129" s="345"/>
      <c r="IJ129" s="345"/>
      <c r="IK129" s="520" t="str">
        <f>IF(AND($H$64=19,$H$64&lt;20), "Click here when finished 
to go to the next section below",IF(AND($H$64&gt;19,$H$64&lt;&gt;"Please Select"),"Complete the next 
affiliate form to the right ==&gt;",""))</f>
        <v/>
      </c>
      <c r="IL129" s="520"/>
      <c r="IM129" s="520"/>
      <c r="IN129" s="520"/>
      <c r="IP129" s="88"/>
      <c r="IR129" s="345" t="str">
        <f>IF(AND($H$64&gt;=20, $H$64&lt;&gt;"Please Select"),"                   Type of File:     Adobe Portable Document (.pdf)","")</f>
        <v/>
      </c>
      <c r="IS129" s="345"/>
      <c r="IT129" s="345"/>
      <c r="IU129" s="345"/>
      <c r="IV129" s="345"/>
      <c r="IW129" s="345"/>
      <c r="IX129" s="520" t="str">
        <f>IF(AND($H$64=20,$H$64&lt;21), "Click here when finished 
to go to the next section below",IF(AND($H$64&gt;20,$H$64&lt;&gt;"Please Select"),"Complete the next 
affiliate form to the right ==&gt;",""))</f>
        <v/>
      </c>
      <c r="IY129" s="520"/>
      <c r="IZ129" s="520"/>
      <c r="JA129" s="520"/>
      <c r="JC129" s="88"/>
      <c r="JE129" s="345" t="str">
        <f>IF(AND($H$64&gt;=21, $H$64&lt;&gt;"Please Select"),"                   Type of File:     Adobe Portable Document (.pdf)","")</f>
        <v/>
      </c>
      <c r="JF129" s="345"/>
      <c r="JG129" s="345"/>
      <c r="JH129" s="345"/>
      <c r="JI129" s="345"/>
      <c r="JJ129" s="345"/>
      <c r="JK129" s="520" t="str">
        <f>IF(AND($H$64=21,$H$64&lt;22), "Click here when finished 
to go to the next section below",IF(AND($H$64&gt;21,$H$64&lt;&gt;"Please Select"),"Complete the next 
affiliate form to the right ==&gt;",""))</f>
        <v/>
      </c>
      <c r="JL129" s="520"/>
      <c r="JM129" s="520"/>
      <c r="JN129" s="520"/>
      <c r="JP129" s="88"/>
      <c r="JR129" s="345" t="str">
        <f>IF(AND($H$64&gt;=22, $H$64&lt;&gt;"Please Select"),"                   Type of File:     Adobe Portable Document (.pdf)","")</f>
        <v/>
      </c>
      <c r="JS129" s="345"/>
      <c r="JT129" s="345"/>
      <c r="JU129" s="345"/>
      <c r="JV129" s="345"/>
      <c r="JW129" s="345"/>
      <c r="JX129" s="520" t="str">
        <f>IF(AND($H$64=22,$H$64&lt;23), "Click here when finished 
to go to the next section below",IF(AND($H$64&gt;22,$H$64&lt;&gt;"Please Select"),"Complete the next 
affiliate form to the right ==&gt;",""))</f>
        <v/>
      </c>
      <c r="JY129" s="520"/>
      <c r="JZ129" s="520"/>
      <c r="KA129" s="520"/>
      <c r="KC129" s="88"/>
      <c r="KE129" s="345" t="str">
        <f>IF(AND($H$64&gt;=23, $H$64&lt;&gt;"Please Select"),"                   Type of File:     Adobe Portable Document (.pdf)","")</f>
        <v/>
      </c>
      <c r="KF129" s="345"/>
      <c r="KG129" s="345"/>
      <c r="KH129" s="345"/>
      <c r="KI129" s="345"/>
      <c r="KJ129" s="345"/>
      <c r="KK129" s="520" t="str">
        <f>IF(AND($H$64=23,$H$64&lt;24), "Click here when finished 
to go to the next section below",IF(AND($H$64&gt;23,$H$64&lt;&gt;"Please Select"),"Complete the next 
affiliate form to the right ==&gt;",""))</f>
        <v/>
      </c>
      <c r="KL129" s="520"/>
      <c r="KM129" s="520"/>
      <c r="KN129" s="520"/>
      <c r="KP129" s="88"/>
      <c r="KR129" s="345" t="str">
        <f>IF(AND($H$64&gt;=24, $H$64&lt;&gt;"Please Select"),"                   Type of File:     Adobe Portable Document (.pdf)","")</f>
        <v/>
      </c>
      <c r="KS129" s="345"/>
      <c r="KT129" s="345"/>
      <c r="KU129" s="345"/>
      <c r="KV129" s="345"/>
      <c r="KW129" s="345"/>
      <c r="KX129" s="520" t="str">
        <f>IF(AND($H$64=24,$H$64&lt;25), "Click here when finished 
to go to the next section below",IF(AND($H$64&gt;24,$H$64&lt;&gt;"Please Select"),"Complete the next 
affiliate form to the right ==&gt;",""))</f>
        <v/>
      </c>
      <c r="KY129" s="520"/>
      <c r="KZ129" s="520"/>
      <c r="LA129" s="520"/>
      <c r="LC129" s="88"/>
      <c r="LE129" s="345" t="str">
        <f>IF(AND($H$64&gt;=25, $H$64&lt;&gt;"Please Select"),"                   Type of File:     Adobe Portable Document (.pdf)","")</f>
        <v/>
      </c>
      <c r="LF129" s="345"/>
      <c r="LG129" s="345"/>
      <c r="LH129" s="345"/>
      <c r="LI129" s="345"/>
      <c r="LJ129" s="345"/>
      <c r="LK129" s="520" t="str">
        <f>IF(AND($H$64=25,$H$64&lt;26), "Click here when finished 
to go to the next section below",IF(AND($H$64&gt;25,$H$64&lt;&gt;"Please Select"),"Complete the next 
affiliate form to the right ==&gt;",""))</f>
        <v/>
      </c>
      <c r="LL129" s="520"/>
      <c r="LM129" s="520"/>
      <c r="LN129" s="520"/>
      <c r="LP129" s="88"/>
      <c r="LR129" s="345" t="str">
        <f>IF(AND($H$64&gt;=26, $H$64&lt;&gt;"Please Select"),"                   Type of File:     Adobe Portable Document (.pdf)","")</f>
        <v/>
      </c>
      <c r="LS129" s="345"/>
      <c r="LT129" s="345"/>
      <c r="LU129" s="345"/>
      <c r="LV129" s="345"/>
      <c r="LW129" s="345"/>
      <c r="LX129" s="520" t="str">
        <f>IF(AND($H$64=26,$H$64&lt;27), "Click here when finished 
to go to the next section below",IF(AND($H$64&gt;26,$H$64&lt;&gt;"Please Select"),"Complete the next 
affiliate form to the right ==&gt;",""))</f>
        <v/>
      </c>
      <c r="LY129" s="520"/>
      <c r="LZ129" s="520"/>
      <c r="MA129" s="520"/>
      <c r="MC129" s="88"/>
      <c r="ME129" s="345" t="str">
        <f>IF(AND($H$64&gt;=27, $H$64&lt;&gt;"Please Select"),"                   Type of File:     Adobe Portable Document (.pdf)","")</f>
        <v/>
      </c>
      <c r="MF129" s="345"/>
      <c r="MG129" s="345"/>
      <c r="MH129" s="345"/>
      <c r="MI129" s="345"/>
      <c r="MJ129" s="345"/>
      <c r="MK129" s="520" t="str">
        <f>IF(AND($H$64=27,$H$64&lt;28), "Click here when finished 
to go to the next section below",IF(AND($H$64&gt;27,$H$64&lt;&gt;"Please Select"),"Complete the next 
affiliate form to the right ==&gt;",""))</f>
        <v/>
      </c>
      <c r="ML129" s="520"/>
      <c r="MM129" s="520"/>
      <c r="MN129" s="520"/>
      <c r="MP129" s="88"/>
      <c r="MR129" s="345" t="str">
        <f>IF(AND($H$64&gt;=28, $H$64&lt;&gt;"Please Select"),"                   Type of File:     Adobe Portable Document (.pdf)","")</f>
        <v/>
      </c>
      <c r="MS129" s="345"/>
      <c r="MT129" s="345"/>
      <c r="MU129" s="345"/>
      <c r="MV129" s="345"/>
      <c r="MW129" s="345"/>
      <c r="MX129" s="520" t="str">
        <f>IF(AND($H$64=28,$H$64&lt;29), "Click here when finished 
to go to the next section below",IF(AND($H$64&gt;28,$H$64&lt;&gt;"Please Select"),"Complete the next 
affiliate form to the right ==&gt;",""))</f>
        <v/>
      </c>
      <c r="MY129" s="520"/>
      <c r="MZ129" s="520"/>
      <c r="NA129" s="520"/>
      <c r="NC129" s="88"/>
      <c r="NE129" s="345" t="str">
        <f>IF(AND($H$64&gt;=29, $H$64&lt;&gt;"Please Select"),"                   Type of File:     Adobe Portable Document (.pdf)","")</f>
        <v/>
      </c>
      <c r="NF129" s="345"/>
      <c r="NG129" s="345"/>
      <c r="NH129" s="345"/>
      <c r="NI129" s="345"/>
      <c r="NJ129" s="345"/>
      <c r="NK129" s="520" t="str">
        <f>IF(AND($H$64=29,$H$64&lt;30), "Click here when finished 
to go to the next section below",IF(AND($H$64&gt;29,$H$64&lt;&gt;"Please Select"),"Complete the next 
affiliate form to the right ==&gt;",""))</f>
        <v/>
      </c>
      <c r="NL129" s="520"/>
      <c r="NM129" s="520"/>
      <c r="NN129" s="520"/>
      <c r="NP129" s="88"/>
      <c r="NR129" s="345" t="str">
        <f>IF(AND($H$64&gt;=30, $H$64&lt;&gt;"Please Select"),"                   Type of File:     Adobe Portable Document (.pdf)","")</f>
        <v/>
      </c>
      <c r="NS129" s="345"/>
      <c r="NT129" s="345"/>
      <c r="NU129" s="345"/>
      <c r="NV129" s="345"/>
      <c r="NW129" s="345"/>
      <c r="NX129" s="520" t="str">
        <f>IF($H$64=30, "Click here when finished 
to go to the next section below","")</f>
        <v/>
      </c>
      <c r="NY129" s="520"/>
      <c r="NZ129" s="520"/>
      <c r="OA129" s="520"/>
    </row>
    <row r="130" spans="1:391" s="41" customFormat="1" ht="14.25" x14ac:dyDescent="0.2"/>
    <row r="131" spans="1:391" s="41" customFormat="1" x14ac:dyDescent="0.25">
      <c r="B131" s="64"/>
      <c r="O131" s="64"/>
      <c r="AB131" s="64"/>
      <c r="AO131" s="64"/>
      <c r="BB131" s="64"/>
      <c r="BO131" s="64"/>
      <c r="CB131" s="64"/>
      <c r="CO131" s="64"/>
      <c r="DB131" s="64"/>
      <c r="DO131" s="64"/>
      <c r="EB131" s="64"/>
      <c r="EO131" s="64"/>
      <c r="FB131" s="64"/>
      <c r="FO131" s="64"/>
      <c r="GB131" s="64"/>
      <c r="GO131" s="64"/>
      <c r="HB131" s="64"/>
      <c r="HO131" s="64"/>
      <c r="IB131" s="64"/>
      <c r="IO131" s="64"/>
      <c r="JB131" s="64"/>
      <c r="JO131" s="64"/>
      <c r="KB131" s="64"/>
      <c r="KO131" s="64"/>
      <c r="LB131" s="64"/>
      <c r="LO131" s="64"/>
      <c r="MB131" s="64"/>
      <c r="MO131" s="64"/>
      <c r="NB131" s="64"/>
      <c r="NO131" s="64"/>
    </row>
    <row r="132" spans="1:391" s="41" customFormat="1" ht="14.25" x14ac:dyDescent="0.2">
      <c r="F132" s="379"/>
      <c r="G132" s="379"/>
      <c r="H132" s="379"/>
      <c r="I132" s="379"/>
      <c r="J132" s="379"/>
    </row>
    <row r="133" spans="1:391" s="41" customFormat="1" ht="14.25" x14ac:dyDescent="0.2"/>
    <row r="134" spans="1:391" s="41" customFormat="1" ht="14.25" x14ac:dyDescent="0.2"/>
    <row r="135" spans="1:391" s="41" customFormat="1" ht="14.25" x14ac:dyDescent="0.2">
      <c r="A135" s="216"/>
      <c r="B135" s="216"/>
      <c r="C135" s="216"/>
      <c r="D135" s="216"/>
      <c r="E135" s="216"/>
      <c r="F135" s="216"/>
      <c r="G135" s="216"/>
      <c r="H135" s="216"/>
      <c r="I135" s="216"/>
      <c r="J135" s="216"/>
      <c r="K135" s="216"/>
      <c r="L135" s="216"/>
      <c r="M135" s="216"/>
      <c r="N135" s="216"/>
      <c r="O135" s="216"/>
      <c r="P135" s="216"/>
      <c r="Q135" s="216"/>
      <c r="R135" s="216"/>
      <c r="S135" s="216"/>
      <c r="T135" s="216"/>
      <c r="U135" s="216"/>
      <c r="V135" s="216"/>
      <c r="W135" s="216"/>
      <c r="X135" s="216"/>
      <c r="Y135" s="216"/>
      <c r="Z135" s="216"/>
      <c r="AA135" s="216"/>
      <c r="AB135" s="216"/>
      <c r="AC135" s="216"/>
      <c r="AD135" s="216"/>
      <c r="AE135" s="216"/>
      <c r="AF135" s="216"/>
      <c r="AG135" s="216"/>
      <c r="AH135" s="216"/>
      <c r="AI135" s="216"/>
      <c r="AJ135" s="216"/>
      <c r="AK135" s="216"/>
      <c r="AL135" s="216"/>
      <c r="AM135" s="216"/>
      <c r="AN135" s="216"/>
      <c r="AO135" s="216"/>
      <c r="AP135" s="216"/>
      <c r="AQ135" s="216"/>
      <c r="AR135" s="216"/>
      <c r="AS135" s="216"/>
      <c r="AT135" s="216"/>
      <c r="AU135" s="216"/>
      <c r="AV135" s="216"/>
      <c r="AW135" s="216"/>
      <c r="AX135" s="216"/>
      <c r="AY135" s="216"/>
      <c r="AZ135" s="216"/>
      <c r="BA135" s="216"/>
      <c r="BB135" s="216"/>
      <c r="BC135" s="216"/>
      <c r="BD135" s="216"/>
      <c r="BE135" s="216"/>
      <c r="BF135" s="216"/>
      <c r="BG135" s="216"/>
      <c r="BH135" s="216"/>
      <c r="BI135" s="216"/>
      <c r="BJ135" s="216"/>
      <c r="BK135" s="216"/>
      <c r="BL135" s="216"/>
      <c r="BM135" s="216"/>
      <c r="BN135" s="216"/>
      <c r="BO135" s="216"/>
      <c r="BP135" s="216"/>
      <c r="BQ135" s="216"/>
      <c r="BR135" s="216"/>
      <c r="BS135" s="216"/>
      <c r="BT135" s="216"/>
      <c r="BU135" s="216"/>
      <c r="BV135" s="216"/>
      <c r="BW135" s="216"/>
      <c r="BX135" s="216"/>
      <c r="BY135" s="216"/>
      <c r="BZ135" s="216"/>
      <c r="CA135" s="216"/>
      <c r="CB135" s="216"/>
      <c r="CC135" s="216"/>
      <c r="CD135" s="216"/>
      <c r="CE135" s="216"/>
      <c r="CF135" s="216"/>
      <c r="CG135" s="216"/>
      <c r="CH135" s="216"/>
      <c r="CI135" s="216"/>
      <c r="CJ135" s="216"/>
      <c r="CK135" s="216"/>
      <c r="CL135" s="216"/>
      <c r="CM135" s="216"/>
      <c r="CN135" s="216"/>
      <c r="CO135" s="216"/>
      <c r="CP135" s="216"/>
      <c r="CQ135" s="216"/>
      <c r="CR135" s="216"/>
      <c r="CS135" s="216"/>
      <c r="CT135" s="216"/>
      <c r="CU135" s="216"/>
      <c r="CV135" s="216"/>
      <c r="CW135" s="216"/>
      <c r="CX135" s="216"/>
      <c r="CY135" s="216"/>
      <c r="CZ135" s="216"/>
      <c r="DA135" s="216"/>
      <c r="DB135" s="216"/>
      <c r="DC135" s="216"/>
      <c r="DD135" s="216"/>
      <c r="DE135" s="216"/>
      <c r="DF135" s="216"/>
      <c r="DG135" s="216"/>
      <c r="DH135" s="216"/>
      <c r="DI135" s="216"/>
      <c r="DJ135" s="216"/>
      <c r="DK135" s="216"/>
      <c r="DL135" s="216"/>
      <c r="DM135" s="216"/>
      <c r="DN135" s="216"/>
      <c r="DO135" s="216"/>
      <c r="DP135" s="216"/>
      <c r="DQ135" s="216"/>
      <c r="DR135" s="216"/>
      <c r="DS135" s="216"/>
      <c r="DT135" s="216"/>
      <c r="DU135" s="216"/>
    </row>
    <row r="136" spans="1:391" s="41" customFormat="1" ht="14.25" x14ac:dyDescent="0.2">
      <c r="A136" s="216"/>
      <c r="B136" s="216"/>
      <c r="C136" s="216"/>
      <c r="D136" s="216"/>
      <c r="E136" s="216"/>
      <c r="F136" s="216"/>
      <c r="G136" s="216"/>
      <c r="H136" s="216"/>
      <c r="I136" s="216"/>
      <c r="J136" s="216"/>
      <c r="K136" s="216"/>
      <c r="L136" s="216"/>
      <c r="M136" s="216"/>
      <c r="N136" s="216"/>
      <c r="O136" s="216"/>
      <c r="P136" s="216"/>
      <c r="Q136" s="216"/>
      <c r="R136" s="216"/>
      <c r="S136" s="216"/>
      <c r="T136" s="216"/>
      <c r="U136" s="216"/>
      <c r="V136" s="216"/>
      <c r="W136" s="216"/>
      <c r="X136" s="216"/>
      <c r="Y136" s="216"/>
      <c r="Z136" s="216"/>
      <c r="AA136" s="216"/>
      <c r="AB136" s="216"/>
      <c r="AC136" s="216"/>
      <c r="AD136" s="216"/>
      <c r="AE136" s="216"/>
      <c r="AF136" s="216"/>
      <c r="AG136" s="216"/>
      <c r="AH136" s="216"/>
      <c r="AI136" s="216"/>
      <c r="AJ136" s="216"/>
      <c r="AK136" s="216"/>
      <c r="AL136" s="216"/>
      <c r="AM136" s="216"/>
      <c r="AN136" s="216"/>
      <c r="AO136" s="216"/>
      <c r="AP136" s="216"/>
      <c r="AQ136" s="216"/>
      <c r="AR136" s="216"/>
      <c r="AS136" s="216"/>
      <c r="AT136" s="216"/>
      <c r="AU136" s="216"/>
      <c r="AV136" s="216"/>
      <c r="AW136" s="216"/>
      <c r="AX136" s="216"/>
      <c r="AY136" s="216"/>
      <c r="AZ136" s="216"/>
      <c r="BA136" s="216"/>
      <c r="BB136" s="216"/>
      <c r="BC136" s="216"/>
      <c r="BD136" s="216"/>
      <c r="BE136" s="216"/>
      <c r="BF136" s="216"/>
      <c r="BG136" s="216"/>
      <c r="BH136" s="216"/>
      <c r="BI136" s="216"/>
      <c r="BJ136" s="216"/>
      <c r="BK136" s="216"/>
      <c r="BL136" s="216"/>
      <c r="BM136" s="216"/>
      <c r="BN136" s="216"/>
      <c r="BO136" s="216"/>
      <c r="BP136" s="216"/>
      <c r="BQ136" s="216"/>
      <c r="BR136" s="216"/>
      <c r="BS136" s="216"/>
      <c r="BT136" s="216"/>
      <c r="BU136" s="216"/>
      <c r="BV136" s="216"/>
      <c r="BW136" s="216"/>
      <c r="BX136" s="216"/>
      <c r="BY136" s="216"/>
      <c r="BZ136" s="216"/>
      <c r="CA136" s="216"/>
      <c r="CB136" s="216"/>
      <c r="CC136" s="216"/>
      <c r="CD136" s="216"/>
      <c r="CE136" s="216"/>
      <c r="CF136" s="216"/>
      <c r="CG136" s="216"/>
      <c r="CH136" s="216"/>
      <c r="CI136" s="216"/>
      <c r="CJ136" s="216"/>
      <c r="CK136" s="216"/>
      <c r="CL136" s="216"/>
      <c r="CM136" s="216"/>
      <c r="CN136" s="216"/>
      <c r="CO136" s="216"/>
      <c r="CP136" s="216"/>
      <c r="CQ136" s="216"/>
      <c r="CR136" s="216"/>
      <c r="CS136" s="216"/>
      <c r="CT136" s="216"/>
      <c r="CU136" s="216"/>
      <c r="CV136" s="216"/>
      <c r="CW136" s="216"/>
      <c r="CX136" s="216"/>
      <c r="CY136" s="216"/>
      <c r="CZ136" s="216"/>
      <c r="DA136" s="216"/>
      <c r="DB136" s="216"/>
      <c r="DC136" s="216"/>
      <c r="DD136" s="216"/>
      <c r="DE136" s="216"/>
      <c r="DF136" s="216"/>
      <c r="DG136" s="216"/>
      <c r="DH136" s="216"/>
      <c r="DI136" s="216"/>
      <c r="DJ136" s="216"/>
      <c r="DK136" s="216"/>
      <c r="DL136" s="216"/>
      <c r="DM136" s="216"/>
      <c r="DN136" s="216"/>
      <c r="DO136" s="216"/>
      <c r="DP136" s="216"/>
      <c r="DQ136" s="216"/>
      <c r="DR136" s="216"/>
      <c r="DS136" s="216"/>
      <c r="DT136" s="216"/>
      <c r="DU136" s="216"/>
    </row>
    <row r="137" spans="1:391" s="41" customFormat="1" ht="14.25" x14ac:dyDescent="0.2"/>
    <row r="138" spans="1:391" s="41" customFormat="1" ht="18" x14ac:dyDescent="0.2">
      <c r="B138" s="555" t="s">
        <v>369</v>
      </c>
      <c r="C138" s="555"/>
      <c r="D138" s="555"/>
      <c r="E138" s="555"/>
      <c r="F138" s="555"/>
      <c r="G138" s="555"/>
      <c r="H138" s="555"/>
    </row>
    <row r="139" spans="1:391" s="41" customFormat="1" ht="14.25" x14ac:dyDescent="0.2"/>
    <row r="140" spans="1:391" s="41" customFormat="1" ht="48.75" customHeight="1" x14ac:dyDescent="0.2">
      <c r="B140" s="522" t="s">
        <v>372</v>
      </c>
      <c r="C140" s="522"/>
      <c r="D140" s="522"/>
      <c r="E140" s="522"/>
      <c r="F140" s="522"/>
      <c r="H140" s="184" t="s">
        <v>95</v>
      </c>
      <c r="O140" s="44"/>
      <c r="P140" s="44"/>
      <c r="Q140" s="44"/>
      <c r="R140" s="44"/>
      <c r="S140" s="44"/>
      <c r="AB140" s="526"/>
      <c r="AC140" s="526"/>
      <c r="AD140" s="526"/>
      <c r="AE140" s="526"/>
      <c r="AF140" s="526"/>
      <c r="AO140" s="526"/>
      <c r="AP140" s="526"/>
      <c r="AQ140" s="526"/>
      <c r="AR140" s="526"/>
      <c r="AS140" s="526"/>
      <c r="BB140" s="526"/>
      <c r="BC140" s="526"/>
      <c r="BD140" s="526"/>
      <c r="BE140" s="526"/>
      <c r="BF140" s="526"/>
      <c r="BO140" s="526"/>
      <c r="BP140" s="526"/>
      <c r="BQ140" s="526"/>
      <c r="BR140" s="526"/>
      <c r="BS140" s="526"/>
      <c r="CB140" s="526"/>
      <c r="CC140" s="526"/>
      <c r="CD140" s="526"/>
      <c r="CE140" s="526"/>
      <c r="CF140" s="526"/>
      <c r="CO140" s="526"/>
      <c r="CP140" s="526"/>
      <c r="CQ140" s="526"/>
      <c r="CR140" s="526"/>
      <c r="CS140" s="526"/>
      <c r="DB140" s="526"/>
      <c r="DC140" s="526"/>
      <c r="DD140" s="526"/>
      <c r="DE140" s="526"/>
      <c r="DF140" s="526"/>
      <c r="DO140" s="526"/>
      <c r="DP140" s="526"/>
      <c r="DQ140" s="526"/>
      <c r="DR140" s="526"/>
      <c r="DS140" s="526"/>
      <c r="EB140" s="526"/>
      <c r="EC140" s="526"/>
      <c r="ED140" s="526"/>
      <c r="EE140" s="526"/>
      <c r="EF140" s="526"/>
      <c r="EO140" s="526"/>
      <c r="EP140" s="526"/>
      <c r="EQ140" s="526"/>
      <c r="ER140" s="526"/>
      <c r="ES140" s="526"/>
      <c r="FB140" s="526"/>
      <c r="FC140" s="526"/>
      <c r="FD140" s="526"/>
      <c r="FE140" s="526"/>
      <c r="FF140" s="526"/>
      <c r="FO140" s="526"/>
      <c r="FP140" s="526"/>
      <c r="FQ140" s="526"/>
      <c r="FR140" s="526"/>
      <c r="FS140" s="526"/>
      <c r="GB140" s="526"/>
      <c r="GC140" s="526"/>
      <c r="GD140" s="526"/>
      <c r="GE140" s="526"/>
      <c r="GF140" s="526"/>
      <c r="GO140" s="526"/>
      <c r="GP140" s="526"/>
      <c r="GQ140" s="526"/>
      <c r="GR140" s="526"/>
      <c r="GS140" s="526"/>
      <c r="HB140" s="526"/>
      <c r="HC140" s="526"/>
      <c r="HD140" s="526"/>
      <c r="HE140" s="526"/>
      <c r="HF140" s="526"/>
      <c r="HO140" s="526"/>
      <c r="HP140" s="526"/>
      <c r="HQ140" s="526"/>
      <c r="HR140" s="526"/>
      <c r="HS140" s="526"/>
      <c r="IB140" s="526"/>
      <c r="IC140" s="526"/>
      <c r="ID140" s="526"/>
      <c r="IE140" s="526"/>
      <c r="IF140" s="526"/>
      <c r="IO140" s="526"/>
      <c r="IP140" s="526"/>
      <c r="IQ140" s="526"/>
      <c r="IR140" s="526"/>
      <c r="IS140" s="526"/>
      <c r="JB140" s="526"/>
      <c r="JC140" s="526"/>
      <c r="JD140" s="526"/>
      <c r="JE140" s="526"/>
      <c r="JF140" s="526"/>
      <c r="JO140" s="526"/>
      <c r="JP140" s="526"/>
      <c r="JQ140" s="526"/>
      <c r="JR140" s="526"/>
      <c r="JS140" s="526"/>
      <c r="KB140" s="526"/>
      <c r="KC140" s="526"/>
      <c r="KD140" s="526"/>
      <c r="KE140" s="526"/>
      <c r="KF140" s="526"/>
      <c r="KO140" s="526"/>
      <c r="KP140" s="526"/>
      <c r="KQ140" s="526"/>
      <c r="KR140" s="526"/>
      <c r="KS140" s="526"/>
      <c r="LB140" s="526"/>
      <c r="LC140" s="526"/>
      <c r="LD140" s="526"/>
      <c r="LE140" s="526"/>
      <c r="LF140" s="526"/>
      <c r="LO140" s="526"/>
      <c r="LP140" s="526"/>
      <c r="LQ140" s="526"/>
      <c r="LR140" s="526"/>
      <c r="LS140" s="526"/>
      <c r="MB140" s="526"/>
      <c r="MC140" s="526"/>
      <c r="MD140" s="526"/>
      <c r="ME140" s="526"/>
      <c r="MF140" s="526"/>
      <c r="MO140" s="526"/>
      <c r="MP140" s="526"/>
      <c r="MQ140" s="526"/>
      <c r="MR140" s="526"/>
      <c r="MS140" s="526"/>
      <c r="NB140" s="526"/>
      <c r="NC140" s="526"/>
      <c r="ND140" s="526"/>
      <c r="NE140" s="526"/>
      <c r="NF140" s="526"/>
      <c r="NO140" s="526"/>
      <c r="NP140" s="526"/>
      <c r="NQ140" s="526"/>
      <c r="NR140" s="526"/>
      <c r="NS140" s="526"/>
    </row>
    <row r="141" spans="1:391" s="41" customFormat="1" ht="48.75" customHeight="1" x14ac:dyDescent="0.2">
      <c r="B141" s="522" t="str">
        <f>IF(H140="Yes","Total number of field experience affiliates not identified 
with the Capstone Field Internship Affiliates above:
(complete the data forms below)",IF(H140="No", "This tab is complete.  Please save and complete the next tab 
(Standard III-Preceptors)", ""))</f>
        <v/>
      </c>
      <c r="C141" s="522"/>
      <c r="D141" s="522"/>
      <c r="E141" s="522"/>
      <c r="F141" s="522"/>
      <c r="H141" s="217"/>
      <c r="O141" s="44"/>
      <c r="P141" s="44"/>
      <c r="Q141" s="44"/>
      <c r="R141" s="44"/>
      <c r="S141" s="44"/>
      <c r="AB141" s="526"/>
      <c r="AC141" s="526"/>
      <c r="AD141" s="526"/>
      <c r="AE141" s="526"/>
      <c r="AF141" s="526"/>
      <c r="AO141" s="526"/>
      <c r="AP141" s="526"/>
      <c r="AQ141" s="526"/>
      <c r="AR141" s="526"/>
      <c r="AS141" s="526"/>
      <c r="BB141" s="526"/>
      <c r="BC141" s="526"/>
      <c r="BD141" s="526"/>
      <c r="BE141" s="526"/>
      <c r="BF141" s="526"/>
      <c r="BO141" s="526"/>
      <c r="BP141" s="526"/>
      <c r="BQ141" s="526"/>
      <c r="BR141" s="526"/>
      <c r="BS141" s="526"/>
      <c r="CB141" s="526"/>
      <c r="CC141" s="526"/>
      <c r="CD141" s="526"/>
      <c r="CE141" s="526"/>
      <c r="CF141" s="526"/>
      <c r="CO141" s="526"/>
      <c r="CP141" s="526"/>
      <c r="CQ141" s="526"/>
      <c r="CR141" s="526"/>
      <c r="CS141" s="526"/>
      <c r="DB141" s="526"/>
      <c r="DC141" s="526"/>
      <c r="DD141" s="526"/>
      <c r="DE141" s="526"/>
      <c r="DF141" s="526"/>
      <c r="DO141" s="526"/>
      <c r="DP141" s="526"/>
      <c r="DQ141" s="526"/>
      <c r="DR141" s="526"/>
      <c r="DS141" s="526"/>
      <c r="EB141" s="526"/>
      <c r="EC141" s="526"/>
      <c r="ED141" s="526"/>
      <c r="EE141" s="526"/>
      <c r="EF141" s="526"/>
      <c r="EO141" s="526"/>
      <c r="EP141" s="526"/>
      <c r="EQ141" s="526"/>
      <c r="ER141" s="526"/>
      <c r="ES141" s="526"/>
      <c r="FB141" s="526"/>
      <c r="FC141" s="526"/>
      <c r="FD141" s="526"/>
      <c r="FE141" s="526"/>
      <c r="FF141" s="526"/>
      <c r="FO141" s="526"/>
      <c r="FP141" s="526"/>
      <c r="FQ141" s="526"/>
      <c r="FR141" s="526"/>
      <c r="FS141" s="526"/>
      <c r="GB141" s="526"/>
      <c r="GC141" s="526"/>
      <c r="GD141" s="526"/>
      <c r="GE141" s="526"/>
      <c r="GF141" s="526"/>
      <c r="GO141" s="526"/>
      <c r="GP141" s="526"/>
      <c r="GQ141" s="526"/>
      <c r="GR141" s="526"/>
      <c r="GS141" s="526"/>
      <c r="HB141" s="526"/>
      <c r="HC141" s="526"/>
      <c r="HD141" s="526"/>
      <c r="HE141" s="526"/>
      <c r="HF141" s="526"/>
      <c r="HO141" s="526"/>
      <c r="HP141" s="526"/>
      <c r="HQ141" s="526"/>
      <c r="HR141" s="526"/>
      <c r="HS141" s="526"/>
      <c r="IB141" s="526"/>
      <c r="IC141" s="526"/>
      <c r="ID141" s="526"/>
      <c r="IE141" s="526"/>
      <c r="IF141" s="526"/>
      <c r="IO141" s="526"/>
      <c r="IP141" s="526"/>
      <c r="IQ141" s="526"/>
      <c r="IR141" s="526"/>
      <c r="IS141" s="526"/>
      <c r="JB141" s="526"/>
      <c r="JC141" s="526"/>
      <c r="JD141" s="526"/>
      <c r="JE141" s="526"/>
      <c r="JF141" s="526"/>
      <c r="JO141" s="526"/>
      <c r="JP141" s="526"/>
      <c r="JQ141" s="526"/>
      <c r="JR141" s="526"/>
      <c r="JS141" s="526"/>
      <c r="KB141" s="526"/>
      <c r="KC141" s="526"/>
      <c r="KD141" s="526"/>
      <c r="KE141" s="526"/>
      <c r="KF141" s="526"/>
      <c r="KO141" s="526"/>
      <c r="KP141" s="526"/>
      <c r="KQ141" s="526"/>
      <c r="KR141" s="526"/>
      <c r="KS141" s="526"/>
      <c r="LB141" s="526"/>
      <c r="LC141" s="526"/>
      <c r="LD141" s="526"/>
      <c r="LE141" s="526"/>
      <c r="LF141" s="526"/>
      <c r="LO141" s="526"/>
      <c r="LP141" s="526"/>
      <c r="LQ141" s="526"/>
      <c r="LR141" s="526"/>
      <c r="LS141" s="526"/>
      <c r="MB141" s="526"/>
      <c r="MC141" s="526"/>
      <c r="MD141" s="526"/>
      <c r="ME141" s="526"/>
      <c r="MF141" s="526"/>
      <c r="MO141" s="526"/>
      <c r="MP141" s="526"/>
      <c r="MQ141" s="526"/>
      <c r="MR141" s="526"/>
      <c r="MS141" s="526"/>
      <c r="NB141" s="526"/>
      <c r="NC141" s="526"/>
      <c r="ND141" s="526"/>
      <c r="NE141" s="526"/>
      <c r="NF141" s="526"/>
      <c r="NO141" s="526"/>
      <c r="NP141" s="526"/>
      <c r="NQ141" s="526"/>
      <c r="NR141" s="526"/>
      <c r="NS141" s="526"/>
    </row>
    <row r="142" spans="1:391" s="41" customFormat="1" ht="14.25" x14ac:dyDescent="0.2">
      <c r="K142" s="87"/>
    </row>
    <row r="143" spans="1:391" s="41" customFormat="1" ht="43.5" customHeight="1" x14ac:dyDescent="0.2">
      <c r="B143" s="522" t="str">
        <f>IF(H140="Yes","Number of On-Site Liaisons 'Pending' Orientation:
(based on the data forms below)","")</f>
        <v/>
      </c>
      <c r="C143" s="506"/>
      <c r="D143" s="506"/>
      <c r="E143" s="506"/>
      <c r="F143" s="506"/>
      <c r="H143" s="218">
        <f>COUNTIF(F154:DS154,"Pend*")</f>
        <v>0</v>
      </c>
      <c r="I143" s="199"/>
      <c r="J143" s="525" t="str">
        <f>IF(H143&lt;&gt;0, "States Identified:", "")</f>
        <v/>
      </c>
      <c r="K143" s="525"/>
      <c r="L143" s="200" t="str">
        <f>IF(OR(AND(I154&lt;&gt;"",V154&lt;&gt;"",AI154&lt;&gt;"",AV154&lt;&gt;"",BI154&lt;&gt;"",BV154&lt;&gt;"",CI154&lt;&gt;"",CV154&lt;&gt;"",DI154&lt;&gt;"",DV154&lt;&gt;"",EI154&lt;&gt;"",EV154&lt;&gt;"", FI154&lt;&gt;"",FV154&lt;&gt;"")), F157 &amp; ", " &amp; S157 &amp; ", " &amp; AF157 &amp; ", " &amp; AS157 &amp; ", " &amp; BF157 &amp; ", " &amp; BS157 &amp; ", " &amp; CF157 &amp; ", " &amp; CS157 &amp; ", " &amp; DF157 &amp; ", " &amp; DS157 &amp; ", " &amp; EF157 &amp; ", " &amp; ES157 &amp; ", " &amp; FF157 &amp; ", " &amp; FS157,IF(AND(I154&lt;&gt;"",V154="",AI154=""), F157,IF(AND(I154&lt;&gt;"",V154&lt;&gt;"",AI154=""), F157 &amp; ", " &amp; S157, "")))</f>
        <v/>
      </c>
      <c r="O143" s="44"/>
      <c r="P143" s="43"/>
      <c r="Q143" s="43"/>
      <c r="R143" s="43"/>
      <c r="S143" s="43"/>
      <c r="W143" s="43"/>
      <c r="AB143" s="523"/>
      <c r="AC143" s="524"/>
      <c r="AD143" s="524"/>
      <c r="AE143" s="524"/>
      <c r="AF143" s="524"/>
      <c r="AJ143" s="43"/>
      <c r="AO143" s="523"/>
      <c r="AP143" s="524"/>
      <c r="AQ143" s="524"/>
      <c r="AR143" s="524"/>
      <c r="AS143" s="524"/>
      <c r="AW143" s="43"/>
      <c r="BB143" s="523"/>
      <c r="BC143" s="524"/>
      <c r="BD143" s="524"/>
      <c r="BE143" s="524"/>
      <c r="BF143" s="524"/>
      <c r="BJ143" s="43"/>
      <c r="BO143" s="523"/>
      <c r="BP143" s="524"/>
      <c r="BQ143" s="524"/>
      <c r="BR143" s="524"/>
      <c r="BS143" s="524"/>
      <c r="BW143" s="43"/>
      <c r="CB143" s="523"/>
      <c r="CC143" s="524"/>
      <c r="CD143" s="524"/>
      <c r="CE143" s="524"/>
      <c r="CF143" s="524"/>
      <c r="CJ143" s="43"/>
      <c r="CO143" s="523"/>
      <c r="CP143" s="524"/>
      <c r="CQ143" s="524"/>
      <c r="CR143" s="524"/>
      <c r="CS143" s="524"/>
      <c r="CW143" s="43"/>
      <c r="DB143" s="523"/>
      <c r="DC143" s="524"/>
      <c r="DD143" s="524"/>
      <c r="DE143" s="524"/>
      <c r="DF143" s="524"/>
      <c r="DJ143" s="43"/>
      <c r="DO143" s="523"/>
      <c r="DP143" s="524"/>
      <c r="DQ143" s="524"/>
      <c r="DR143" s="524"/>
      <c r="DS143" s="524"/>
      <c r="DW143" s="43"/>
      <c r="EB143" s="523"/>
      <c r="EC143" s="524"/>
      <c r="ED143" s="524"/>
      <c r="EE143" s="524"/>
      <c r="EF143" s="524"/>
      <c r="EJ143" s="43"/>
      <c r="EO143" s="523"/>
      <c r="EP143" s="524"/>
      <c r="EQ143" s="524"/>
      <c r="ER143" s="524"/>
      <c r="ES143" s="524"/>
      <c r="EW143" s="43"/>
      <c r="FB143" s="523"/>
      <c r="FC143" s="524"/>
      <c r="FD143" s="524"/>
      <c r="FE143" s="524"/>
      <c r="FF143" s="524"/>
      <c r="FJ143" s="43"/>
      <c r="FO143" s="523"/>
      <c r="FP143" s="524"/>
      <c r="FQ143" s="524"/>
      <c r="FR143" s="524"/>
      <c r="FS143" s="524"/>
      <c r="FW143" s="43"/>
      <c r="GB143" s="523"/>
      <c r="GC143" s="524"/>
      <c r="GD143" s="524"/>
      <c r="GE143" s="524"/>
      <c r="GF143" s="524"/>
      <c r="GJ143" s="43"/>
      <c r="GO143" s="523"/>
      <c r="GP143" s="524"/>
      <c r="GQ143" s="524"/>
      <c r="GR143" s="524"/>
      <c r="GS143" s="524"/>
      <c r="GW143" s="43"/>
      <c r="HB143" s="523"/>
      <c r="HC143" s="524"/>
      <c r="HD143" s="524"/>
      <c r="HE143" s="524"/>
      <c r="HF143" s="524"/>
      <c r="HJ143" s="43"/>
      <c r="HO143" s="523"/>
      <c r="HP143" s="524"/>
      <c r="HQ143" s="524"/>
      <c r="HR143" s="524"/>
      <c r="HS143" s="524"/>
      <c r="HW143" s="43"/>
      <c r="IB143" s="523"/>
      <c r="IC143" s="524"/>
      <c r="ID143" s="524"/>
      <c r="IE143" s="524"/>
      <c r="IF143" s="524"/>
      <c r="IJ143" s="43"/>
      <c r="IO143" s="523"/>
      <c r="IP143" s="524"/>
      <c r="IQ143" s="524"/>
      <c r="IR143" s="524"/>
      <c r="IS143" s="524"/>
      <c r="IW143" s="43"/>
      <c r="JB143" s="523"/>
      <c r="JC143" s="524"/>
      <c r="JD143" s="524"/>
      <c r="JE143" s="524"/>
      <c r="JF143" s="524"/>
      <c r="JJ143" s="43"/>
      <c r="JO143" s="523"/>
      <c r="JP143" s="524"/>
      <c r="JQ143" s="524"/>
      <c r="JR143" s="524"/>
      <c r="JS143" s="524"/>
      <c r="JW143" s="43"/>
      <c r="KB143" s="523"/>
      <c r="KC143" s="524"/>
      <c r="KD143" s="524"/>
      <c r="KE143" s="524"/>
      <c r="KF143" s="524"/>
      <c r="KJ143" s="43"/>
      <c r="KO143" s="523"/>
      <c r="KP143" s="524"/>
      <c r="KQ143" s="524"/>
      <c r="KR143" s="524"/>
      <c r="KS143" s="524"/>
      <c r="KW143" s="43"/>
      <c r="LB143" s="523"/>
      <c r="LC143" s="524"/>
      <c r="LD143" s="524"/>
      <c r="LE143" s="524"/>
      <c r="LF143" s="524"/>
      <c r="LJ143" s="43"/>
      <c r="LO143" s="523"/>
      <c r="LP143" s="524"/>
      <c r="LQ143" s="524"/>
      <c r="LR143" s="524"/>
      <c r="LS143" s="524"/>
      <c r="LW143" s="43"/>
      <c r="MB143" s="523"/>
      <c r="MC143" s="524"/>
      <c r="MD143" s="524"/>
      <c r="ME143" s="524"/>
      <c r="MF143" s="524"/>
      <c r="MJ143" s="43"/>
      <c r="MO143" s="523"/>
      <c r="MP143" s="524"/>
      <c r="MQ143" s="524"/>
      <c r="MR143" s="524"/>
      <c r="MS143" s="524"/>
      <c r="MW143" s="43"/>
      <c r="NB143" s="523"/>
      <c r="NC143" s="524"/>
      <c r="ND143" s="524"/>
      <c r="NE143" s="524"/>
      <c r="NF143" s="524"/>
      <c r="NJ143" s="43"/>
      <c r="NO143" s="523"/>
      <c r="NP143" s="524"/>
      <c r="NQ143" s="524"/>
      <c r="NR143" s="524"/>
      <c r="NS143" s="524"/>
      <c r="NW143" s="43"/>
    </row>
    <row r="144" spans="1:391" s="41" customFormat="1" ht="48.75" customHeight="1" x14ac:dyDescent="0.2">
      <c r="B144" s="195"/>
      <c r="C144" s="195"/>
      <c r="D144" s="195"/>
      <c r="E144" s="195"/>
      <c r="F144" s="195"/>
      <c r="O144" s="44"/>
      <c r="P144" s="44"/>
      <c r="Q144" s="44"/>
      <c r="R144" s="44"/>
      <c r="S144" s="44"/>
      <c r="AB144" s="196"/>
      <c r="AC144" s="196"/>
      <c r="AD144" s="196"/>
      <c r="AE144" s="196"/>
      <c r="AF144" s="196"/>
      <c r="AO144" s="196"/>
      <c r="AP144" s="196"/>
      <c r="AQ144" s="196"/>
      <c r="AR144" s="196"/>
      <c r="AS144" s="196"/>
      <c r="BB144" s="196"/>
      <c r="BC144" s="196"/>
      <c r="BD144" s="196"/>
      <c r="BE144" s="196"/>
      <c r="BF144" s="196"/>
      <c r="BO144" s="196"/>
      <c r="BP144" s="196"/>
      <c r="BQ144" s="196"/>
      <c r="BR144" s="196"/>
      <c r="BS144" s="196"/>
      <c r="CB144" s="196"/>
      <c r="CC144" s="196"/>
      <c r="CD144" s="196"/>
      <c r="CE144" s="196"/>
      <c r="CF144" s="196"/>
      <c r="CO144" s="196"/>
      <c r="CP144" s="196"/>
      <c r="CQ144" s="196"/>
      <c r="CR144" s="196"/>
      <c r="CS144" s="196"/>
      <c r="DB144" s="196"/>
      <c r="DC144" s="196"/>
      <c r="DD144" s="196"/>
      <c r="DE144" s="196"/>
      <c r="DF144" s="196"/>
      <c r="DO144" s="196"/>
      <c r="DP144" s="196"/>
      <c r="DQ144" s="196"/>
      <c r="DR144" s="196"/>
      <c r="DS144" s="196"/>
      <c r="EB144" s="196"/>
      <c r="EC144" s="196"/>
      <c r="ED144" s="196"/>
      <c r="EE144" s="196"/>
      <c r="EF144" s="196"/>
      <c r="EO144" s="196"/>
      <c r="EP144" s="196"/>
      <c r="EQ144" s="196"/>
      <c r="ER144" s="196"/>
      <c r="ES144" s="196"/>
      <c r="FB144" s="196"/>
      <c r="FC144" s="196"/>
      <c r="FD144" s="196"/>
      <c r="FE144" s="196"/>
      <c r="FF144" s="196"/>
      <c r="FO144" s="196"/>
      <c r="FP144" s="196"/>
      <c r="FQ144" s="196"/>
      <c r="FR144" s="196"/>
      <c r="FS144" s="196"/>
      <c r="GB144" s="196"/>
      <c r="GC144" s="196"/>
      <c r="GD144" s="196"/>
      <c r="GE144" s="196"/>
      <c r="GF144" s="196"/>
      <c r="GO144" s="196"/>
      <c r="GP144" s="196"/>
      <c r="GQ144" s="196"/>
      <c r="GR144" s="196"/>
      <c r="GS144" s="196"/>
      <c r="HB144" s="196"/>
      <c r="HC144" s="196"/>
      <c r="HD144" s="196"/>
      <c r="HE144" s="196"/>
      <c r="HF144" s="196"/>
      <c r="HO144" s="196"/>
      <c r="HP144" s="196"/>
      <c r="HQ144" s="196"/>
      <c r="HR144" s="196"/>
      <c r="HS144" s="196"/>
      <c r="IB144" s="196"/>
      <c r="IC144" s="196"/>
      <c r="ID144" s="196"/>
      <c r="IE144" s="196"/>
      <c r="IF144" s="196"/>
      <c r="IO144" s="196"/>
      <c r="IP144" s="196"/>
      <c r="IQ144" s="196"/>
      <c r="IR144" s="196"/>
      <c r="IS144" s="196"/>
      <c r="JB144" s="196"/>
      <c r="JC144" s="196"/>
      <c r="JD144" s="196"/>
      <c r="JE144" s="196"/>
      <c r="JF144" s="196"/>
      <c r="JO144" s="196"/>
      <c r="JP144" s="196"/>
      <c r="JQ144" s="196"/>
      <c r="JR144" s="196"/>
      <c r="JS144" s="196"/>
      <c r="KB144" s="196"/>
      <c r="KC144" s="196"/>
      <c r="KD144" s="196"/>
      <c r="KE144" s="196"/>
      <c r="KF144" s="196"/>
      <c r="KO144" s="196"/>
      <c r="KP144" s="196"/>
      <c r="KQ144" s="196"/>
      <c r="KR144" s="196"/>
      <c r="KS144" s="196"/>
      <c r="LB144" s="196"/>
      <c r="LC144" s="196"/>
      <c r="LD144" s="196"/>
      <c r="LE144" s="196"/>
      <c r="LF144" s="196"/>
      <c r="LO144" s="196"/>
      <c r="LP144" s="196"/>
      <c r="LQ144" s="196"/>
      <c r="LR144" s="196"/>
      <c r="LS144" s="196"/>
      <c r="MB144" s="196"/>
      <c r="MC144" s="196"/>
      <c r="MD144" s="196"/>
      <c r="ME144" s="196"/>
      <c r="MF144" s="196"/>
      <c r="MO144" s="196"/>
      <c r="MP144" s="196"/>
      <c r="MQ144" s="196"/>
      <c r="MR144" s="196"/>
      <c r="MS144" s="196"/>
      <c r="NB144" s="196"/>
      <c r="NC144" s="196"/>
      <c r="ND144" s="196"/>
      <c r="NE144" s="196"/>
      <c r="NF144" s="196"/>
      <c r="NO144" s="196"/>
      <c r="NP144" s="196"/>
      <c r="NQ144" s="196"/>
      <c r="NR144" s="196"/>
      <c r="NS144" s="196"/>
    </row>
    <row r="145" spans="2:400" s="41" customFormat="1" ht="18" x14ac:dyDescent="0.2">
      <c r="B145" s="532" t="str">
        <f>IF(AND($H$141&gt;=1, $H$141&lt;&gt;"Please Select"),"Active Field Experience Data Form Number FE1","")</f>
        <v/>
      </c>
      <c r="C145" s="532"/>
      <c r="D145" s="532"/>
      <c r="E145" s="532"/>
      <c r="F145" s="532"/>
      <c r="G145" s="532"/>
      <c r="H145" s="532"/>
      <c r="O145" s="532" t="str">
        <f>IF(AND($H$141&gt;=2, $H$141&lt;&gt;"Please Select"),"Active Field Experience Data Form Number FE2","")</f>
        <v/>
      </c>
      <c r="P145" s="532"/>
      <c r="Q145" s="532"/>
      <c r="R145" s="532"/>
      <c r="S145" s="532"/>
      <c r="T145" s="532"/>
      <c r="U145" s="532"/>
      <c r="AB145" s="532" t="str">
        <f>IF(AND($H$141&gt;=3, $H$141&lt;&gt;"Please Select"),"Active Field Experience Data Form Number FE3","")</f>
        <v/>
      </c>
      <c r="AC145" s="532"/>
      <c r="AD145" s="532"/>
      <c r="AE145" s="532"/>
      <c r="AF145" s="532"/>
      <c r="AG145" s="532"/>
      <c r="AH145" s="532"/>
      <c r="AO145" s="532" t="str">
        <f>IF(AND($H$141&gt;=4, $H$141&lt;&gt;"Please Select"),"Active Field Experience Data Form Number FE4","")</f>
        <v/>
      </c>
      <c r="AP145" s="532"/>
      <c r="AQ145" s="532"/>
      <c r="AR145" s="532"/>
      <c r="AS145" s="532"/>
      <c r="AT145" s="532"/>
      <c r="AU145" s="532"/>
      <c r="BB145" s="532" t="str">
        <f>IF(AND($H$141&gt;=5, $H$141&lt;&gt;"Please Select"),"Active Field Experience Data Form Number FE5","")</f>
        <v/>
      </c>
      <c r="BC145" s="532"/>
      <c r="BD145" s="532"/>
      <c r="BE145" s="532"/>
      <c r="BF145" s="532"/>
      <c r="BG145" s="532"/>
      <c r="BH145" s="532"/>
      <c r="BO145" s="532" t="str">
        <f>IF(AND($H$141&gt;=6, $H$141&lt;&gt;"Please Select"),"Active Field Experience Data Form Number FE6","")</f>
        <v/>
      </c>
      <c r="BP145" s="532"/>
      <c r="BQ145" s="532"/>
      <c r="BR145" s="532"/>
      <c r="BS145" s="532"/>
      <c r="BT145" s="532"/>
      <c r="BU145" s="532"/>
      <c r="CB145" s="532" t="str">
        <f>IF(AND($H$141&gt;=7, $H$141&lt;&gt;"Please Select"),"Active Field Experience Data Form Number FE7","")</f>
        <v/>
      </c>
      <c r="CC145" s="532"/>
      <c r="CD145" s="532"/>
      <c r="CE145" s="532"/>
      <c r="CF145" s="532"/>
      <c r="CG145" s="532"/>
      <c r="CH145" s="532"/>
      <c r="CO145" s="532" t="str">
        <f>IF(AND($H$141&gt;=8, $H$141&lt;&gt;"Please Select"),"Active Field Experience Data Form Number FE8","")</f>
        <v/>
      </c>
      <c r="CP145" s="532"/>
      <c r="CQ145" s="532"/>
      <c r="CR145" s="532"/>
      <c r="CS145" s="532"/>
      <c r="CT145" s="532"/>
      <c r="CU145" s="532"/>
      <c r="DB145" s="532" t="str">
        <f>IF(AND($H$141&gt;=9, $H$141&lt;&gt;"Please Select"),"Active Field Experience Data Form Number FE9","")</f>
        <v/>
      </c>
      <c r="DC145" s="532"/>
      <c r="DD145" s="532"/>
      <c r="DE145" s="532"/>
      <c r="DF145" s="532"/>
      <c r="DG145" s="532"/>
      <c r="DH145" s="532"/>
      <c r="DO145" s="532" t="str">
        <f>IF(AND($H$141&gt;=10, $H$141&lt;&gt;"Please Select"),"Active Field Experience Data Form Number FE10","")</f>
        <v/>
      </c>
      <c r="DP145" s="532"/>
      <c r="DQ145" s="532"/>
      <c r="DR145" s="532"/>
      <c r="DS145" s="532"/>
      <c r="DT145" s="532"/>
      <c r="DU145" s="532"/>
      <c r="EB145" s="532"/>
      <c r="EC145" s="532"/>
      <c r="ED145" s="532"/>
      <c r="EE145" s="532"/>
      <c r="EF145" s="532"/>
      <c r="EG145" s="532"/>
      <c r="EH145" s="532"/>
      <c r="EO145" s="532"/>
      <c r="EP145" s="532"/>
      <c r="EQ145" s="532"/>
      <c r="ER145" s="532"/>
      <c r="ES145" s="532"/>
      <c r="ET145" s="532"/>
      <c r="EU145" s="532"/>
      <c r="FB145" s="532"/>
      <c r="FC145" s="532"/>
      <c r="FD145" s="532"/>
      <c r="FE145" s="532"/>
      <c r="FF145" s="532"/>
      <c r="FG145" s="532"/>
      <c r="FH145" s="532"/>
      <c r="FO145" s="532"/>
      <c r="FP145" s="532"/>
      <c r="FQ145" s="532"/>
      <c r="FR145" s="532"/>
      <c r="FS145" s="532"/>
      <c r="FT145" s="532"/>
      <c r="FU145" s="532"/>
      <c r="GB145" s="532"/>
      <c r="GC145" s="532"/>
      <c r="GD145" s="532"/>
      <c r="GE145" s="532"/>
      <c r="GF145" s="532"/>
      <c r="GG145" s="532"/>
      <c r="GH145" s="532"/>
      <c r="GO145" s="532"/>
      <c r="GP145" s="532"/>
      <c r="GQ145" s="532"/>
      <c r="GR145" s="532"/>
      <c r="GS145" s="532"/>
      <c r="GT145" s="532"/>
      <c r="GU145" s="532"/>
      <c r="HB145" s="532"/>
      <c r="HC145" s="532"/>
      <c r="HD145" s="532"/>
      <c r="HE145" s="532"/>
      <c r="HF145" s="532"/>
      <c r="HG145" s="532"/>
      <c r="HH145" s="532"/>
      <c r="HO145" s="532"/>
      <c r="HP145" s="532"/>
      <c r="HQ145" s="532"/>
      <c r="HR145" s="532"/>
      <c r="HS145" s="532"/>
      <c r="HT145" s="532"/>
      <c r="HU145" s="532"/>
      <c r="IB145" s="532"/>
      <c r="IC145" s="532"/>
      <c r="ID145" s="532"/>
      <c r="IE145" s="532"/>
      <c r="IF145" s="532"/>
      <c r="IG145" s="532"/>
      <c r="IH145" s="532"/>
      <c r="IO145" s="532"/>
      <c r="IP145" s="532"/>
      <c r="IQ145" s="532"/>
      <c r="IR145" s="532"/>
      <c r="IS145" s="532"/>
      <c r="IT145" s="532"/>
      <c r="IU145" s="532"/>
      <c r="JB145" s="532"/>
      <c r="JC145" s="532"/>
      <c r="JD145" s="532"/>
      <c r="JE145" s="532"/>
      <c r="JF145" s="532"/>
      <c r="JG145" s="532"/>
      <c r="JH145" s="532"/>
      <c r="JO145" s="532"/>
      <c r="JP145" s="532"/>
      <c r="JQ145" s="532"/>
      <c r="JR145" s="532"/>
      <c r="JS145" s="532"/>
      <c r="JT145" s="532"/>
      <c r="JU145" s="532"/>
      <c r="KB145" s="532"/>
      <c r="KC145" s="532"/>
      <c r="KD145" s="532"/>
      <c r="KE145" s="532"/>
      <c r="KF145" s="532"/>
      <c r="KG145" s="532"/>
      <c r="KH145" s="532"/>
      <c r="KO145" s="532"/>
      <c r="KP145" s="532"/>
      <c r="KQ145" s="532"/>
      <c r="KR145" s="532"/>
      <c r="KS145" s="532"/>
      <c r="KT145" s="532"/>
      <c r="KU145" s="532"/>
      <c r="LB145" s="532"/>
      <c r="LC145" s="532"/>
      <c r="LD145" s="532"/>
      <c r="LE145" s="532"/>
      <c r="LF145" s="532"/>
      <c r="LG145" s="532"/>
      <c r="LH145" s="532"/>
      <c r="LO145" s="532"/>
      <c r="LP145" s="532"/>
      <c r="LQ145" s="532"/>
      <c r="LR145" s="532"/>
      <c r="LS145" s="532"/>
      <c r="LT145" s="532"/>
      <c r="LU145" s="532"/>
      <c r="MB145" s="532"/>
      <c r="MC145" s="532"/>
      <c r="MD145" s="532"/>
      <c r="ME145" s="532"/>
      <c r="MF145" s="532"/>
      <c r="MG145" s="532"/>
      <c r="MH145" s="532"/>
      <c r="MO145" s="532"/>
      <c r="MP145" s="532"/>
      <c r="MQ145" s="532"/>
      <c r="MR145" s="532"/>
      <c r="MS145" s="532"/>
      <c r="MT145" s="532"/>
      <c r="MU145" s="532"/>
      <c r="NB145" s="532"/>
      <c r="NC145" s="532"/>
      <c r="ND145" s="532"/>
      <c r="NE145" s="532"/>
      <c r="NF145" s="532"/>
      <c r="NG145" s="532"/>
      <c r="NH145" s="532"/>
      <c r="NO145" s="532"/>
      <c r="NP145" s="532"/>
      <c r="NQ145" s="532"/>
      <c r="NR145" s="532"/>
      <c r="NS145" s="532"/>
      <c r="NT145" s="532"/>
      <c r="NU145" s="532"/>
      <c r="OA145" s="63" t="s">
        <v>211</v>
      </c>
      <c r="OB145" s="115" t="str">
        <f>IF(ISNUMBER(MATCH(3,G150:NT150,0)), "Yes", "")</f>
        <v/>
      </c>
      <c r="OC145" s="63" t="s">
        <v>225</v>
      </c>
      <c r="OD145" s="115" t="str">
        <f>IF(ISNUMBER(MATCH(15,G150:NT150,0)), "Yes", "")</f>
        <v/>
      </c>
      <c r="OE145" s="63" t="s">
        <v>237</v>
      </c>
      <c r="OF145" s="115" t="str">
        <f>IF(ISNUMBER(MATCH(27,G150:NT150,0)), "Yes", "")</f>
        <v/>
      </c>
      <c r="OG145" s="63" t="s">
        <v>249</v>
      </c>
      <c r="OH145" s="115" t="str">
        <f>IF(ISNUMBER(MATCH(39,G150:NT150,0)), "Yes", "")</f>
        <v/>
      </c>
      <c r="OI145" s="63" t="s">
        <v>261</v>
      </c>
      <c r="OJ145" s="115" t="str">
        <f>IF(ISNUMBER(MATCH(50,G150:NT150,0)), "Yes", "")</f>
        <v/>
      </c>
    </row>
    <row r="146" spans="2:400" s="41" customFormat="1" ht="14.25" x14ac:dyDescent="0.2">
      <c r="OA146" s="202" t="s">
        <v>214</v>
      </c>
      <c r="OB146" s="115" t="str">
        <f>IF(ISNUMBER(MATCH(4,G150:NT150,0)), "Yes", "")</f>
        <v/>
      </c>
      <c r="OC146" s="63" t="s">
        <v>226</v>
      </c>
      <c r="OD146" s="115" t="str">
        <f>IF(ISNUMBER(MATCH(16,G150:NT150,0)), "Yes", "")</f>
        <v/>
      </c>
      <c r="OE146" s="63" t="s">
        <v>238</v>
      </c>
      <c r="OF146" s="115" t="str">
        <f>IF(ISNUMBER(MATCH(28,G150:NT150,0)), "Yes", "")</f>
        <v/>
      </c>
      <c r="OG146" s="63" t="s">
        <v>250</v>
      </c>
      <c r="OH146" s="115" t="str">
        <f>IF(ISNUMBER(MATCH(40,G150:NT150,0)), "Yes", "")</f>
        <v/>
      </c>
      <c r="OI146" s="63"/>
      <c r="OJ146" s="115" t="str">
        <f>IF(ISNUMBER(MATCH(51,G150:NT150,0)), "Yes", "")</f>
        <v/>
      </c>
    </row>
    <row r="147" spans="2:400" s="41" customFormat="1" ht="15" customHeight="1" x14ac:dyDescent="0.2">
      <c r="B147" s="1" t="str">
        <f>IF(AND($H$141&gt;=1, $H$141&lt;&gt;"Please Select"),"Affiliate Name:","")</f>
        <v/>
      </c>
      <c r="C147" s="336"/>
      <c r="D147" s="336"/>
      <c r="E147" s="336"/>
      <c r="F147" s="336"/>
      <c r="G147" s="73"/>
      <c r="I147" s="531" t="str">
        <f>IF(H66=F150,"",IF(AND(H133&lt;&gt;F150,F150&lt;&gt;""),"Out of State Affiliate",""))</f>
        <v/>
      </c>
      <c r="J147" s="531"/>
      <c r="K147" s="531"/>
      <c r="L147" s="531"/>
      <c r="O147" s="1" t="str">
        <f>IF(AND($H$141&gt;=2, $H$141&lt;&gt;"Please Select"),"Affiliate Name:","")</f>
        <v/>
      </c>
      <c r="P147" s="336"/>
      <c r="Q147" s="336"/>
      <c r="R147" s="336"/>
      <c r="S147" s="336"/>
      <c r="T147" s="73"/>
      <c r="V147" s="531" t="str">
        <f>IF(H66=S150,"",IF(AND(H66&lt;&gt;S150,S150&lt;&gt;""),"Out of State Affiliate",""))</f>
        <v/>
      </c>
      <c r="W147" s="531"/>
      <c r="X147" s="531"/>
      <c r="Y147" s="531"/>
      <c r="AB147" s="1" t="str">
        <f>IF(AND($H$141&gt;=3, $H$141&lt;&gt;"Please Select"),"Affiliate Name:","")</f>
        <v/>
      </c>
      <c r="AC147" s="336"/>
      <c r="AD147" s="336"/>
      <c r="AE147" s="336"/>
      <c r="AF147" s="336"/>
      <c r="AG147" s="73"/>
      <c r="AI147" s="531" t="str">
        <f>IF($H$66=AF150,"",IF(AND($H$66&lt;&gt;AF150,AF150&lt;&gt;""),"Out of State Affiliate",""))</f>
        <v/>
      </c>
      <c r="AJ147" s="531"/>
      <c r="AK147" s="531"/>
      <c r="AL147" s="531"/>
      <c r="AO147" s="1" t="str">
        <f>IF(AND($H$141&gt;=4, $H$141&lt;&gt;"Please Select"),"Affiliate Name:","")</f>
        <v/>
      </c>
      <c r="AP147" s="336"/>
      <c r="AQ147" s="336"/>
      <c r="AR147" s="336"/>
      <c r="AS147" s="336"/>
      <c r="AT147" s="73"/>
      <c r="AV147" s="531" t="str">
        <f>IF($H$66=AS150,"",IF(AND($H$66&lt;&gt;AS150,AS150&lt;&gt;""),"Out of State Affiliate",""))</f>
        <v/>
      </c>
      <c r="AW147" s="531"/>
      <c r="AX147" s="531"/>
      <c r="AY147" s="531"/>
      <c r="BB147" s="1" t="str">
        <f>IF(AND($H$141&gt;=5, $H$141&lt;&gt;"Please Select"),"Affiliate Name:","")</f>
        <v/>
      </c>
      <c r="BC147" s="336"/>
      <c r="BD147" s="336"/>
      <c r="BE147" s="336"/>
      <c r="BF147" s="336"/>
      <c r="BG147" s="73"/>
      <c r="BI147" s="531" t="str">
        <f>IF($H$66=BF150,"",IF(AND($H$66&lt;&gt;BF150,BF150&lt;&gt;""),"Out of State Affiliate",""))</f>
        <v/>
      </c>
      <c r="BJ147" s="531"/>
      <c r="BK147" s="531"/>
      <c r="BL147" s="531"/>
      <c r="BO147" s="1" t="str">
        <f>IF(AND($H$141&gt;=6, $H$141&lt;&gt;"Please Select"),"Affiliate Name:","")</f>
        <v/>
      </c>
      <c r="BP147" s="336"/>
      <c r="BQ147" s="336"/>
      <c r="BR147" s="336"/>
      <c r="BS147" s="336"/>
      <c r="BT147" s="73"/>
      <c r="BV147" s="531" t="str">
        <f>IF($H$66=BS150,"",IF(AND($H$66&lt;&gt;BS150,BS150&lt;&gt;""),"Out of State Affiliate",""))</f>
        <v/>
      </c>
      <c r="BW147" s="531"/>
      <c r="BX147" s="531"/>
      <c r="BY147" s="531"/>
      <c r="CB147" s="1" t="str">
        <f>IF(AND($H$141&gt;=7, $H$141&lt;&gt;"Please Select"),"Affiliate Name:","")</f>
        <v/>
      </c>
      <c r="CC147" s="336"/>
      <c r="CD147" s="336"/>
      <c r="CE147" s="336"/>
      <c r="CF147" s="336"/>
      <c r="CG147" s="73"/>
      <c r="CI147" s="531" t="str">
        <f>IF($H$66=CF150,"",IF(AND($H$66&lt;&gt;CF150,CF150&lt;&gt;""),"Out of State Affiliate",""))</f>
        <v/>
      </c>
      <c r="CJ147" s="531"/>
      <c r="CK147" s="531"/>
      <c r="CL147" s="531"/>
      <c r="CO147" s="1" t="str">
        <f>IF(AND($H$141&gt;=8, $H$141&lt;&gt;"Please Select"),"Affiliate Name:","")</f>
        <v/>
      </c>
      <c r="CP147" s="336"/>
      <c r="CQ147" s="336"/>
      <c r="CR147" s="336"/>
      <c r="CS147" s="336"/>
      <c r="CT147" s="73"/>
      <c r="CV147" s="531" t="str">
        <f>IF($H$66=CS150,"",IF(AND($H$66&lt;&gt;CS150,CS150&lt;&gt;""),"Out of State Affiliate",""))</f>
        <v/>
      </c>
      <c r="CW147" s="531"/>
      <c r="CX147" s="531"/>
      <c r="CY147" s="531"/>
      <c r="DB147" s="1" t="str">
        <f>IF(AND($H$141&gt;=9, $H$141&lt;&gt;"Please Select"),"Affiliate Name:","")</f>
        <v/>
      </c>
      <c r="DC147" s="336"/>
      <c r="DD147" s="336"/>
      <c r="DE147" s="336"/>
      <c r="DF147" s="336"/>
      <c r="DG147" s="73"/>
      <c r="DI147" s="531" t="str">
        <f>IF($H$66=DF150,"",IF(AND($H$66&lt;&gt;DF150,DF150&lt;&gt;""),"Out of State Affiliate",""))</f>
        <v/>
      </c>
      <c r="DJ147" s="531"/>
      <c r="DK147" s="531"/>
      <c r="DL147" s="531"/>
      <c r="DO147" s="1" t="str">
        <f>IF(AND($H$141&gt;=10, $H$141&lt;&gt;"Please Select"),"Affiliate Name:","")</f>
        <v/>
      </c>
      <c r="DP147" s="336"/>
      <c r="DQ147" s="336"/>
      <c r="DR147" s="336"/>
      <c r="DS147" s="336"/>
      <c r="DT147" s="73"/>
      <c r="DV147" s="531" t="str">
        <f>IF($H$66=DS150,"",IF(AND($H$66&lt;&gt;DS150,DS150&lt;&gt;""),"Out of State Affiliate",""))</f>
        <v/>
      </c>
      <c r="DW147" s="531"/>
      <c r="DX147" s="531"/>
      <c r="DY147" s="531"/>
      <c r="EB147" s="1"/>
      <c r="EC147" s="336"/>
      <c r="ED147" s="336"/>
      <c r="EE147" s="336"/>
      <c r="EF147" s="336"/>
      <c r="EG147" s="73"/>
      <c r="EI147" s="531"/>
      <c r="EJ147" s="531"/>
      <c r="EK147" s="531"/>
      <c r="EL147" s="531"/>
      <c r="EO147" s="1"/>
      <c r="EP147" s="336"/>
      <c r="EQ147" s="336"/>
      <c r="ER147" s="336"/>
      <c r="ES147" s="336"/>
      <c r="ET147" s="73"/>
      <c r="EV147" s="531"/>
      <c r="EW147" s="531"/>
      <c r="EX147" s="531"/>
      <c r="EY147" s="531"/>
      <c r="FB147" s="1"/>
      <c r="FC147" s="336"/>
      <c r="FD147" s="336"/>
      <c r="FE147" s="336"/>
      <c r="FF147" s="336"/>
      <c r="FG147" s="73"/>
      <c r="FI147" s="531"/>
      <c r="FJ147" s="531"/>
      <c r="FK147" s="531"/>
      <c r="FL147" s="531"/>
      <c r="FO147" s="1"/>
      <c r="FP147" s="336"/>
      <c r="FQ147" s="336"/>
      <c r="FR147" s="336"/>
      <c r="FS147" s="336"/>
      <c r="FT147" s="73"/>
      <c r="FV147" s="531"/>
      <c r="FW147" s="531"/>
      <c r="FX147" s="531"/>
      <c r="FY147" s="531"/>
      <c r="GB147" s="1"/>
      <c r="GC147" s="336"/>
      <c r="GD147" s="336"/>
      <c r="GE147" s="336"/>
      <c r="GF147" s="336"/>
      <c r="GG147" s="73"/>
      <c r="GI147" s="531"/>
      <c r="GJ147" s="531"/>
      <c r="GK147" s="531"/>
      <c r="GL147" s="531"/>
      <c r="GO147" s="1"/>
      <c r="GP147" s="336"/>
      <c r="GQ147" s="336"/>
      <c r="GR147" s="336"/>
      <c r="GS147" s="336"/>
      <c r="GT147" s="73"/>
      <c r="GV147" s="531"/>
      <c r="GW147" s="531"/>
      <c r="GX147" s="531"/>
      <c r="GY147" s="531"/>
      <c r="HB147" s="1"/>
      <c r="HC147" s="336"/>
      <c r="HD147" s="336"/>
      <c r="HE147" s="336"/>
      <c r="HF147" s="336"/>
      <c r="HG147" s="73"/>
      <c r="HI147" s="531"/>
      <c r="HJ147" s="531"/>
      <c r="HK147" s="531"/>
      <c r="HL147" s="531"/>
      <c r="HO147" s="1"/>
      <c r="HP147" s="336"/>
      <c r="HQ147" s="336"/>
      <c r="HR147" s="336"/>
      <c r="HS147" s="336"/>
      <c r="HT147" s="73"/>
      <c r="HV147" s="531"/>
      <c r="HW147" s="531"/>
      <c r="HX147" s="531"/>
      <c r="HY147" s="531"/>
      <c r="IB147" s="1"/>
      <c r="IC147" s="336"/>
      <c r="ID147" s="336"/>
      <c r="IE147" s="336"/>
      <c r="IF147" s="336"/>
      <c r="IG147" s="73"/>
      <c r="II147" s="531"/>
      <c r="IJ147" s="531"/>
      <c r="IK147" s="531"/>
      <c r="IL147" s="531"/>
      <c r="IO147" s="1"/>
      <c r="IP147" s="336"/>
      <c r="IQ147" s="336"/>
      <c r="IR147" s="336"/>
      <c r="IS147" s="336"/>
      <c r="IT147" s="73"/>
      <c r="IV147" s="531"/>
      <c r="IW147" s="531"/>
      <c r="IX147" s="531"/>
      <c r="IY147" s="531"/>
      <c r="JB147" s="1"/>
      <c r="JC147" s="336"/>
      <c r="JD147" s="336"/>
      <c r="JE147" s="336"/>
      <c r="JF147" s="336"/>
      <c r="JG147" s="73"/>
      <c r="JI147" s="531"/>
      <c r="JJ147" s="531"/>
      <c r="JK147" s="531"/>
      <c r="JL147" s="531"/>
      <c r="JO147" s="1"/>
      <c r="JP147" s="336"/>
      <c r="JQ147" s="336"/>
      <c r="JR147" s="336"/>
      <c r="JS147" s="336"/>
      <c r="JT147" s="73"/>
      <c r="JV147" s="531"/>
      <c r="JW147" s="531"/>
      <c r="JX147" s="531"/>
      <c r="JY147" s="531"/>
      <c r="KB147" s="1"/>
      <c r="KC147" s="336"/>
      <c r="KD147" s="336"/>
      <c r="KE147" s="336"/>
      <c r="KF147" s="336"/>
      <c r="KG147" s="73"/>
      <c r="KI147" s="531"/>
      <c r="KJ147" s="531"/>
      <c r="KK147" s="531"/>
      <c r="KL147" s="531"/>
      <c r="KO147" s="1"/>
      <c r="KP147" s="336"/>
      <c r="KQ147" s="336"/>
      <c r="KR147" s="336"/>
      <c r="KS147" s="336"/>
      <c r="KT147" s="73"/>
      <c r="KV147" s="531"/>
      <c r="KW147" s="531"/>
      <c r="KX147" s="531"/>
      <c r="KY147" s="531"/>
      <c r="LB147" s="1"/>
      <c r="LC147" s="336"/>
      <c r="LD147" s="336"/>
      <c r="LE147" s="336"/>
      <c r="LF147" s="336"/>
      <c r="LG147" s="73"/>
      <c r="LI147" s="531"/>
      <c r="LJ147" s="531"/>
      <c r="LK147" s="531"/>
      <c r="LL147" s="531"/>
      <c r="LO147" s="1"/>
      <c r="LP147" s="336"/>
      <c r="LQ147" s="336"/>
      <c r="LR147" s="336"/>
      <c r="LS147" s="336"/>
      <c r="LT147" s="73"/>
      <c r="LV147" s="531"/>
      <c r="LW147" s="531"/>
      <c r="LX147" s="531"/>
      <c r="LY147" s="531"/>
      <c r="MB147" s="1"/>
      <c r="MC147" s="336"/>
      <c r="MD147" s="336"/>
      <c r="ME147" s="336"/>
      <c r="MF147" s="336"/>
      <c r="MG147" s="73"/>
      <c r="MI147" s="531"/>
      <c r="MJ147" s="531"/>
      <c r="MK147" s="531"/>
      <c r="ML147" s="531"/>
      <c r="MO147" s="1"/>
      <c r="MP147" s="336"/>
      <c r="MQ147" s="336"/>
      <c r="MR147" s="336"/>
      <c r="MS147" s="336"/>
      <c r="MT147" s="73"/>
      <c r="MV147" s="531"/>
      <c r="MW147" s="531"/>
      <c r="MX147" s="531"/>
      <c r="MY147" s="531"/>
      <c r="NB147" s="1"/>
      <c r="NC147" s="336"/>
      <c r="ND147" s="336"/>
      <c r="NE147" s="336"/>
      <c r="NF147" s="336"/>
      <c r="NG147" s="73"/>
      <c r="NI147" s="531"/>
      <c r="NJ147" s="531"/>
      <c r="NK147" s="531"/>
      <c r="NL147" s="531"/>
      <c r="NO147" s="1"/>
      <c r="NP147" s="336"/>
      <c r="NQ147" s="336"/>
      <c r="NR147" s="336"/>
      <c r="NS147" s="336"/>
      <c r="NT147" s="73"/>
      <c r="NV147" s="531" t="str">
        <f>IF($H$14=NS150,"",IF(AND($H$14&lt;&gt;NS150,NS150&lt;&gt;""),"Out of State Affiliate",""))</f>
        <v/>
      </c>
      <c r="NW147" s="531"/>
      <c r="NX147" s="531"/>
      <c r="NY147" s="531"/>
      <c r="OA147" s="63" t="s">
        <v>215</v>
      </c>
      <c r="OB147" s="115" t="str">
        <f>IF(ISNUMBER(MATCH(5,G150:NT150,0)), "Yes", "")</f>
        <v/>
      </c>
      <c r="OC147" s="63" t="s">
        <v>227</v>
      </c>
      <c r="OD147" s="115" t="str">
        <f>IF(ISNUMBER(MATCH(17,G150:NT150,0)), "Yes", "")</f>
        <v/>
      </c>
      <c r="OE147" s="63" t="s">
        <v>239</v>
      </c>
      <c r="OF147" s="115" t="str">
        <f>IF(ISNUMBER(MATCH(29,G150:NT150,0)), "Yes", "")</f>
        <v/>
      </c>
      <c r="OG147" s="63" t="s">
        <v>251</v>
      </c>
      <c r="OH147" s="115" t="str">
        <f>IF(ISNUMBER(MATCH(41,G150:NT150,0)), "Yes", "")</f>
        <v/>
      </c>
      <c r="OI147" s="63"/>
      <c r="OJ147" s="63"/>
    </row>
    <row r="148" spans="2:400" s="41" customFormat="1" ht="14.25" x14ac:dyDescent="0.2">
      <c r="B148" s="1" t="str">
        <f>IF(AND($H$141&gt;=1, $H$141&lt;&gt;"Please Select"),"Address:","")</f>
        <v/>
      </c>
      <c r="C148" s="336"/>
      <c r="D148" s="336"/>
      <c r="E148" s="336"/>
      <c r="F148" s="336"/>
      <c r="I148" s="531"/>
      <c r="J148" s="531"/>
      <c r="K148" s="531"/>
      <c r="L148" s="531"/>
      <c r="O148" s="1" t="str">
        <f>IF(AND($H$141&gt;=2, $H$141&lt;&gt;"Please Select"),"Address:","")</f>
        <v/>
      </c>
      <c r="P148" s="336"/>
      <c r="Q148" s="336"/>
      <c r="R148" s="336"/>
      <c r="S148" s="336"/>
      <c r="V148" s="531"/>
      <c r="W148" s="531"/>
      <c r="X148" s="531"/>
      <c r="Y148" s="531"/>
      <c r="AB148" s="1" t="str">
        <f>IF(AND($H$141&gt;=3, $H$141&lt;&gt;"Please Select"),"Address:","")</f>
        <v/>
      </c>
      <c r="AC148" s="336"/>
      <c r="AD148" s="336"/>
      <c r="AE148" s="336"/>
      <c r="AF148" s="336"/>
      <c r="AI148" s="531"/>
      <c r="AJ148" s="531"/>
      <c r="AK148" s="531"/>
      <c r="AL148" s="531"/>
      <c r="AO148" s="1" t="str">
        <f>IF(AND($H$141&gt;=4, $H$141&lt;&gt;"Please Select"),"Address:","")</f>
        <v/>
      </c>
      <c r="AP148" s="336"/>
      <c r="AQ148" s="336"/>
      <c r="AR148" s="336"/>
      <c r="AS148" s="336"/>
      <c r="AV148" s="531"/>
      <c r="AW148" s="531"/>
      <c r="AX148" s="531"/>
      <c r="AY148" s="531"/>
      <c r="BB148" s="1" t="str">
        <f>IF(AND($H$141&gt;=5, $H$141&lt;&gt;"Please Select"),"Address:","")</f>
        <v/>
      </c>
      <c r="BC148" s="336"/>
      <c r="BD148" s="336"/>
      <c r="BE148" s="336"/>
      <c r="BF148" s="336"/>
      <c r="BI148" s="531"/>
      <c r="BJ148" s="531"/>
      <c r="BK148" s="531"/>
      <c r="BL148" s="531"/>
      <c r="BO148" s="1" t="str">
        <f>IF(AND($H$141&gt;=6, $H$141&lt;&gt;"Please Select"),"Address:","")</f>
        <v/>
      </c>
      <c r="BP148" s="336"/>
      <c r="BQ148" s="336"/>
      <c r="BR148" s="336"/>
      <c r="BS148" s="336"/>
      <c r="BV148" s="531"/>
      <c r="BW148" s="531"/>
      <c r="BX148" s="531"/>
      <c r="BY148" s="531"/>
      <c r="CB148" s="1" t="str">
        <f>IF(AND($H$141&gt;=7, $H$141&lt;&gt;"Please Select"),"Address:","")</f>
        <v/>
      </c>
      <c r="CC148" s="336"/>
      <c r="CD148" s="336"/>
      <c r="CE148" s="336"/>
      <c r="CF148" s="336"/>
      <c r="CI148" s="531"/>
      <c r="CJ148" s="531"/>
      <c r="CK148" s="531"/>
      <c r="CL148" s="531"/>
      <c r="CO148" s="1" t="str">
        <f>IF(AND($H$141&gt;=8, $H$141&lt;&gt;"Please Select"),"Address:","")</f>
        <v/>
      </c>
      <c r="CP148" s="336"/>
      <c r="CQ148" s="336"/>
      <c r="CR148" s="336"/>
      <c r="CS148" s="336"/>
      <c r="CV148" s="531"/>
      <c r="CW148" s="531"/>
      <c r="CX148" s="531"/>
      <c r="CY148" s="531"/>
      <c r="DB148" s="1" t="str">
        <f>IF(AND($H$141&gt;=9, $H$141&lt;&gt;"Please Select"),"Address:","")</f>
        <v/>
      </c>
      <c r="DC148" s="336"/>
      <c r="DD148" s="336"/>
      <c r="DE148" s="336"/>
      <c r="DF148" s="336"/>
      <c r="DI148" s="531"/>
      <c r="DJ148" s="531"/>
      <c r="DK148" s="531"/>
      <c r="DL148" s="531"/>
      <c r="DO148" s="1" t="str">
        <f>IF(AND($H$141&gt;=10, $H$141&lt;&gt;"Please Select"),"Address:","")</f>
        <v/>
      </c>
      <c r="DP148" s="336"/>
      <c r="DQ148" s="336"/>
      <c r="DR148" s="336"/>
      <c r="DS148" s="336"/>
      <c r="DV148" s="531"/>
      <c r="DW148" s="531"/>
      <c r="DX148" s="531"/>
      <c r="DY148" s="531"/>
      <c r="EB148" s="1"/>
      <c r="EC148" s="336"/>
      <c r="ED148" s="336"/>
      <c r="EE148" s="336"/>
      <c r="EF148" s="336"/>
      <c r="EI148" s="531"/>
      <c r="EJ148" s="531"/>
      <c r="EK148" s="531"/>
      <c r="EL148" s="531"/>
      <c r="EO148" s="1"/>
      <c r="EP148" s="336"/>
      <c r="EQ148" s="336"/>
      <c r="ER148" s="336"/>
      <c r="ES148" s="336"/>
      <c r="EV148" s="531"/>
      <c r="EW148" s="531"/>
      <c r="EX148" s="531"/>
      <c r="EY148" s="531"/>
      <c r="FB148" s="1"/>
      <c r="FC148" s="336"/>
      <c r="FD148" s="336"/>
      <c r="FE148" s="336"/>
      <c r="FF148" s="336"/>
      <c r="FI148" s="531"/>
      <c r="FJ148" s="531"/>
      <c r="FK148" s="531"/>
      <c r="FL148" s="531"/>
      <c r="FO148" s="1"/>
      <c r="FP148" s="336"/>
      <c r="FQ148" s="336"/>
      <c r="FR148" s="336"/>
      <c r="FS148" s="336"/>
      <c r="FV148" s="531"/>
      <c r="FW148" s="531"/>
      <c r="FX148" s="531"/>
      <c r="FY148" s="531"/>
      <c r="GB148" s="1"/>
      <c r="GC148" s="336"/>
      <c r="GD148" s="336"/>
      <c r="GE148" s="336"/>
      <c r="GF148" s="336"/>
      <c r="GI148" s="531"/>
      <c r="GJ148" s="531"/>
      <c r="GK148" s="531"/>
      <c r="GL148" s="531"/>
      <c r="GO148" s="1"/>
      <c r="GP148" s="336"/>
      <c r="GQ148" s="336"/>
      <c r="GR148" s="336"/>
      <c r="GS148" s="336"/>
      <c r="GV148" s="531"/>
      <c r="GW148" s="531"/>
      <c r="GX148" s="531"/>
      <c r="GY148" s="531"/>
      <c r="HB148" s="1"/>
      <c r="HC148" s="336"/>
      <c r="HD148" s="336"/>
      <c r="HE148" s="336"/>
      <c r="HF148" s="336"/>
      <c r="HI148" s="531"/>
      <c r="HJ148" s="531"/>
      <c r="HK148" s="531"/>
      <c r="HL148" s="531"/>
      <c r="HO148" s="1"/>
      <c r="HP148" s="336"/>
      <c r="HQ148" s="336"/>
      <c r="HR148" s="336"/>
      <c r="HS148" s="336"/>
      <c r="HV148" s="531"/>
      <c r="HW148" s="531"/>
      <c r="HX148" s="531"/>
      <c r="HY148" s="531"/>
      <c r="IB148" s="1"/>
      <c r="IC148" s="336"/>
      <c r="ID148" s="336"/>
      <c r="IE148" s="336"/>
      <c r="IF148" s="336"/>
      <c r="II148" s="531"/>
      <c r="IJ148" s="531"/>
      <c r="IK148" s="531"/>
      <c r="IL148" s="531"/>
      <c r="IO148" s="1"/>
      <c r="IP148" s="336"/>
      <c r="IQ148" s="336"/>
      <c r="IR148" s="336"/>
      <c r="IS148" s="336"/>
      <c r="IV148" s="531"/>
      <c r="IW148" s="531"/>
      <c r="IX148" s="531"/>
      <c r="IY148" s="531"/>
      <c r="JB148" s="1"/>
      <c r="JC148" s="336"/>
      <c r="JD148" s="336"/>
      <c r="JE148" s="336"/>
      <c r="JF148" s="336"/>
      <c r="JI148" s="531"/>
      <c r="JJ148" s="531"/>
      <c r="JK148" s="531"/>
      <c r="JL148" s="531"/>
      <c r="JO148" s="1"/>
      <c r="JP148" s="336"/>
      <c r="JQ148" s="336"/>
      <c r="JR148" s="336"/>
      <c r="JS148" s="336"/>
      <c r="JV148" s="531"/>
      <c r="JW148" s="531"/>
      <c r="JX148" s="531"/>
      <c r="JY148" s="531"/>
      <c r="KB148" s="1"/>
      <c r="KC148" s="336"/>
      <c r="KD148" s="336"/>
      <c r="KE148" s="336"/>
      <c r="KF148" s="336"/>
      <c r="KI148" s="531"/>
      <c r="KJ148" s="531"/>
      <c r="KK148" s="531"/>
      <c r="KL148" s="531"/>
      <c r="KO148" s="1"/>
      <c r="KP148" s="336"/>
      <c r="KQ148" s="336"/>
      <c r="KR148" s="336"/>
      <c r="KS148" s="336"/>
      <c r="KV148" s="531"/>
      <c r="KW148" s="531"/>
      <c r="KX148" s="531"/>
      <c r="KY148" s="531"/>
      <c r="LB148" s="1"/>
      <c r="LC148" s="336"/>
      <c r="LD148" s="336"/>
      <c r="LE148" s="336"/>
      <c r="LF148" s="336"/>
      <c r="LI148" s="531"/>
      <c r="LJ148" s="531"/>
      <c r="LK148" s="531"/>
      <c r="LL148" s="531"/>
      <c r="LO148" s="1"/>
      <c r="LP148" s="336"/>
      <c r="LQ148" s="336"/>
      <c r="LR148" s="336"/>
      <c r="LS148" s="336"/>
      <c r="LV148" s="531"/>
      <c r="LW148" s="531"/>
      <c r="LX148" s="531"/>
      <c r="LY148" s="531"/>
      <c r="MB148" s="1"/>
      <c r="MC148" s="336"/>
      <c r="MD148" s="336"/>
      <c r="ME148" s="336"/>
      <c r="MF148" s="336"/>
      <c r="MI148" s="531"/>
      <c r="MJ148" s="531"/>
      <c r="MK148" s="531"/>
      <c r="ML148" s="531"/>
      <c r="MO148" s="1"/>
      <c r="MP148" s="336"/>
      <c r="MQ148" s="336"/>
      <c r="MR148" s="336"/>
      <c r="MS148" s="336"/>
      <c r="MV148" s="531"/>
      <c r="MW148" s="531"/>
      <c r="MX148" s="531"/>
      <c r="MY148" s="531"/>
      <c r="NB148" s="1"/>
      <c r="NC148" s="336"/>
      <c r="ND148" s="336"/>
      <c r="NE148" s="336"/>
      <c r="NF148" s="336"/>
      <c r="NI148" s="531"/>
      <c r="NJ148" s="531"/>
      <c r="NK148" s="531"/>
      <c r="NL148" s="531"/>
      <c r="NO148" s="1"/>
      <c r="NP148" s="336"/>
      <c r="NQ148" s="336"/>
      <c r="NR148" s="336"/>
      <c r="NS148" s="336"/>
      <c r="NV148" s="531"/>
      <c r="NW148" s="531"/>
      <c r="NX148" s="531"/>
      <c r="NY148" s="531"/>
      <c r="OA148" s="63" t="s">
        <v>216</v>
      </c>
      <c r="OB148" s="115" t="str">
        <f>IF(ISNUMBER(MATCH(6,G150:NT150,0)), "Yes", "")</f>
        <v/>
      </c>
      <c r="OC148" s="63" t="s">
        <v>228</v>
      </c>
      <c r="OD148" s="115" t="str">
        <f>IF(ISNUMBER(MATCH(18,G150:NT150,0)), "Yes", "")</f>
        <v/>
      </c>
      <c r="OE148" s="63" t="s">
        <v>240</v>
      </c>
      <c r="OF148" s="115" t="str">
        <f>IF(ISNUMBER(MATCH(30,G150:NT150,0)), "Yes", "")</f>
        <v/>
      </c>
      <c r="OG148" s="63" t="s">
        <v>252</v>
      </c>
      <c r="OH148" s="115" t="str">
        <f>IF(ISNUMBER(MATCH(42,G150:NT150,0)), "Yes", "")</f>
        <v/>
      </c>
      <c r="OI148" s="63"/>
      <c r="OJ148" s="63"/>
    </row>
    <row r="149" spans="2:400" s="41" customFormat="1" ht="15" customHeight="1" x14ac:dyDescent="0.2">
      <c r="B149" s="1" t="str">
        <f>IF(AND($H$141&gt;=1, $H$141&lt;&gt;"Please Select"),"Address:","")</f>
        <v/>
      </c>
      <c r="C149" s="336"/>
      <c r="D149" s="336"/>
      <c r="E149" s="336"/>
      <c r="F149" s="336"/>
      <c r="I149" s="117"/>
      <c r="J149" s="117"/>
      <c r="K149" s="117"/>
      <c r="L149" s="117"/>
      <c r="O149" s="1" t="str">
        <f>IF(AND($H$141&gt;=2, $H$141&lt;&gt;"Please Select"),"Address:","")</f>
        <v/>
      </c>
      <c r="P149" s="336"/>
      <c r="Q149" s="336"/>
      <c r="R149" s="336"/>
      <c r="S149" s="336"/>
      <c r="V149" s="117"/>
      <c r="W149" s="117"/>
      <c r="X149" s="117"/>
      <c r="Y149" s="117"/>
      <c r="AB149" s="1" t="str">
        <f>IF(AND($H$141&gt;=3, $H$141&lt;&gt;"Please Select"),"Address:","")</f>
        <v/>
      </c>
      <c r="AC149" s="336"/>
      <c r="AD149" s="336"/>
      <c r="AE149" s="336"/>
      <c r="AF149" s="336"/>
      <c r="AI149" s="117"/>
      <c r="AJ149" s="117"/>
      <c r="AK149" s="117"/>
      <c r="AL149" s="117"/>
      <c r="AO149" s="1" t="str">
        <f>IF(AND($H$141&gt;=4, $H$141&lt;&gt;"Please Select"),"Address:","")</f>
        <v/>
      </c>
      <c r="AP149" s="336"/>
      <c r="AQ149" s="336"/>
      <c r="AR149" s="336"/>
      <c r="AS149" s="336"/>
      <c r="AV149" s="117"/>
      <c r="AW149" s="117"/>
      <c r="AX149" s="117"/>
      <c r="AY149" s="117"/>
      <c r="BB149" s="1" t="str">
        <f>IF(AND($H$141&gt;=5, $H$141&lt;&gt;"Please Select"),"Address:","")</f>
        <v/>
      </c>
      <c r="BC149" s="336"/>
      <c r="BD149" s="336"/>
      <c r="BE149" s="336"/>
      <c r="BF149" s="336"/>
      <c r="BI149" s="117"/>
      <c r="BJ149" s="117"/>
      <c r="BK149" s="117"/>
      <c r="BL149" s="117"/>
      <c r="BO149" s="1" t="str">
        <f>IF(AND($H$141&gt;=6, $H$141&lt;&gt;"Please Select"),"Address:","")</f>
        <v/>
      </c>
      <c r="BP149" s="336"/>
      <c r="BQ149" s="336"/>
      <c r="BR149" s="336"/>
      <c r="BS149" s="336"/>
      <c r="BV149" s="117"/>
      <c r="BW149" s="117"/>
      <c r="BX149" s="117"/>
      <c r="BY149" s="117"/>
      <c r="CB149" s="1" t="str">
        <f>IF(AND($H$141&gt;=7, $H$141&lt;&gt;"Please Select"),"Address:","")</f>
        <v/>
      </c>
      <c r="CC149" s="336"/>
      <c r="CD149" s="336"/>
      <c r="CE149" s="336"/>
      <c r="CF149" s="336"/>
      <c r="CI149" s="117"/>
      <c r="CJ149" s="117"/>
      <c r="CK149" s="117"/>
      <c r="CL149" s="117"/>
      <c r="CO149" s="1" t="str">
        <f>IF(AND($H$141&gt;=8, $H$141&lt;&gt;"Please Select"),"Address:","")</f>
        <v/>
      </c>
      <c r="CP149" s="336"/>
      <c r="CQ149" s="336"/>
      <c r="CR149" s="336"/>
      <c r="CS149" s="336"/>
      <c r="CV149" s="117"/>
      <c r="CW149" s="117"/>
      <c r="CX149" s="117"/>
      <c r="CY149" s="117"/>
      <c r="DB149" s="1" t="str">
        <f>IF(AND($H$141&gt;=9, $H$141&lt;&gt;"Please Select"),"Address:","")</f>
        <v/>
      </c>
      <c r="DC149" s="336"/>
      <c r="DD149" s="336"/>
      <c r="DE149" s="336"/>
      <c r="DF149" s="336"/>
      <c r="DI149" s="117"/>
      <c r="DJ149" s="117"/>
      <c r="DK149" s="117"/>
      <c r="DL149" s="117"/>
      <c r="DO149" s="1" t="str">
        <f>IF(AND($H$141&gt;=10, $H$141&lt;&gt;"Please Select"),"Address:","")</f>
        <v/>
      </c>
      <c r="DP149" s="336"/>
      <c r="DQ149" s="336"/>
      <c r="DR149" s="336"/>
      <c r="DS149" s="336"/>
      <c r="DV149" s="117"/>
      <c r="DW149" s="117"/>
      <c r="DX149" s="117"/>
      <c r="DY149" s="117"/>
      <c r="EB149" s="1"/>
      <c r="EC149" s="336"/>
      <c r="ED149" s="336"/>
      <c r="EE149" s="336"/>
      <c r="EF149" s="336"/>
      <c r="EI149" s="117"/>
      <c r="EJ149" s="117"/>
      <c r="EK149" s="117"/>
      <c r="EL149" s="117"/>
      <c r="EO149" s="1"/>
      <c r="EP149" s="336"/>
      <c r="EQ149" s="336"/>
      <c r="ER149" s="336"/>
      <c r="ES149" s="336"/>
      <c r="EV149" s="117"/>
      <c r="EW149" s="117"/>
      <c r="EX149" s="117"/>
      <c r="EY149" s="117"/>
      <c r="FB149" s="1"/>
      <c r="FC149" s="336"/>
      <c r="FD149" s="336"/>
      <c r="FE149" s="336"/>
      <c r="FF149" s="336"/>
      <c r="FI149" s="117"/>
      <c r="FJ149" s="117"/>
      <c r="FK149" s="117"/>
      <c r="FL149" s="117"/>
      <c r="FO149" s="1"/>
      <c r="FP149" s="336"/>
      <c r="FQ149" s="336"/>
      <c r="FR149" s="336"/>
      <c r="FS149" s="336"/>
      <c r="FV149" s="117"/>
      <c r="FW149" s="117"/>
      <c r="FX149" s="117"/>
      <c r="FY149" s="117"/>
      <c r="GB149" s="1"/>
      <c r="GC149" s="336"/>
      <c r="GD149" s="336"/>
      <c r="GE149" s="336"/>
      <c r="GF149" s="336"/>
      <c r="GI149" s="117"/>
      <c r="GJ149" s="117"/>
      <c r="GK149" s="117"/>
      <c r="GL149" s="117"/>
      <c r="GO149" s="1"/>
      <c r="GP149" s="336"/>
      <c r="GQ149" s="336"/>
      <c r="GR149" s="336"/>
      <c r="GS149" s="336"/>
      <c r="GV149" s="117"/>
      <c r="GW149" s="117"/>
      <c r="GX149" s="117"/>
      <c r="GY149" s="117"/>
      <c r="HB149" s="1"/>
      <c r="HC149" s="336"/>
      <c r="HD149" s="336"/>
      <c r="HE149" s="336"/>
      <c r="HF149" s="336"/>
      <c r="HI149" s="117"/>
      <c r="HJ149" s="117"/>
      <c r="HK149" s="117"/>
      <c r="HL149" s="117"/>
      <c r="HO149" s="1"/>
      <c r="HP149" s="336"/>
      <c r="HQ149" s="336"/>
      <c r="HR149" s="336"/>
      <c r="HS149" s="336"/>
      <c r="HV149" s="117"/>
      <c r="HW149" s="117"/>
      <c r="HX149" s="117"/>
      <c r="HY149" s="117"/>
      <c r="IB149" s="1"/>
      <c r="IC149" s="336"/>
      <c r="ID149" s="336"/>
      <c r="IE149" s="336"/>
      <c r="IF149" s="336"/>
      <c r="II149" s="117"/>
      <c r="IJ149" s="117"/>
      <c r="IK149" s="117"/>
      <c r="IL149" s="117"/>
      <c r="IO149" s="1"/>
      <c r="IP149" s="336"/>
      <c r="IQ149" s="336"/>
      <c r="IR149" s="336"/>
      <c r="IS149" s="336"/>
      <c r="IV149" s="117"/>
      <c r="IW149" s="117"/>
      <c r="IX149" s="117"/>
      <c r="IY149" s="117"/>
      <c r="JB149" s="1"/>
      <c r="JC149" s="336"/>
      <c r="JD149" s="336"/>
      <c r="JE149" s="336"/>
      <c r="JF149" s="336"/>
      <c r="JI149" s="117"/>
      <c r="JJ149" s="117"/>
      <c r="JK149" s="117"/>
      <c r="JL149" s="117"/>
      <c r="JO149" s="1"/>
      <c r="JP149" s="336"/>
      <c r="JQ149" s="336"/>
      <c r="JR149" s="336"/>
      <c r="JS149" s="336"/>
      <c r="JV149" s="117"/>
      <c r="JW149" s="117"/>
      <c r="JX149" s="117"/>
      <c r="JY149" s="117"/>
      <c r="KB149" s="1"/>
      <c r="KC149" s="336"/>
      <c r="KD149" s="336"/>
      <c r="KE149" s="336"/>
      <c r="KF149" s="336"/>
      <c r="KI149" s="117"/>
      <c r="KJ149" s="117"/>
      <c r="KK149" s="117"/>
      <c r="KL149" s="117"/>
      <c r="KO149" s="1"/>
      <c r="KP149" s="336"/>
      <c r="KQ149" s="336"/>
      <c r="KR149" s="336"/>
      <c r="KS149" s="336"/>
      <c r="KV149" s="117"/>
      <c r="KW149" s="117"/>
      <c r="KX149" s="117"/>
      <c r="KY149" s="117"/>
      <c r="LB149" s="1"/>
      <c r="LC149" s="336"/>
      <c r="LD149" s="336"/>
      <c r="LE149" s="336"/>
      <c r="LF149" s="336"/>
      <c r="LI149" s="117"/>
      <c r="LJ149" s="117"/>
      <c r="LK149" s="117"/>
      <c r="LL149" s="117"/>
      <c r="LO149" s="1"/>
      <c r="LP149" s="336"/>
      <c r="LQ149" s="336"/>
      <c r="LR149" s="336"/>
      <c r="LS149" s="336"/>
      <c r="LV149" s="117"/>
      <c r="LW149" s="117"/>
      <c r="LX149" s="117"/>
      <c r="LY149" s="117"/>
      <c r="MB149" s="1"/>
      <c r="MC149" s="336"/>
      <c r="MD149" s="336"/>
      <c r="ME149" s="336"/>
      <c r="MF149" s="336"/>
      <c r="MI149" s="117"/>
      <c r="MJ149" s="117"/>
      <c r="MK149" s="117"/>
      <c r="ML149" s="117"/>
      <c r="MO149" s="1"/>
      <c r="MP149" s="336"/>
      <c r="MQ149" s="336"/>
      <c r="MR149" s="336"/>
      <c r="MS149" s="336"/>
      <c r="MV149" s="117"/>
      <c r="MW149" s="117"/>
      <c r="MX149" s="117"/>
      <c r="MY149" s="117"/>
      <c r="NB149" s="1"/>
      <c r="NC149" s="336"/>
      <c r="ND149" s="336"/>
      <c r="NE149" s="336"/>
      <c r="NF149" s="336"/>
      <c r="NI149" s="117"/>
      <c r="NJ149" s="117"/>
      <c r="NK149" s="117"/>
      <c r="NL149" s="117"/>
      <c r="NO149" s="1"/>
      <c r="NP149" s="336"/>
      <c r="NQ149" s="336"/>
      <c r="NR149" s="336"/>
      <c r="NS149" s="336"/>
      <c r="NV149" s="117"/>
      <c r="NW149" s="117"/>
      <c r="NX149" s="117"/>
      <c r="NY149" s="117"/>
      <c r="OA149" s="63" t="s">
        <v>217</v>
      </c>
      <c r="OB149" s="115" t="str">
        <f>IF(ISNUMBER(MATCH(7,G150:NT150,0)), "Yes", "")</f>
        <v/>
      </c>
      <c r="OC149" s="63" t="s">
        <v>229</v>
      </c>
      <c r="OD149" s="115" t="str">
        <f>IF(ISNUMBER(MATCH(19,G150:NT150,0)), "Yes", "")</f>
        <v/>
      </c>
      <c r="OE149" s="63" t="s">
        <v>241</v>
      </c>
      <c r="OF149" s="115" t="str">
        <f>IF(ISNUMBER(MATCH(31,G150:NT150,0)), "Yes", "")</f>
        <v/>
      </c>
      <c r="OG149" s="63" t="s">
        <v>253</v>
      </c>
      <c r="OH149" s="115" t="str">
        <f>IF(ISNUMBER(MATCH(43,G150:NT150,0)), "Yes", "")</f>
        <v/>
      </c>
      <c r="OI149" s="63"/>
      <c r="OJ149" s="63"/>
    </row>
    <row r="150" spans="2:400" s="41" customFormat="1" ht="14.25" x14ac:dyDescent="0.2">
      <c r="B150" s="1" t="str">
        <f>IF(AND($H$141&gt;=1, $H$141&lt;&gt;"Please Select"),"City:","")</f>
        <v/>
      </c>
      <c r="C150" s="336"/>
      <c r="D150" s="336"/>
      <c r="E150" s="73" t="str">
        <f>IF(AND($H$141&gt;=1, $H$141&lt;&gt;"Please Select"),"State:","")</f>
        <v/>
      </c>
      <c r="F150" s="203"/>
      <c r="G150" s="73"/>
      <c r="O150" s="1" t="str">
        <f>IF(AND($H$141&gt;=2, $H$141&lt;&gt;"Please Select"),"City:","")</f>
        <v/>
      </c>
      <c r="P150" s="336"/>
      <c r="Q150" s="336"/>
      <c r="R150" s="73" t="str">
        <f>IF(AND($H$141&gt;=2, $H$141&lt;&gt;"Please Select"),"State:","")</f>
        <v/>
      </c>
      <c r="S150" s="203"/>
      <c r="T150" s="73"/>
      <c r="AB150" s="1" t="str">
        <f>IF(AND($H$141&gt;=3, $H$141&lt;&gt;"Please Select"),"City:","")</f>
        <v/>
      </c>
      <c r="AC150" s="336"/>
      <c r="AD150" s="336"/>
      <c r="AE150" s="73" t="str">
        <f>IF(AND($H$141&gt;=3, $H$141&lt;&gt;"Please Select"),"State:","")</f>
        <v/>
      </c>
      <c r="AF150" s="203"/>
      <c r="AG150" s="73"/>
      <c r="AO150" s="1" t="str">
        <f>IF(AND($H$141&gt;=4, $H$141&lt;&gt;"Please Select"),"City:","")</f>
        <v/>
      </c>
      <c r="AP150" s="336"/>
      <c r="AQ150" s="336"/>
      <c r="AR150" s="73" t="str">
        <f>IF(AND($H$141&gt;=4, $H$141&lt;&gt;"Please Select"),"State:","")</f>
        <v/>
      </c>
      <c r="AS150" s="203"/>
      <c r="AT150" s="73"/>
      <c r="BB150" s="1" t="str">
        <f>IF(AND($H$141&gt;=5, $H$141&lt;&gt;"Please Select"),"City:","")</f>
        <v/>
      </c>
      <c r="BC150" s="336"/>
      <c r="BD150" s="336"/>
      <c r="BE150" s="73" t="str">
        <f>IF(AND($H$141&gt;=5, $H$141&lt;&gt;"Please Select"),"State:","")</f>
        <v/>
      </c>
      <c r="BF150" s="203"/>
      <c r="BG150" s="73"/>
      <c r="BO150" s="1" t="str">
        <f>IF(AND($H$141&gt;=6, $H$141&lt;&gt;"Please Select"),"City:","")</f>
        <v/>
      </c>
      <c r="BP150" s="336"/>
      <c r="BQ150" s="336"/>
      <c r="BR150" s="73" t="str">
        <f>IF(AND($H$141&gt;=6, $H$141&lt;&gt;"Please Select"),"State:","")</f>
        <v/>
      </c>
      <c r="BS150" s="203"/>
      <c r="BT150" s="73"/>
      <c r="CB150" s="1" t="str">
        <f>IF(AND($H$141&gt;=7, $H$141&lt;&gt;"Please Select"),"City:","")</f>
        <v/>
      </c>
      <c r="CC150" s="336"/>
      <c r="CD150" s="336"/>
      <c r="CE150" s="73" t="str">
        <f>IF(AND($H$141&gt;=7, $H$141&lt;&gt;"Please Select"),"State:","")</f>
        <v/>
      </c>
      <c r="CF150" s="203"/>
      <c r="CG150" s="73"/>
      <c r="CO150" s="1" t="str">
        <f>IF(AND($H$141&gt;=8, $H$141&lt;&gt;"Please Select"),"City:","")</f>
        <v/>
      </c>
      <c r="CP150" s="336"/>
      <c r="CQ150" s="336"/>
      <c r="CR150" s="73" t="str">
        <f>IF(AND($H$141&gt;=8, $H$141&lt;&gt;"Please Select"),"State:","")</f>
        <v/>
      </c>
      <c r="CS150" s="203"/>
      <c r="CT150" s="73"/>
      <c r="DB150" s="1" t="str">
        <f>IF(AND($H$141&gt;=9, $H$141&lt;&gt;"Please Select"),"City:","")</f>
        <v/>
      </c>
      <c r="DC150" s="336"/>
      <c r="DD150" s="336"/>
      <c r="DE150" s="73" t="str">
        <f>IF(AND($H$141&gt;=9, $H$141&lt;&gt;"Please Select"),"State:","")</f>
        <v/>
      </c>
      <c r="DF150" s="203"/>
      <c r="DG150" s="73"/>
      <c r="DO150" s="1" t="str">
        <f>IF(AND($H$141&gt;=10, $H$141&lt;&gt;"Please Select"),"City:","")</f>
        <v/>
      </c>
      <c r="DP150" s="336"/>
      <c r="DQ150" s="336"/>
      <c r="DR150" s="73" t="str">
        <f>IF(AND($H$141&gt;=10, $H$141&lt;&gt;"Please Select"),"State:","")</f>
        <v/>
      </c>
      <c r="DS150" s="203"/>
      <c r="DT150" s="73"/>
      <c r="EB150" s="1"/>
      <c r="EC150" s="336"/>
      <c r="ED150" s="336"/>
      <c r="EE150" s="73"/>
      <c r="EG150" s="204"/>
      <c r="EO150" s="1"/>
      <c r="EP150" s="336"/>
      <c r="EQ150" s="336"/>
      <c r="ER150" s="73"/>
      <c r="ET150" s="204"/>
      <c r="FB150" s="1"/>
      <c r="FC150" s="336"/>
      <c r="FD150" s="336"/>
      <c r="FE150" s="73"/>
      <c r="FG150" s="204"/>
      <c r="FO150" s="1"/>
      <c r="FP150" s="336"/>
      <c r="FQ150" s="336"/>
      <c r="FR150" s="73"/>
      <c r="FT150" s="204"/>
      <c r="GB150" s="1"/>
      <c r="GC150" s="336"/>
      <c r="GD150" s="336"/>
      <c r="GE150" s="73"/>
      <c r="GG150" s="204"/>
      <c r="GO150" s="1"/>
      <c r="GP150" s="336"/>
      <c r="GQ150" s="336"/>
      <c r="GR150" s="73"/>
      <c r="GT150" s="204"/>
      <c r="HB150" s="1"/>
      <c r="HC150" s="336"/>
      <c r="HD150" s="336"/>
      <c r="HE150" s="73"/>
      <c r="HG150" s="204"/>
      <c r="HO150" s="1"/>
      <c r="HP150" s="336"/>
      <c r="HQ150" s="336"/>
      <c r="HR150" s="73"/>
      <c r="HT150" s="204"/>
      <c r="IB150" s="1"/>
      <c r="IC150" s="336"/>
      <c r="ID150" s="336"/>
      <c r="IE150" s="73"/>
      <c r="IG150" s="204"/>
      <c r="IO150" s="1"/>
      <c r="IP150" s="336"/>
      <c r="IQ150" s="336"/>
      <c r="IR150" s="73"/>
      <c r="IT150" s="204"/>
      <c r="JB150" s="1"/>
      <c r="JC150" s="336"/>
      <c r="JD150" s="336"/>
      <c r="JE150" s="73"/>
      <c r="JG150" s="204"/>
      <c r="JO150" s="1"/>
      <c r="JP150" s="336"/>
      <c r="JQ150" s="336"/>
      <c r="JR150" s="73"/>
      <c r="JT150" s="204"/>
      <c r="KB150" s="1"/>
      <c r="KC150" s="336"/>
      <c r="KD150" s="336"/>
      <c r="KE150" s="73"/>
      <c r="KG150" s="204"/>
      <c r="KO150" s="1"/>
      <c r="KP150" s="336"/>
      <c r="KQ150" s="336"/>
      <c r="KR150" s="73"/>
      <c r="KT150" s="204"/>
      <c r="LB150" s="1"/>
      <c r="LC150" s="336"/>
      <c r="LD150" s="336"/>
      <c r="LE150" s="73"/>
      <c r="LG150" s="204"/>
      <c r="LO150" s="1"/>
      <c r="LP150" s="336"/>
      <c r="LQ150" s="336"/>
      <c r="LR150" s="73"/>
      <c r="LT150" s="204"/>
      <c r="MB150" s="1"/>
      <c r="MC150" s="336"/>
      <c r="MD150" s="336"/>
      <c r="ME150" s="73"/>
      <c r="MG150" s="204"/>
      <c r="MO150" s="1"/>
      <c r="MP150" s="336"/>
      <c r="MQ150" s="336"/>
      <c r="MR150" s="73"/>
      <c r="MT150" s="115"/>
      <c r="NB150" s="1"/>
      <c r="NC150" s="336"/>
      <c r="ND150" s="336"/>
      <c r="NE150" s="73"/>
      <c r="NG150" s="115"/>
      <c r="NO150" s="1"/>
      <c r="NP150" s="336"/>
      <c r="NQ150" s="336"/>
      <c r="NR150" s="73"/>
      <c r="NT150" s="115"/>
      <c r="OA150" s="63" t="s">
        <v>218</v>
      </c>
      <c r="OB150" s="115" t="str">
        <f>IF(ISNUMBER(MATCH(8,G150:NT150,0)), "Yes", "")</f>
        <v/>
      </c>
      <c r="OC150" s="63" t="s">
        <v>230</v>
      </c>
      <c r="OD150" s="115" t="str">
        <f>IF(ISNUMBER(MATCH(20,G150:NT150,0)), "Yes", "")</f>
        <v/>
      </c>
      <c r="OE150" s="63" t="s">
        <v>242</v>
      </c>
      <c r="OF150" s="115" t="str">
        <f>IF(ISNUMBER(MATCH(32,G150:NT150,0)), "Yes", "")</f>
        <v/>
      </c>
      <c r="OG150" s="63" t="s">
        <v>254</v>
      </c>
      <c r="OH150" s="115" t="str">
        <f>IF(ISNUMBER(MATCH(44,G150:NT150,0)), "Yes", "")</f>
        <v/>
      </c>
      <c r="OI150" s="63"/>
      <c r="OJ150" s="63"/>
    </row>
    <row r="151" spans="2:400" s="41" customFormat="1" ht="20.25" customHeight="1" x14ac:dyDescent="0.2">
      <c r="B151" s="1" t="str">
        <f>IF(AND($H$141&gt;=1, $H$141&lt;&gt;"Please Select"),"Distance from program (in miles):","")</f>
        <v/>
      </c>
      <c r="D151" s="205"/>
      <c r="O151" s="1" t="str">
        <f>IF(AND($H$141&gt;=2, $H$141&lt;&gt;"Please Select"),"Distance from program (in miles):","")</f>
        <v/>
      </c>
      <c r="Q151" s="205"/>
      <c r="AB151" s="1" t="str">
        <f>IF(AND($H$141&gt;=3, $H$141&lt;&gt;"Please Select"),"Distance from program (in miles):","")</f>
        <v/>
      </c>
      <c r="AD151" s="205"/>
      <c r="AO151" s="1" t="str">
        <f>IF(AND($H$141&gt;=4, $H$141&lt;&gt;"Please Select"),"Distance from program (in miles):","")</f>
        <v/>
      </c>
      <c r="AQ151" s="205"/>
      <c r="BB151" s="1" t="str">
        <f>IF(AND($H$141&gt;=5, $H$141&lt;&gt;"Please Select"),"Distance from program (in miles):","")</f>
        <v/>
      </c>
      <c r="BD151" s="205"/>
      <c r="BO151" s="1" t="str">
        <f>IF(AND($H$141&gt;=6, $H$141&lt;&gt;"Please Select"),"Distance from program (in miles):","")</f>
        <v/>
      </c>
      <c r="BQ151" s="205"/>
      <c r="CB151" s="1" t="str">
        <f>IF(AND($H$141&gt;=7, $H$141&lt;&gt;"Please Select"),"Distance from program (in miles):","")</f>
        <v/>
      </c>
      <c r="CD151" s="205"/>
      <c r="CO151" s="1" t="str">
        <f>IF(AND($H$141&gt;=8, $H$141&lt;&gt;"Please Select"),"Distance from program (in miles):","")</f>
        <v/>
      </c>
      <c r="CQ151" s="205"/>
      <c r="DB151" s="1" t="str">
        <f>IF(AND($H$141&gt;=9, $H$141&lt;&gt;"Please Select"),"Distance from program (in miles):","")</f>
        <v/>
      </c>
      <c r="DD151" s="205"/>
      <c r="DO151" s="1" t="str">
        <f>IF(AND($H$141&gt;=10, $H$141&lt;&gt;"Please Select"),"Distance from program (in miles):","")</f>
        <v/>
      </c>
      <c r="DQ151" s="205"/>
      <c r="EB151" s="1"/>
      <c r="ED151" s="205"/>
      <c r="EO151" s="1"/>
      <c r="EQ151" s="205"/>
      <c r="FB151" s="1"/>
      <c r="FD151" s="205"/>
      <c r="FO151" s="1"/>
      <c r="FQ151" s="205"/>
      <c r="GB151" s="1"/>
      <c r="GD151" s="205"/>
      <c r="GO151" s="1"/>
      <c r="GQ151" s="205"/>
      <c r="HB151" s="1"/>
      <c r="HD151" s="205"/>
      <c r="HO151" s="1"/>
      <c r="HQ151" s="205"/>
      <c r="IB151" s="1"/>
      <c r="ID151" s="205"/>
      <c r="IO151" s="1"/>
      <c r="IQ151" s="205"/>
      <c r="JB151" s="1"/>
      <c r="JD151" s="205"/>
      <c r="JO151" s="1"/>
      <c r="JQ151" s="205"/>
      <c r="KB151" s="1"/>
      <c r="KD151" s="205"/>
      <c r="KO151" s="1"/>
      <c r="KQ151" s="205"/>
      <c r="LB151" s="1"/>
      <c r="LD151" s="205"/>
      <c r="LO151" s="1"/>
      <c r="LQ151" s="205"/>
      <c r="MB151" s="1"/>
      <c r="MD151" s="205"/>
      <c r="MO151" s="1"/>
      <c r="NB151" s="1"/>
      <c r="ND151" s="205"/>
      <c r="NO151" s="1"/>
      <c r="NQ151" s="205"/>
      <c r="OA151" s="63" t="s">
        <v>219</v>
      </c>
      <c r="OB151" s="115" t="str">
        <f>IF(ISNUMBER(MATCH(9,G150:NT150,0)), "Yes", "")</f>
        <v/>
      </c>
      <c r="OC151" s="63" t="s">
        <v>231</v>
      </c>
      <c r="OD151" s="115" t="str">
        <f>IF(ISNUMBER(MATCH(21,G150:NT150,0)), "Yes", "")</f>
        <v/>
      </c>
      <c r="OE151" s="63" t="s">
        <v>243</v>
      </c>
      <c r="OF151" s="115" t="str">
        <f>IF(ISNUMBER(MATCH(33,G150:NT150,0)), "Yes", "")</f>
        <v/>
      </c>
      <c r="OG151" s="63" t="s">
        <v>255</v>
      </c>
      <c r="OH151" s="115" t="str">
        <f>IF(ISNUMBER(MATCH(45,G150:NT150,0)), "Yes", "")</f>
        <v/>
      </c>
      <c r="OI151" s="63"/>
      <c r="OJ151" s="63"/>
    </row>
    <row r="152" spans="2:400" s="41" customFormat="1" ht="14.25" x14ac:dyDescent="0.2">
      <c r="B152" s="1"/>
      <c r="O152" s="1"/>
      <c r="AB152" s="1"/>
      <c r="AO152" s="1"/>
      <c r="BB152" s="1"/>
      <c r="BO152" s="1"/>
      <c r="CB152" s="1"/>
      <c r="CO152" s="1"/>
      <c r="DB152" s="1"/>
      <c r="DO152" s="1"/>
      <c r="EB152" s="1"/>
      <c r="EO152" s="1"/>
      <c r="FB152" s="1"/>
      <c r="FO152" s="1"/>
      <c r="GB152" s="1"/>
      <c r="GO152" s="1"/>
      <c r="HB152" s="1"/>
      <c r="HO152" s="1"/>
      <c r="IB152" s="1"/>
      <c r="IO152" s="1"/>
      <c r="JB152" s="1"/>
      <c r="JO152" s="1"/>
      <c r="KB152" s="1"/>
      <c r="KO152" s="1"/>
      <c r="LB152" s="1"/>
      <c r="LO152" s="1"/>
      <c r="MB152" s="1"/>
      <c r="MO152" s="1"/>
      <c r="NB152" s="1"/>
      <c r="NO152" s="1"/>
      <c r="OA152" s="63" t="s">
        <v>220</v>
      </c>
      <c r="OB152" s="115" t="str">
        <f>IF(ISNUMBER(MATCH(10,G150:NT150,0)), "Yes", "")</f>
        <v/>
      </c>
      <c r="OC152" s="63" t="s">
        <v>232</v>
      </c>
      <c r="OD152" s="115" t="str">
        <f>IF(ISNUMBER(MATCH(22,G150:NT150,0)), "Yes", "")</f>
        <v/>
      </c>
      <c r="OE152" s="63" t="s">
        <v>244</v>
      </c>
      <c r="OF152" s="115" t="str">
        <f>IF(ISNUMBER(MATCH(34,G150:NT150,0)), "Yes", "")</f>
        <v/>
      </c>
      <c r="OG152" s="63" t="s">
        <v>256</v>
      </c>
      <c r="OH152" s="115" t="str">
        <f>IF(ISNUMBER(MATCH(46,G150:NT150,0)), "Yes", "")</f>
        <v/>
      </c>
      <c r="OI152" s="63"/>
      <c r="OJ152" s="63"/>
    </row>
    <row r="153" spans="2:400" s="43" customFormat="1" ht="29.25" customHeight="1" x14ac:dyDescent="0.2">
      <c r="B153" s="33" t="str">
        <f>IF(AND($H$141&gt;=1, $H$141&lt;&gt;"Please Select"),"Name of on-site liaison:","")</f>
        <v/>
      </c>
      <c r="D153" s="530"/>
      <c r="E153" s="530"/>
      <c r="F153" s="530"/>
      <c r="O153" s="33" t="str">
        <f>IF(AND($H$141&gt;=2, $H$141&lt;&gt;"Please Select"),"Name of on-site liaison:","")</f>
        <v/>
      </c>
      <c r="Q153" s="530"/>
      <c r="R153" s="530"/>
      <c r="S153" s="530"/>
      <c r="AB153" s="33" t="str">
        <f>IF(AND($H$141&gt;=3, $H$141&lt;&gt;"Please Select"),"Name of on-site liaison:","")</f>
        <v/>
      </c>
      <c r="AD153" s="530"/>
      <c r="AE153" s="530"/>
      <c r="AF153" s="530"/>
      <c r="AO153" s="33" t="str">
        <f>IF(AND($H$141&gt;=4, $H$141&lt;&gt;"Please Select"),"Name of on-site liaison:","")</f>
        <v/>
      </c>
      <c r="AQ153" s="530"/>
      <c r="AR153" s="530"/>
      <c r="AS153" s="530"/>
      <c r="BB153" s="33" t="str">
        <f>IF(AND($H$141&gt;=5, $H$141&lt;&gt;"Please Select"),"Name of on-site liaison:","")</f>
        <v/>
      </c>
      <c r="BD153" s="530"/>
      <c r="BE153" s="530"/>
      <c r="BF153" s="530"/>
      <c r="BO153" s="33" t="str">
        <f>IF(AND($H$141&gt;=6, $H$141&lt;&gt;"Please Select"),"Name of on-site liaison:","")</f>
        <v/>
      </c>
      <c r="BQ153" s="530"/>
      <c r="BR153" s="530"/>
      <c r="BS153" s="530"/>
      <c r="CB153" s="33" t="str">
        <f>IF(AND($H$141&gt;=7, $H$141&lt;&gt;"Please Select"),"Name of on-site liaison:","")</f>
        <v/>
      </c>
      <c r="CD153" s="530"/>
      <c r="CE153" s="530"/>
      <c r="CF153" s="530"/>
      <c r="CO153" s="33" t="str">
        <f>IF(AND($H$141&gt;=8, $H$141&lt;&gt;"Please Select"),"Name of on-site liaison:","")</f>
        <v/>
      </c>
      <c r="CQ153" s="530"/>
      <c r="CR153" s="530"/>
      <c r="CS153" s="530"/>
      <c r="DB153" s="33" t="str">
        <f>IF(AND($H$141&gt;=9, $H$141&lt;&gt;"Please Select"),"Name of program's on-site liaison:","")</f>
        <v/>
      </c>
      <c r="DD153" s="530"/>
      <c r="DE153" s="530"/>
      <c r="DF153" s="530"/>
      <c r="DO153" s="33" t="str">
        <f>IF(AND($H$141&gt;=10, $H$141&lt;&gt;"Please Select"),"Name of program's on-site liaison:","")</f>
        <v/>
      </c>
      <c r="DQ153" s="530"/>
      <c r="DR153" s="530"/>
      <c r="DS153" s="530"/>
      <c r="EB153" s="33"/>
      <c r="ED153" s="530"/>
      <c r="EE153" s="530"/>
      <c r="EF153" s="530"/>
      <c r="EO153" s="33"/>
      <c r="EQ153" s="530"/>
      <c r="ER153" s="530"/>
      <c r="ES153" s="530"/>
      <c r="FB153" s="33"/>
      <c r="FD153" s="530"/>
      <c r="FE153" s="530"/>
      <c r="FF153" s="530"/>
      <c r="FO153" s="33"/>
      <c r="FQ153" s="530"/>
      <c r="FR153" s="530"/>
      <c r="FS153" s="530"/>
      <c r="GB153" s="33"/>
      <c r="GD153" s="530"/>
      <c r="GE153" s="530"/>
      <c r="GF153" s="530"/>
      <c r="GO153" s="33"/>
      <c r="GQ153" s="530"/>
      <c r="GR153" s="530"/>
      <c r="GS153" s="530"/>
      <c r="HB153" s="33"/>
      <c r="HD153" s="530"/>
      <c r="HE153" s="530"/>
      <c r="HF153" s="530"/>
      <c r="HO153" s="33"/>
      <c r="HQ153" s="530"/>
      <c r="HR153" s="530"/>
      <c r="HS153" s="530"/>
      <c r="IB153" s="33"/>
      <c r="ID153" s="530"/>
      <c r="IE153" s="530"/>
      <c r="IF153" s="530"/>
      <c r="IO153" s="33"/>
      <c r="IQ153" s="530"/>
      <c r="IR153" s="530"/>
      <c r="IS153" s="530"/>
      <c r="JB153" s="33"/>
      <c r="JD153" s="530"/>
      <c r="JE153" s="530"/>
      <c r="JF153" s="530"/>
      <c r="JO153" s="33"/>
      <c r="JQ153" s="530"/>
      <c r="JR153" s="530"/>
      <c r="JS153" s="530"/>
      <c r="KB153" s="33"/>
      <c r="KD153" s="530"/>
      <c r="KE153" s="530"/>
      <c r="KF153" s="530"/>
      <c r="KO153" s="33"/>
      <c r="KQ153" s="530"/>
      <c r="KR153" s="530"/>
      <c r="KS153" s="530"/>
      <c r="LB153" s="33"/>
      <c r="LD153" s="530"/>
      <c r="LE153" s="530"/>
      <c r="LF153" s="530"/>
      <c r="LO153" s="33"/>
      <c r="LQ153" s="530"/>
      <c r="LR153" s="530"/>
      <c r="LS153" s="530"/>
      <c r="MB153" s="33"/>
      <c r="MD153" s="530"/>
      <c r="ME153" s="530"/>
      <c r="MF153" s="530"/>
      <c r="MO153" s="33"/>
      <c r="MQ153" s="530"/>
      <c r="MR153" s="530"/>
      <c r="MS153" s="530"/>
      <c r="NB153" s="33"/>
      <c r="ND153" s="530"/>
      <c r="NE153" s="530"/>
      <c r="NF153" s="530"/>
      <c r="NO153" s="33"/>
      <c r="NQ153" s="530"/>
      <c r="NR153" s="530"/>
      <c r="NS153" s="530"/>
      <c r="OA153" s="200" t="s">
        <v>221</v>
      </c>
      <c r="OB153" s="115" t="str">
        <f>IF(ISNUMBER(MATCH(11,G150:NT150,0)), "Yes", "")</f>
        <v/>
      </c>
      <c r="OC153" s="200" t="s">
        <v>233</v>
      </c>
      <c r="OD153" s="177" t="str">
        <f>IF(ISNUMBER(MATCH(23,G150:NT150,0)), "Yes", "")</f>
        <v/>
      </c>
      <c r="OE153" s="63" t="s">
        <v>245</v>
      </c>
      <c r="OF153" s="177" t="str">
        <f>IF(ISNUMBER(MATCH(35,G150:NT150,0)), "Yes", "")</f>
        <v/>
      </c>
      <c r="OG153" s="200" t="s">
        <v>257</v>
      </c>
      <c r="OH153" s="177" t="str">
        <f>IF(ISNUMBER(MATCH(47,G150:NT150,0)), "Yes", "")</f>
        <v/>
      </c>
      <c r="OI153" s="200"/>
      <c r="OJ153" s="200"/>
    </row>
    <row r="154" spans="2:400" s="41" customFormat="1" ht="26.25" customHeight="1" x14ac:dyDescent="0.2">
      <c r="B154" s="33" t="str">
        <f>IF(AND($H$141&gt;=1, $H$141&lt;&gt;"Please Select"),"Has the on-site liaison completed orientation?","")</f>
        <v/>
      </c>
      <c r="F154" s="205"/>
      <c r="O154" s="33" t="str">
        <f>IF(AND($H$141&gt;=2, $H$141&lt;&gt;"Please Select"),"Has the on-site liaison completed orientation?","")</f>
        <v/>
      </c>
      <c r="S154" s="205"/>
      <c r="AB154" s="33" t="str">
        <f>IF(AND($H$141&gt;=3, $H$141&lt;&gt;"Please Select"),"Has the on-site liaison completed orientation?","")</f>
        <v/>
      </c>
      <c r="AF154" s="205"/>
      <c r="AO154" s="33" t="str">
        <f>IF(AND($H$141&gt;=4, $H$141&lt;&gt;"Please Select"),"Has the on-site liaison completed orientation?","")</f>
        <v/>
      </c>
      <c r="AS154" s="205"/>
      <c r="BB154" s="33" t="str">
        <f>IF(AND($H$141&gt;=5, $H$141&lt;&gt;"Please Select"),"Has the on-site liaison completed orientation?","")</f>
        <v/>
      </c>
      <c r="BF154" s="205"/>
      <c r="BO154" s="33" t="str">
        <f>IF(AND($H$141&gt;=6, $H$141&lt;&gt;"Please Select"),"Has the on-site liaison completed orientation?","")</f>
        <v/>
      </c>
      <c r="BS154" s="205"/>
      <c r="CB154" s="33" t="str">
        <f>IF(AND($H$141&gt;=7, $H$141&lt;&gt;"Please Select"),"Has the on-site liaison completed orientation?","")</f>
        <v/>
      </c>
      <c r="CF154" s="205"/>
      <c r="CO154" s="33" t="str">
        <f>IF(AND($H$141&gt;=8, $H$141&lt;&gt;"Please Select"),"Has the on-site liaison completed orientation?","")</f>
        <v/>
      </c>
      <c r="CS154" s="205"/>
      <c r="DB154" s="33" t="str">
        <f>IF(AND($H$141&gt;=9, $H$141&lt;&gt;"Please Select"),"Has the on-site liaison completed orientation?","")</f>
        <v/>
      </c>
      <c r="DF154" s="205"/>
      <c r="DO154" s="33" t="str">
        <f>IF(AND($H$141&gt;=10, $H$141&lt;&gt;"Please Select"),"Has the on-site liaison completed orientation?","")</f>
        <v/>
      </c>
      <c r="DS154" s="205"/>
      <c r="EB154" s="33"/>
      <c r="EF154" s="205"/>
      <c r="EO154" s="33"/>
      <c r="ES154" s="205"/>
      <c r="FB154" s="33"/>
      <c r="FF154" s="205"/>
      <c r="FO154" s="33"/>
      <c r="FS154" s="205"/>
      <c r="GB154" s="33"/>
      <c r="GF154" s="205"/>
      <c r="GO154" s="33"/>
      <c r="GS154" s="205"/>
      <c r="HB154" s="33"/>
      <c r="HF154" s="205"/>
      <c r="HO154" s="33"/>
      <c r="HS154" s="205"/>
      <c r="IB154" s="33"/>
      <c r="IF154" s="205"/>
      <c r="IO154" s="33"/>
      <c r="IS154" s="205"/>
      <c r="JB154" s="33"/>
      <c r="JF154" s="205"/>
      <c r="JO154" s="33"/>
      <c r="JS154" s="205"/>
      <c r="KB154" s="33"/>
      <c r="KF154" s="205"/>
      <c r="KO154" s="33"/>
      <c r="KS154" s="205"/>
      <c r="LB154" s="33"/>
      <c r="LF154" s="205"/>
      <c r="LO154" s="33"/>
      <c r="LS154" s="205"/>
      <c r="MB154" s="33"/>
      <c r="MF154" s="205"/>
      <c r="MO154" s="33"/>
      <c r="MS154" s="205"/>
      <c r="NB154" s="33"/>
      <c r="NF154" s="205"/>
      <c r="NO154" s="33"/>
      <c r="NS154" s="206"/>
      <c r="OA154" s="63" t="s">
        <v>222</v>
      </c>
      <c r="OB154" s="115" t="str">
        <f>IF(ISNUMBER(MATCH(12,G150:NT150,0)), "Yes", "")</f>
        <v/>
      </c>
      <c r="OC154" s="63" t="s">
        <v>234</v>
      </c>
      <c r="OD154" s="115" t="str">
        <f>IF(ISNUMBER(MATCH(24,G150:NT150,0)), "Yes", "")</f>
        <v/>
      </c>
      <c r="OE154" s="63" t="s">
        <v>246</v>
      </c>
      <c r="OF154" s="115" t="str">
        <f>IF(ISNUMBER(MATCH(36,G150:NT150,0)), "Yes", "")</f>
        <v/>
      </c>
      <c r="OG154" s="63" t="s">
        <v>258</v>
      </c>
      <c r="OH154" s="115"/>
      <c r="OI154" s="63"/>
      <c r="OJ154" s="63"/>
    </row>
    <row r="155" spans="2:400" s="41" customFormat="1" ht="26.25" customHeight="1" x14ac:dyDescent="0.2">
      <c r="B155" s="33" t="str">
        <f>IF(F$154="Yes","Date on-site liaison completed orientation:",IF(F$154="Pending","Date on-site liaison orientation will be completed:",""))</f>
        <v/>
      </c>
      <c r="C155" s="33"/>
      <c r="D155" s="33"/>
      <c r="E155" s="33"/>
      <c r="F155" s="206"/>
      <c r="O155" s="33" t="str">
        <f>IF(S154="Yes","Date on-site liaison completed orientation:",IF(S154="Pending","Date on-site liaison orientation will be completed:",""))</f>
        <v/>
      </c>
      <c r="P155" s="33"/>
      <c r="Q155" s="33"/>
      <c r="R155" s="33"/>
      <c r="S155" s="206"/>
      <c r="AB155" s="33" t="str">
        <f>IF(AF154="Yes","Date on-site liaison completed orientation:",IF(AF154="Pending","Date on-site liaison orientation will be completed:",""))</f>
        <v/>
      </c>
      <c r="AC155" s="33"/>
      <c r="AD155" s="33"/>
      <c r="AE155" s="33"/>
      <c r="AF155" s="206"/>
      <c r="AO155" s="33" t="str">
        <f>IF(AS154="Yes","Date on-site liaison completed orientation:",IF(AS154="Pending","Date on-site liaison orientation will be completed:",""))</f>
        <v/>
      </c>
      <c r="AP155" s="33"/>
      <c r="AQ155" s="33"/>
      <c r="AR155" s="33"/>
      <c r="AS155" s="206"/>
      <c r="BB155" s="33" t="str">
        <f>IF(BF154="Yes","Date on-site liaison completed orientation:",IF(BF154="Pending","Date on-site liaison orientation will be completed:",""))</f>
        <v/>
      </c>
      <c r="BC155" s="33"/>
      <c r="BD155" s="33"/>
      <c r="BE155" s="33"/>
      <c r="BF155" s="206"/>
      <c r="BO155" s="33" t="str">
        <f>IF(BS154="Yes","Date on-site liaison completed orientation:",IF(BS154="Pending","Date on-site liaison orientation will be completed:",""))</f>
        <v/>
      </c>
      <c r="BP155" s="33"/>
      <c r="BQ155" s="33"/>
      <c r="BR155" s="33"/>
      <c r="BS155" s="206"/>
      <c r="CB155" s="33" t="str">
        <f>IF(CF154="Yes","Date on-site liaison completed orientation:",IF(CF154="Pending","Date on-site liaison orientation will be completed:",""))</f>
        <v/>
      </c>
      <c r="CC155" s="33"/>
      <c r="CD155" s="33"/>
      <c r="CE155" s="33"/>
      <c r="CF155" s="206"/>
      <c r="CO155" s="33" t="str">
        <f>IF(CS154="Yes","Date on-site liaison completed orientation:",IF(CS154="Pending","Date on-site liaison orientation will be completed:",""))</f>
        <v/>
      </c>
      <c r="CP155" s="33"/>
      <c r="CQ155" s="33"/>
      <c r="CR155" s="33"/>
      <c r="CS155" s="206"/>
      <c r="DB155" s="33" t="str">
        <f>IF(DF154="Yes","Date on-site liaison completed orientation:",IF(DF154="Pending","Date on-site liaison orientation will be completed:",""))</f>
        <v/>
      </c>
      <c r="DC155" s="33"/>
      <c r="DD155" s="33"/>
      <c r="DE155" s="33"/>
      <c r="DF155" s="206"/>
      <c r="DO155" s="33" t="str">
        <f>IF(DS154="Yes","Date on-site liaison completed orientation:",IF(DS154="Pending","Date on-site liaison orientation will be completed:",""))</f>
        <v/>
      </c>
      <c r="DP155" s="33"/>
      <c r="DQ155" s="33"/>
      <c r="DR155" s="33"/>
      <c r="DS155" s="206"/>
      <c r="EB155" s="529"/>
      <c r="EC155" s="529"/>
      <c r="ED155" s="529"/>
      <c r="EE155" s="529"/>
      <c r="EF155" s="206"/>
      <c r="EO155" s="529"/>
      <c r="EP155" s="529"/>
      <c r="EQ155" s="529"/>
      <c r="ER155" s="529"/>
      <c r="ES155" s="206"/>
      <c r="FB155" s="529"/>
      <c r="FC155" s="529"/>
      <c r="FD155" s="529"/>
      <c r="FE155" s="529"/>
      <c r="FF155" s="206"/>
      <c r="FO155" s="529"/>
      <c r="FP155" s="529"/>
      <c r="FQ155" s="529"/>
      <c r="FR155" s="529"/>
      <c r="FS155" s="206"/>
      <c r="GB155" s="529"/>
      <c r="GC155" s="529"/>
      <c r="GD155" s="529"/>
      <c r="GE155" s="529"/>
      <c r="GF155" s="206"/>
      <c r="GO155" s="529"/>
      <c r="GP155" s="529"/>
      <c r="GQ155" s="529"/>
      <c r="GR155" s="529"/>
      <c r="GS155" s="206"/>
      <c r="HB155" s="529"/>
      <c r="HC155" s="529"/>
      <c r="HD155" s="529"/>
      <c r="HE155" s="529"/>
      <c r="HF155" s="206"/>
      <c r="HO155" s="529"/>
      <c r="HP155" s="529"/>
      <c r="HQ155" s="529"/>
      <c r="HR155" s="529"/>
      <c r="HS155" s="206"/>
      <c r="IB155" s="529"/>
      <c r="IC155" s="529"/>
      <c r="ID155" s="529"/>
      <c r="IE155" s="529"/>
      <c r="IF155" s="206"/>
      <c r="IO155" s="529"/>
      <c r="IP155" s="529"/>
      <c r="IQ155" s="529"/>
      <c r="IR155" s="529"/>
      <c r="IS155" s="206"/>
      <c r="JB155" s="529"/>
      <c r="JC155" s="529"/>
      <c r="JD155" s="529"/>
      <c r="JE155" s="529"/>
      <c r="JF155" s="206"/>
      <c r="JO155" s="529"/>
      <c r="JP155" s="529"/>
      <c r="JQ155" s="529"/>
      <c r="JR155" s="529"/>
      <c r="JS155" s="206"/>
      <c r="KB155" s="529"/>
      <c r="KC155" s="529"/>
      <c r="KD155" s="529"/>
      <c r="KE155" s="529"/>
      <c r="KF155" s="206"/>
      <c r="KO155" s="529"/>
      <c r="KP155" s="529"/>
      <c r="KQ155" s="529"/>
      <c r="KR155" s="529"/>
      <c r="KS155" s="206"/>
      <c r="LB155" s="529"/>
      <c r="LC155" s="529"/>
      <c r="LD155" s="529"/>
      <c r="LE155" s="529"/>
      <c r="LF155" s="206"/>
      <c r="LO155" s="529"/>
      <c r="LP155" s="529"/>
      <c r="LQ155" s="529"/>
      <c r="LR155" s="529"/>
      <c r="LS155" s="206"/>
      <c r="MB155" s="529"/>
      <c r="MC155" s="529"/>
      <c r="MD155" s="529"/>
      <c r="ME155" s="529"/>
      <c r="MF155" s="206"/>
      <c r="MO155" s="529"/>
      <c r="MP155" s="529"/>
      <c r="MQ155" s="529"/>
      <c r="MR155" s="529"/>
      <c r="MS155" s="206"/>
      <c r="NB155" s="529"/>
      <c r="NC155" s="529"/>
      <c r="ND155" s="529"/>
      <c r="NE155" s="529"/>
      <c r="NF155" s="206"/>
      <c r="NO155" s="529"/>
      <c r="NP155" s="529"/>
      <c r="NQ155" s="529"/>
      <c r="NR155" s="529"/>
      <c r="NS155" s="206"/>
      <c r="OA155" s="63"/>
      <c r="OB155" s="63"/>
      <c r="OC155" s="63"/>
      <c r="OD155" s="63"/>
      <c r="OE155" s="63"/>
      <c r="OF155" s="63"/>
      <c r="OG155" s="63"/>
      <c r="OH155" s="63"/>
      <c r="OI155" s="63"/>
      <c r="OJ155" s="63"/>
    </row>
    <row r="156" spans="2:400" s="41" customFormat="1" ht="14.25" x14ac:dyDescent="0.2">
      <c r="B156" s="1"/>
      <c r="O156" s="1"/>
      <c r="AB156" s="1"/>
      <c r="AO156" s="1"/>
      <c r="BB156" s="1"/>
      <c r="BO156" s="1"/>
      <c r="CB156" s="1"/>
      <c r="CO156" s="1"/>
      <c r="DB156" s="1"/>
      <c r="DO156" s="1"/>
      <c r="EB156" s="1"/>
      <c r="EO156" s="1"/>
      <c r="FB156" s="1"/>
      <c r="FO156" s="1"/>
      <c r="GB156" s="1"/>
      <c r="GO156" s="1"/>
      <c r="HB156" s="1"/>
      <c r="HO156" s="1"/>
      <c r="IB156" s="1"/>
      <c r="IO156" s="1"/>
      <c r="JB156" s="1"/>
      <c r="JO156" s="1"/>
      <c r="KB156" s="1"/>
      <c r="KO156" s="1"/>
      <c r="LB156" s="1"/>
      <c r="LO156" s="1"/>
      <c r="MB156" s="1"/>
      <c r="MO156" s="1"/>
      <c r="NB156" s="1"/>
      <c r="NO156" s="1"/>
    </row>
    <row r="157" spans="2:400" s="43" customFormat="1" ht="26.25" customHeight="1" x14ac:dyDescent="0.25">
      <c r="B157" s="36" t="str">
        <f>IF(AND($H$141&gt;=1, $H$141&lt;&gt;"Please Select"),"Total Number of Runs Per Year:","")</f>
        <v/>
      </c>
      <c r="D157" s="528"/>
      <c r="E157" s="528"/>
      <c r="O157" s="36" t="str">
        <f>IF(AND($H$141&gt;=2, $H$141&lt;&gt;"Please Select"),"Total Number of Runs Per Year:","")</f>
        <v/>
      </c>
      <c r="Q157" s="528"/>
      <c r="R157" s="528"/>
      <c r="AB157" s="36" t="str">
        <f>IF(AND($H$141&gt;=3, $H$141&lt;&gt;"Please Select"),"Total Number of Runs Per Year:","")</f>
        <v/>
      </c>
      <c r="AD157" s="528"/>
      <c r="AE157" s="528"/>
      <c r="AO157" s="36" t="str">
        <f>IF(AND($H$141&gt;=4, $H$141&lt;&gt;"Please Select"),"Total Number of Runs Per Year:","")</f>
        <v/>
      </c>
      <c r="AQ157" s="528"/>
      <c r="AR157" s="528"/>
      <c r="BB157" s="36" t="str">
        <f>IF(AND($H$141&gt;=5, $H$141&lt;&gt;"Please Select"),"Total Number of Runs Per Year:","")</f>
        <v/>
      </c>
      <c r="BD157" s="528"/>
      <c r="BE157" s="528"/>
      <c r="BO157" s="36" t="str">
        <f>IF(AND($H$141&gt;=6, $H$141&lt;&gt;"Please Select"),"Total Number of Runs Per Year:","")</f>
        <v/>
      </c>
      <c r="BQ157" s="528"/>
      <c r="BR157" s="528"/>
      <c r="CB157" s="36" t="str">
        <f>IF(AND($H$141&gt;=7, $H$141&lt;&gt;"Please Select"),"Total Number of Runs Per Year:","")</f>
        <v/>
      </c>
      <c r="CD157" s="528"/>
      <c r="CE157" s="528"/>
      <c r="CO157" s="36" t="str">
        <f>IF(AND($H$141&gt;=8, $H$141&lt;&gt;"Please Select"),"Total Number of Runs Per Year:","")</f>
        <v/>
      </c>
      <c r="CQ157" s="528"/>
      <c r="CR157" s="528"/>
      <c r="DB157" s="36" t="str">
        <f>IF(AND($H$141&gt;=9, $H$141&lt;&gt;"Please Select"),"Total Number of Runs Per Year:","")</f>
        <v/>
      </c>
      <c r="DD157" s="528"/>
      <c r="DE157" s="528"/>
      <c r="DO157" s="36" t="str">
        <f>IF(AND($H$141&gt;=10, $H$141&lt;&gt;"Please Select"),"Total Number of Runs Per Year:","")</f>
        <v/>
      </c>
      <c r="DQ157" s="528"/>
      <c r="DR157" s="528"/>
      <c r="EB157" s="36"/>
      <c r="ED157" s="528"/>
      <c r="EE157" s="528"/>
      <c r="EO157" s="36"/>
      <c r="EQ157" s="528"/>
      <c r="ER157" s="528"/>
      <c r="FB157" s="36"/>
      <c r="FD157" s="528"/>
      <c r="FE157" s="528"/>
      <c r="FO157" s="36"/>
      <c r="FQ157" s="528"/>
      <c r="FR157" s="528"/>
      <c r="GB157" s="36"/>
      <c r="GD157" s="528"/>
      <c r="GE157" s="528"/>
      <c r="GO157" s="36"/>
      <c r="GQ157" s="528"/>
      <c r="GR157" s="528"/>
      <c r="HB157" s="36"/>
      <c r="HD157" s="528"/>
      <c r="HE157" s="528"/>
      <c r="HO157" s="36"/>
      <c r="HQ157" s="528"/>
      <c r="HR157" s="528"/>
      <c r="IB157" s="36"/>
      <c r="ID157" s="528"/>
      <c r="IE157" s="528"/>
      <c r="IO157" s="36"/>
      <c r="IQ157" s="528"/>
      <c r="IR157" s="528"/>
      <c r="JB157" s="36"/>
      <c r="JD157" s="528"/>
      <c r="JE157" s="528"/>
      <c r="JO157" s="36"/>
      <c r="JQ157" s="528"/>
      <c r="JR157" s="528"/>
      <c r="KB157" s="36"/>
      <c r="KD157" s="528"/>
      <c r="KE157" s="528"/>
      <c r="KO157" s="36"/>
      <c r="KQ157" s="528"/>
      <c r="KR157" s="528"/>
      <c r="LB157" s="36"/>
      <c r="LD157" s="528"/>
      <c r="LE157" s="528"/>
      <c r="LO157" s="36"/>
      <c r="LQ157" s="528"/>
      <c r="LR157" s="528"/>
      <c r="MB157" s="36"/>
      <c r="MD157" s="528"/>
      <c r="ME157" s="528"/>
      <c r="MO157" s="36"/>
      <c r="MQ157" s="528"/>
      <c r="MR157" s="528"/>
      <c r="NB157" s="36"/>
      <c r="ND157" s="528"/>
      <c r="NE157" s="528"/>
      <c r="NO157" s="36"/>
      <c r="NQ157" s="528"/>
      <c r="NR157" s="528"/>
    </row>
    <row r="158" spans="2:400" s="41" customFormat="1" ht="14.25" x14ac:dyDescent="0.2"/>
    <row r="159" spans="2:400" s="41" customFormat="1" ht="14.25" x14ac:dyDescent="0.2"/>
    <row r="160" spans="2:400" s="41" customFormat="1" ht="74.25" customHeight="1" x14ac:dyDescent="0.2">
      <c r="B160" s="341" t="str">
        <f>IF(AND($H$141&gt;=1,$H$141&lt;&gt;"Please Select",I147=""),"Place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[.xlsx]).",IF(AND($H$141&gt;=1,$H$141&lt;&gt;"Please Select",I147&lt;&gt;""),"Place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160" s="341"/>
      <c r="D160" s="341"/>
      <c r="E160" s="341"/>
      <c r="F160" s="341"/>
      <c r="G160" s="341"/>
      <c r="H160" s="341"/>
      <c r="I160" s="341"/>
      <c r="J160" s="341"/>
      <c r="O160" s="341" t="str">
        <f>IF(AND($H$141&gt;=2,$H$141&lt;&gt;"Please Select",V147=""),"Place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[.xlsx]).",IF(AND($H$141&gt;=2,$H$141&lt;&gt;"Please Select",V147&lt;&gt;""),"Place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P160" s="341"/>
      <c r="Q160" s="341"/>
      <c r="R160" s="341"/>
      <c r="S160" s="341"/>
      <c r="T160" s="341"/>
      <c r="U160" s="341"/>
      <c r="V160" s="341"/>
      <c r="W160" s="341"/>
      <c r="AB160" s="341" t="str">
        <f>IF(AND($H$141&gt;=3,$H$141&lt;&gt;"Please Select",AI147=""),"Place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[.xlsx]).",IF(AND($H$141&gt;=3,$H$141&lt;&gt;"Please Select",AI147&lt;&gt;""),"Place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AC160" s="341"/>
      <c r="AD160" s="341"/>
      <c r="AE160" s="341"/>
      <c r="AF160" s="341"/>
      <c r="AG160" s="341"/>
      <c r="AH160" s="341"/>
      <c r="AI160" s="341"/>
      <c r="AJ160" s="341"/>
      <c r="AO160" s="341" t="str">
        <f>IF(AND($H$141&gt;=4,$H$141&lt;&gt;"Please Select",AV147=""),"Place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[.xlsx]).",IF(AND($H$141&gt;=4,$H$141&lt;&gt;"Please Select",AV147&lt;&gt;""),"Place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AP160" s="341"/>
      <c r="AQ160" s="341"/>
      <c r="AR160" s="341"/>
      <c r="AS160" s="341"/>
      <c r="AT160" s="341"/>
      <c r="AU160" s="341"/>
      <c r="AV160" s="341"/>
      <c r="AW160" s="341"/>
      <c r="BB160" s="341" t="str">
        <f>IF(AND($H$141&gt;=5,$H$141&lt;&gt;"Please Select",BI147=""),"Place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[.xlsx]).",IF(AND($H$141&gt;=5,$H$141&lt;&gt;"Please Select",BI147&lt;&gt;""),"Place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BC160" s="341"/>
      <c r="BD160" s="341"/>
      <c r="BE160" s="341"/>
      <c r="BF160" s="341"/>
      <c r="BG160" s="341"/>
      <c r="BH160" s="341"/>
      <c r="BI160" s="341"/>
      <c r="BJ160" s="341"/>
      <c r="BO160" s="341" t="str">
        <f>IF(AND($H$141&gt;=6,$H$141&lt;&gt;"Please Select",BV147=""),"Place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[.xlsx]).",IF(AND($H$141&gt;=6,$H$141&lt;&gt;"Please Select",BV147&lt;&gt;""),"Place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BP160" s="341"/>
      <c r="BQ160" s="341"/>
      <c r="BR160" s="341"/>
      <c r="BS160" s="341"/>
      <c r="BT160" s="341"/>
      <c r="BU160" s="341"/>
      <c r="BV160" s="341"/>
      <c r="BW160" s="341"/>
      <c r="CB160" s="341" t="str">
        <f>IF(AND($H$141&gt;=7,$H$141&lt;&gt;"Please Select",CI147=""),"Place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[.xlsx]).",IF(AND($H$141&gt;=7,$H$141&lt;&gt;"Please Select",CI147&lt;&gt;""),"Place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C160" s="341"/>
      <c r="CD160" s="341"/>
      <c r="CE160" s="341"/>
      <c r="CF160" s="341"/>
      <c r="CG160" s="341"/>
      <c r="CH160" s="341"/>
      <c r="CI160" s="341"/>
      <c r="CJ160" s="341"/>
      <c r="CO160" s="341" t="str">
        <f>IF(AND($H$141&gt;=8,$H$141&lt;&gt;"Please Select",CV147=""),"Place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[.xlsx]).",IF(AND($H$141&gt;=8,$H$141&lt;&gt;"Please Select",CV147&lt;&gt;""),"Place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P160" s="341"/>
      <c r="CQ160" s="341"/>
      <c r="CR160" s="341"/>
      <c r="CS160" s="341"/>
      <c r="CT160" s="341"/>
      <c r="CU160" s="341"/>
      <c r="CV160" s="341"/>
      <c r="CW160" s="341"/>
      <c r="DB160" s="341" t="str">
        <f>IF(AND($H$141&gt;=9,$H$141&lt;&gt;"Please Select",DI147=""),"Place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[.xlsx]).",IF(AND($H$141&gt;=9,$H$141&lt;&gt;"Please Select",DI147&lt;&gt;""),"Place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DC160" s="341"/>
      <c r="DD160" s="341"/>
      <c r="DE160" s="341"/>
      <c r="DF160" s="341"/>
      <c r="DG160" s="341"/>
      <c r="DH160" s="341"/>
      <c r="DI160" s="341"/>
      <c r="DJ160" s="341"/>
      <c r="DO160" s="341" t="str">
        <f>IF(AND($H$141&gt;=10,$H$141&lt;&gt;"Please Select",DV147=""),"Place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[.xlsx]).",IF(AND($H$141&gt;=10,$H$141&lt;&gt;"Please Select",DV147&lt;&gt;""),"Place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DP160" s="341"/>
      <c r="DQ160" s="341"/>
      <c r="DR160" s="341"/>
      <c r="DS160" s="341"/>
      <c r="DT160" s="341"/>
      <c r="DU160" s="341"/>
      <c r="DV160" s="341"/>
      <c r="DW160" s="341"/>
    </row>
    <row r="161" spans="2:131" s="41" customFormat="1" ht="27" customHeight="1" x14ac:dyDescent="0.2">
      <c r="C161" s="88"/>
      <c r="E161" s="342" t="str">
        <f>IF(AND($H$141&gt;=1, $H$141&lt;&gt;"Please Select"),"            Exact Document Name:","")</f>
        <v/>
      </c>
      <c r="F161" s="342"/>
      <c r="G161" s="342"/>
      <c r="H161" s="342"/>
      <c r="I161" s="342"/>
      <c r="J161" s="342"/>
      <c r="P161" s="88"/>
      <c r="R161" s="342" t="str">
        <f>IF(AND($H$141&gt;=2, $H$141&lt;&gt;"Please Select"),"            Exact Document Name:","")</f>
        <v/>
      </c>
      <c r="S161" s="342"/>
      <c r="T161" s="342"/>
      <c r="U161" s="342"/>
      <c r="V161" s="342"/>
      <c r="W161" s="342"/>
      <c r="AC161" s="88"/>
      <c r="AE161" s="342" t="str">
        <f>IF(AND($H$141&gt;=3, $H$141&lt;&gt;"Please Select"),"            Exact Document Name:","")</f>
        <v/>
      </c>
      <c r="AF161" s="342"/>
      <c r="AG161" s="342"/>
      <c r="AH161" s="342"/>
      <c r="AI161" s="342"/>
      <c r="AJ161" s="342"/>
      <c r="AP161" s="88"/>
      <c r="AR161" s="342" t="str">
        <f>IF(AND($H$141&gt;=4, $H$141&lt;&gt;"Please Select"),"            Exact Document Name:","")</f>
        <v/>
      </c>
      <c r="AS161" s="342"/>
      <c r="AT161" s="342"/>
      <c r="AU161" s="342"/>
      <c r="AV161" s="342"/>
      <c r="AW161" s="342"/>
      <c r="BC161" s="88"/>
      <c r="BE161" s="342" t="str">
        <f>IF(AND($H$141&gt;=5, $H$141&lt;&gt;"Please Select"),"            Exact Document Name:","")</f>
        <v/>
      </c>
      <c r="BF161" s="342"/>
      <c r="BG161" s="342"/>
      <c r="BH161" s="342"/>
      <c r="BI161" s="342"/>
      <c r="BJ161" s="342"/>
      <c r="BP161" s="88"/>
      <c r="BR161" s="342" t="str">
        <f>IF(AND($H$141&gt;=6, $H$141&lt;&gt;"Please Select"),"            Exact Document Name:","")</f>
        <v/>
      </c>
      <c r="BS161" s="342"/>
      <c r="BT161" s="342"/>
      <c r="BU161" s="342"/>
      <c r="BV161" s="342"/>
      <c r="BW161" s="342"/>
      <c r="CC161" s="88"/>
      <c r="CE161" s="342" t="str">
        <f>IF(AND($H$141&gt;=7, $H$141&lt;&gt;"Please Select"),"            Exact Document Name:","")</f>
        <v/>
      </c>
      <c r="CF161" s="342"/>
      <c r="CG161" s="342"/>
      <c r="CH161" s="342"/>
      <c r="CI161" s="342"/>
      <c r="CJ161" s="342"/>
      <c r="CP161" s="88"/>
      <c r="CR161" s="342" t="str">
        <f>IF(AND($H$141&gt;=8, $H$141&lt;&gt;"Please Select"),"            Exact Document Name:","")</f>
        <v/>
      </c>
      <c r="CS161" s="342"/>
      <c r="CT161" s="342"/>
      <c r="CU161" s="342"/>
      <c r="CV161" s="342"/>
      <c r="CW161" s="342"/>
      <c r="DC161" s="88"/>
      <c r="DE161" s="342" t="str">
        <f>IF(AND($H$141&gt;=9, $H$141&lt;&gt;"Please Select"),"            Exact Document Name:","")</f>
        <v/>
      </c>
      <c r="DF161" s="342"/>
      <c r="DG161" s="342"/>
      <c r="DH161" s="342"/>
      <c r="DI161" s="342"/>
      <c r="DJ161" s="342"/>
      <c r="DP161" s="88"/>
      <c r="DR161" s="342" t="str">
        <f>IF(AND($H$141&gt;=10, $H$141&lt;&gt;"Please Select"),"            Exact Document Name:","")</f>
        <v/>
      </c>
      <c r="DS161" s="342"/>
      <c r="DT161" s="342"/>
      <c r="DU161" s="342"/>
      <c r="DV161" s="342"/>
      <c r="DW161" s="342"/>
    </row>
    <row r="162" spans="2:131" s="41" customFormat="1" ht="29.25" customHeight="1" x14ac:dyDescent="0.2">
      <c r="B162" s="430" t="str">
        <f>IF(AND(E162&lt;&gt;"",E163&lt;&gt;""),"Automatic Links ====&gt;",IF(E162&lt;&gt;"","Automatic Link ====&gt;",""))</f>
        <v/>
      </c>
      <c r="C162" s="430"/>
      <c r="E162" s="342" t="str">
        <f>IF(AND($H$141&gt;=1, $H$141&lt;&gt;"Please Select"),"                                            23 Field Affiliate 01","")</f>
        <v/>
      </c>
      <c r="F162" s="342"/>
      <c r="G162" s="342"/>
      <c r="H162" s="342"/>
      <c r="I162" s="342"/>
      <c r="J162" s="342"/>
      <c r="O162" s="430" t="str">
        <f>IF(AND(R162&lt;&gt;"",R163&lt;&gt;""),"Automatic Links ====&gt;",IF(R162&lt;&gt;"","Automatic Link ====&gt;",""))</f>
        <v/>
      </c>
      <c r="P162" s="430"/>
      <c r="R162" s="342" t="str">
        <f>IF(AND($H$141&gt;=2, $H$141&lt;&gt;"Please Select"),"                                            23 Field Affiliate 02","")</f>
        <v/>
      </c>
      <c r="S162" s="342"/>
      <c r="T162" s="342"/>
      <c r="U162" s="342"/>
      <c r="V162" s="342"/>
      <c r="W162" s="342"/>
      <c r="AB162" s="430" t="str">
        <f>IF(AND(AE162&lt;&gt;"",AE163&lt;&gt;""),"Automatic Links ====&gt;",IF(AE162&lt;&gt;"","Automatic Link ====&gt;",""))</f>
        <v/>
      </c>
      <c r="AC162" s="430"/>
      <c r="AE162" s="342" t="str">
        <f>IF(AND($H$141&gt;=3, $H$141&lt;&gt;"Please Select"),"                                            23 Field Affiliate 03","")</f>
        <v/>
      </c>
      <c r="AF162" s="342"/>
      <c r="AG162" s="342"/>
      <c r="AH162" s="342"/>
      <c r="AI162" s="342"/>
      <c r="AJ162" s="342"/>
      <c r="AO162" s="430" t="str">
        <f>IF(AND(AR162&lt;&gt;"",AR163&lt;&gt;""),"Automatic Links ====&gt;",IF(AR162&lt;&gt;"","Automatic Link ====&gt;",""))</f>
        <v/>
      </c>
      <c r="AP162" s="430"/>
      <c r="AR162" s="342" t="str">
        <f>IF(AND($H$141&gt;=4, $H$141&lt;&gt;"Please Select"),"                                            23 Field Affiliate 04","")</f>
        <v/>
      </c>
      <c r="AS162" s="342"/>
      <c r="AT162" s="342"/>
      <c r="AU162" s="342"/>
      <c r="AV162" s="342"/>
      <c r="AW162" s="342"/>
      <c r="BB162" s="430" t="str">
        <f>IF(AND(BE162&lt;&gt;"",BE163&lt;&gt;""),"Automatic Links ====&gt;",IF(BE162&lt;&gt;"","Automatic Link ====&gt;",""))</f>
        <v/>
      </c>
      <c r="BC162" s="430"/>
      <c r="BE162" s="342" t="str">
        <f>IF(AND($H$141&gt;=5, $H$141&lt;&gt;"Please Select"),"                                            23 Field Affiliate 05","")</f>
        <v/>
      </c>
      <c r="BF162" s="342"/>
      <c r="BG162" s="342"/>
      <c r="BH162" s="342"/>
      <c r="BI162" s="342"/>
      <c r="BJ162" s="342"/>
      <c r="BO162" s="430" t="str">
        <f>IF(AND(BR162&lt;&gt;"",BR163&lt;&gt;""),"Automatic Links ====&gt;",IF(BR162&lt;&gt;"","Automatic Link ====&gt;",""))</f>
        <v/>
      </c>
      <c r="BP162" s="430"/>
      <c r="BR162" s="342" t="str">
        <f>IF(AND($H$141&gt;=6, $H$141&lt;&gt;"Please Select"),"                                            23 Field Affiliate 06","")</f>
        <v/>
      </c>
      <c r="BS162" s="342"/>
      <c r="BT162" s="342"/>
      <c r="BU162" s="342"/>
      <c r="BV162" s="342"/>
      <c r="BW162" s="342"/>
      <c r="CB162" s="430" t="str">
        <f>IF(AND(CE162&lt;&gt;"",CE163&lt;&gt;""),"Automatic Links ====&gt;",IF(CE162&lt;&gt;"","Automatic Link ====&gt;",""))</f>
        <v/>
      </c>
      <c r="CC162" s="430"/>
      <c r="CE162" s="342" t="str">
        <f>IF(AND($H$141&gt;=7, $H$141&lt;&gt;"Please Select"),"                                            23 Field Affiliate 07","")</f>
        <v/>
      </c>
      <c r="CF162" s="342"/>
      <c r="CG162" s="342"/>
      <c r="CH162" s="342"/>
      <c r="CI162" s="342"/>
      <c r="CJ162" s="342"/>
      <c r="CO162" s="430" t="str">
        <f>IF(AND(CR162&lt;&gt;"",CR163&lt;&gt;""),"Automatic Links ====&gt;",IF(CR162&lt;&gt;"","Automatic Link ====&gt;",""))</f>
        <v/>
      </c>
      <c r="CP162" s="430"/>
      <c r="CR162" s="342" t="str">
        <f>IF(AND($H$141&gt;=8, $H$141&lt;&gt;"Please Select"),"                                            23 Field Affiliate 08","")</f>
        <v/>
      </c>
      <c r="CS162" s="342"/>
      <c r="CT162" s="342"/>
      <c r="CU162" s="342"/>
      <c r="CV162" s="342"/>
      <c r="CW162" s="342"/>
      <c r="DB162" s="430" t="str">
        <f>IF(AND(DE162&lt;&gt;"",DE163&lt;&gt;""),"Automatic Links ====&gt;",IF(DE162&lt;&gt;"","Automatic Link ====&gt;",""))</f>
        <v/>
      </c>
      <c r="DC162" s="430"/>
      <c r="DE162" s="342" t="str">
        <f>IF(AND($H$141&gt;=9, $H$141&lt;&gt;"Please Select"),"                                            23 Field Affiliate 09","")</f>
        <v/>
      </c>
      <c r="DF162" s="342"/>
      <c r="DG162" s="342"/>
      <c r="DH162" s="342"/>
      <c r="DI162" s="342"/>
      <c r="DJ162" s="342"/>
      <c r="DO162" s="430" t="str">
        <f>IF(AND(DR162&lt;&gt;"",DR163&lt;&gt;""),"Automatic Links ====&gt;",IF(DR162&lt;&gt;"","Automatic Link ====&gt;",""))</f>
        <v/>
      </c>
      <c r="DP162" s="430"/>
      <c r="DR162" s="342" t="str">
        <f>IF(AND($H$141&gt;=10, $H$141&lt;&gt;"Please Select"),"                                            23 Field Affiliate 10","")</f>
        <v/>
      </c>
      <c r="DS162" s="342"/>
      <c r="DT162" s="342"/>
      <c r="DU162" s="342"/>
      <c r="DV162" s="342"/>
      <c r="DW162" s="342"/>
    </row>
    <row r="163" spans="2:131" s="41" customFormat="1" ht="30" customHeight="1" x14ac:dyDescent="0.2">
      <c r="B163" s="343"/>
      <c r="C163" s="343"/>
      <c r="E163" s="342" t="str">
        <f>IF(AND($H$141&gt;=1, $H$141&lt;&gt;"Please Select",I147&lt;&gt;""),"                                            23 Field State Approval 01","")</f>
        <v/>
      </c>
      <c r="F163" s="342"/>
      <c r="G163" s="342"/>
      <c r="H163" s="342"/>
      <c r="I163" s="342"/>
      <c r="J163" s="342"/>
      <c r="O163" s="343"/>
      <c r="P163" s="343"/>
      <c r="R163" s="342" t="str">
        <f>IF(AND($H$141&gt;=2, $H$141&lt;&gt;"Please Select",V147&lt;&gt;""),"                                            23 Field State Approval 02","")</f>
        <v/>
      </c>
      <c r="S163" s="342"/>
      <c r="T163" s="342"/>
      <c r="U163" s="342"/>
      <c r="V163" s="342"/>
      <c r="W163" s="342"/>
      <c r="AB163" s="343"/>
      <c r="AC163" s="343"/>
      <c r="AE163" s="342" t="str">
        <f>IF(AND($H$141&gt;=3, $H$141&lt;&gt;"Please Select",AI147&lt;&gt;""),"                                            23 Field State Approval 03","")</f>
        <v/>
      </c>
      <c r="AF163" s="342"/>
      <c r="AG163" s="342"/>
      <c r="AH163" s="342"/>
      <c r="AI163" s="342"/>
      <c r="AJ163" s="342"/>
      <c r="AO163" s="343"/>
      <c r="AP163" s="343"/>
      <c r="AR163" s="342" t="str">
        <f>IF(AND($H$141&gt;=4, $H$141&lt;&gt;"Please Select",AV147&lt;&gt;""),"                                            23 Field State Approval 04","")</f>
        <v/>
      </c>
      <c r="AS163" s="342"/>
      <c r="AT163" s="342"/>
      <c r="AU163" s="342"/>
      <c r="AV163" s="342"/>
      <c r="AW163" s="342"/>
      <c r="BB163" s="343"/>
      <c r="BC163" s="343"/>
      <c r="BE163" s="342" t="str">
        <f>IF(AND($H$141&gt;=5, $H$141&lt;&gt;"Please Select",BI147&lt;&gt;""),"                                            23 Field State Approval 05","")</f>
        <v/>
      </c>
      <c r="BF163" s="342"/>
      <c r="BG163" s="342"/>
      <c r="BH163" s="342"/>
      <c r="BI163" s="342"/>
      <c r="BJ163" s="342"/>
      <c r="BO163" s="343"/>
      <c r="BP163" s="343"/>
      <c r="BR163" s="342" t="str">
        <f>IF(AND($H$141&gt;=6, $H$141&lt;&gt;"Please Select",BV147&lt;&gt;""),"                                            23 Field State Approval 06","")</f>
        <v/>
      </c>
      <c r="BS163" s="342"/>
      <c r="BT163" s="342"/>
      <c r="BU163" s="342"/>
      <c r="BV163" s="342"/>
      <c r="BW163" s="342"/>
      <c r="CB163" s="343"/>
      <c r="CC163" s="343"/>
      <c r="CE163" s="342" t="str">
        <f>IF(AND($H$141&gt;=7, $H$141&lt;&gt;"Please Select",CI147&lt;&gt;""),"                                            23 Field State Approval 07","")</f>
        <v/>
      </c>
      <c r="CF163" s="342"/>
      <c r="CG163" s="342"/>
      <c r="CH163" s="342"/>
      <c r="CI163" s="342"/>
      <c r="CJ163" s="342"/>
      <c r="CO163" s="343"/>
      <c r="CP163" s="343"/>
      <c r="CR163" s="342" t="str">
        <f>IF(AND($H$141&gt;=8, $H$141&lt;&gt;"Please Select",CV147&lt;&gt;""),"                                            23 Field State Approval 08","")</f>
        <v/>
      </c>
      <c r="CS163" s="342"/>
      <c r="CT163" s="342"/>
      <c r="CU163" s="342"/>
      <c r="CV163" s="342"/>
      <c r="CW163" s="342"/>
      <c r="DB163" s="343"/>
      <c r="DC163" s="343"/>
      <c r="DE163" s="342" t="str">
        <f>IF(AND($H$141&gt;=9, $H$141&lt;&gt;"Please Select",DI147&lt;&gt;""),"                                            23 Field State Approval 09","")</f>
        <v/>
      </c>
      <c r="DF163" s="342"/>
      <c r="DG163" s="342"/>
      <c r="DH163" s="342"/>
      <c r="DI163" s="342"/>
      <c r="DJ163" s="342"/>
      <c r="DO163" s="343"/>
      <c r="DP163" s="343"/>
      <c r="DR163" s="342" t="str">
        <f>IF(AND($H$141&gt;=10, $H$141&lt;&gt;"Please Select",DV147&lt;&gt;""),"                                            23 Field State Approval 10","")</f>
        <v/>
      </c>
      <c r="DS163" s="342"/>
      <c r="DT163" s="342"/>
      <c r="DU163" s="342"/>
      <c r="DV163" s="342"/>
      <c r="DW163" s="342"/>
    </row>
    <row r="164" spans="2:131" s="41" customFormat="1" ht="27.75" customHeight="1" x14ac:dyDescent="0.2">
      <c r="C164" s="88"/>
      <c r="E164" s="345" t="str">
        <f>IF(AND($H$141&gt;=1, $H$141&lt;&gt;"Please Select"),"                   Type of File:     Adobe Portable Document (.pdf)","")</f>
        <v/>
      </c>
      <c r="F164" s="345"/>
      <c r="G164" s="345"/>
      <c r="H164" s="345"/>
      <c r="I164" s="345"/>
      <c r="J164" s="345"/>
      <c r="K164" s="521" t="str">
        <f>IF(AND($H$141&gt;1,$H$141&lt;&gt;"Please Select"),"Complete the next 
affiliate form to the right ==&gt;","")</f>
        <v/>
      </c>
      <c r="L164" s="521"/>
      <c r="M164" s="521"/>
      <c r="N164" s="521"/>
      <c r="P164" s="88"/>
      <c r="R164" s="345" t="str">
        <f>IF(AND($H$141&gt;=2, $H$141&lt;&gt;"Please Select"),"                   Type of File:     Adobe Portable Document (.pdf)","")</f>
        <v/>
      </c>
      <c r="S164" s="345"/>
      <c r="T164" s="345"/>
      <c r="U164" s="345"/>
      <c r="V164" s="345"/>
      <c r="W164" s="345"/>
      <c r="X164" s="520" t="str">
        <f>IF(AND($H$64=2,$H$64&lt;3), "Click here when finished 
to go to the next tab",IF(AND($H$64&gt;2,$H$64&lt;&gt;"Please Select"),"Complete the next 
affiliate form to the right ==&gt;",""))</f>
        <v/>
      </c>
      <c r="Y164" s="520"/>
      <c r="Z164" s="520"/>
      <c r="AA164" s="520"/>
      <c r="AC164" s="88"/>
      <c r="AE164" s="345" t="str">
        <f>IF(AND($H$141&gt;=3, $H$141&lt;&gt;"Please Select"),"                   Type of File:     Adobe Portable Document (.pdf)","")</f>
        <v/>
      </c>
      <c r="AF164" s="345"/>
      <c r="AG164" s="345"/>
      <c r="AH164" s="345"/>
      <c r="AI164" s="345"/>
      <c r="AJ164" s="345"/>
      <c r="AK164" s="520" t="str">
        <f>IF(AND($H$64=3,$H$64&lt;4), "Click here when finished 
to go to the next tab",IF(AND($H$64&gt;3,$H$64&lt;&gt;"Please Select"),"Complete the next 
affiliate form to the right ==&gt;",""))</f>
        <v/>
      </c>
      <c r="AL164" s="520"/>
      <c r="AM164" s="520"/>
      <c r="AN164" s="520"/>
      <c r="AP164" s="88"/>
      <c r="AR164" s="345" t="str">
        <f>IF(AND($H$141&gt;=4, $H$141&lt;&gt;"Please Select"),"                   Type of File:     Adobe Portable Document (.pdf)","")</f>
        <v/>
      </c>
      <c r="AS164" s="345"/>
      <c r="AT164" s="345"/>
      <c r="AU164" s="345"/>
      <c r="AV164" s="345"/>
      <c r="AW164" s="345"/>
      <c r="AX164" s="520" t="str">
        <f>IF(AND($H$64=4,$H$64&lt;5), "Click here when finished 
to go to the next tab",IF(AND($H$64&gt;4,$H$64&lt;&gt;"Please Select"),"Complete the next 
affiliate form to the right ==&gt;",""))</f>
        <v/>
      </c>
      <c r="AY164" s="520"/>
      <c r="AZ164" s="520"/>
      <c r="BA164" s="520"/>
      <c r="BC164" s="88"/>
      <c r="BE164" s="345" t="str">
        <f>IF(AND($H$141&gt;=5, $H$141&lt;&gt;"Please Select"),"                   Type of File:     Adobe Portable Document (.pdf)","")</f>
        <v/>
      </c>
      <c r="BF164" s="345"/>
      <c r="BG164" s="345"/>
      <c r="BH164" s="345"/>
      <c r="BI164" s="345"/>
      <c r="BJ164" s="345"/>
      <c r="BK164" s="520" t="str">
        <f>IF(AND($H$64=5,$H$64&lt;6), "Click here when finished 
to go to the next tab",IF(AND($H$64&gt;5,$H$64&lt;&gt;"Please Select"),"Complete the next 
affiliate form to the right ==&gt;",""))</f>
        <v/>
      </c>
      <c r="BL164" s="520"/>
      <c r="BM164" s="520"/>
      <c r="BN164" s="520"/>
      <c r="BP164" s="88"/>
      <c r="BR164" s="345" t="str">
        <f>IF(AND($H$141&gt;=6, $H$141&lt;&gt;"Please Select"),"                   Type of File:     Adobe Portable Document (.pdf)","")</f>
        <v/>
      </c>
      <c r="BS164" s="345"/>
      <c r="BT164" s="345"/>
      <c r="BU164" s="345"/>
      <c r="BV164" s="345"/>
      <c r="BW164" s="345"/>
      <c r="BX164" s="520" t="str">
        <f>IF(AND($H$64=6,$H$64&lt;7), "Click here when finished 
to go to the next tab",IF(AND($H$64&gt;6,$H$64&lt;&gt;"Please Select"),"Complete the next 
affiliate form to the right ==&gt;",""))</f>
        <v/>
      </c>
      <c r="BY164" s="520"/>
      <c r="BZ164" s="520"/>
      <c r="CA164" s="520"/>
      <c r="CC164" s="88"/>
      <c r="CE164" s="345" t="str">
        <f>IF(AND($H$141&gt;=7, $H$141&lt;&gt;"Please Select"),"                   Type of File:     Adobe Portable Document (.pdf)","")</f>
        <v/>
      </c>
      <c r="CF164" s="345"/>
      <c r="CG164" s="345"/>
      <c r="CH164" s="345"/>
      <c r="CI164" s="345"/>
      <c r="CJ164" s="345"/>
      <c r="CK164" s="520" t="str">
        <f>IF(AND($H$64=7,$H$64&lt;8), "Click here when finished 
to go to the next tab",IF(AND($H$64&gt;7,$H$64&lt;&gt;"Please Select"),"Complete the next 
affiliate form to the right ==&gt;",""))</f>
        <v/>
      </c>
      <c r="CL164" s="520"/>
      <c r="CM164" s="520"/>
      <c r="CN164" s="520"/>
      <c r="CP164" s="88"/>
      <c r="CR164" s="345" t="str">
        <f>IF(AND($H$141&gt;=8, $H$141&lt;&gt;"Please Select"),"                   Type of File:     Adobe Portable Document (.pdf)","")</f>
        <v/>
      </c>
      <c r="CS164" s="345"/>
      <c r="CT164" s="345"/>
      <c r="CU164" s="345"/>
      <c r="CV164" s="345"/>
      <c r="CW164" s="345"/>
      <c r="CX164" s="520" t="str">
        <f>IF(AND($H$64=8,$H$64&lt;9), "Click here when finished 
to go to the next tab",IF(AND($H$64&gt;8,$H$64&lt;&gt;"Please Select"),"Complete the next 
affiliate form to the right ==&gt;",""))</f>
        <v/>
      </c>
      <c r="CY164" s="520"/>
      <c r="CZ164" s="520"/>
      <c r="DA164" s="520"/>
      <c r="DC164" s="88"/>
      <c r="DE164" s="345" t="str">
        <f>IF(AND($H$141&gt;=9, $H$141&lt;&gt;"Please Select"),"                   Type of File:     Adobe Portable Document (.pdf)","")</f>
        <v/>
      </c>
      <c r="DF164" s="345"/>
      <c r="DG164" s="345"/>
      <c r="DH164" s="345"/>
      <c r="DI164" s="345"/>
      <c r="DJ164" s="345"/>
      <c r="DK164" s="520" t="str">
        <f>IF(AND($H$64=9,$H$64&lt;10), "Click here when finished 
to go to the next tab",IF(AND($H$64&gt;9,$H$64&lt;&gt;"Please Select"),"Complete the next 
affiliate form to the right ==&gt;",""))</f>
        <v/>
      </c>
      <c r="DL164" s="520"/>
      <c r="DM164" s="520"/>
      <c r="DN164" s="520"/>
      <c r="DP164" s="88"/>
      <c r="DR164" s="345" t="str">
        <f>IF(AND($H$141&gt;=10, $H$141&lt;&gt;"Please Select"),"                   Type of File:     Adobe Portable Document (.pdf)","")</f>
        <v/>
      </c>
      <c r="DS164" s="345"/>
      <c r="DT164" s="345"/>
      <c r="DU164" s="345"/>
      <c r="DV164" s="345"/>
      <c r="DW164" s="345"/>
      <c r="DX164" s="520" t="str">
        <f>IF($H$141=10, "Click here when finished 
to go to the next tab","")</f>
        <v/>
      </c>
      <c r="DY164" s="520"/>
      <c r="DZ164" s="520"/>
      <c r="EA164" s="520"/>
    </row>
    <row r="165" spans="2:131" s="41" customFormat="1" ht="14.25" x14ac:dyDescent="0.2"/>
    <row r="166" spans="2:131" s="41" customFormat="1" ht="14.25" x14ac:dyDescent="0.2"/>
    <row r="167" spans="2:131" s="41" customFormat="1" ht="24" customHeight="1" x14ac:dyDescent="0.25">
      <c r="B167" s="378" t="s">
        <v>275</v>
      </c>
      <c r="C167" s="378"/>
      <c r="D167" s="378"/>
      <c r="E167" s="378"/>
      <c r="F167" s="378"/>
      <c r="G167" s="378"/>
      <c r="K167" s="64"/>
    </row>
    <row r="170" spans="2:131" ht="27" customHeight="1" x14ac:dyDescent="0.25">
      <c r="B170" s="335" t="str">
        <f>IF('Title Page'!D3&lt;&gt;"Please Select",'Title Page'!D3,"")</f>
        <v/>
      </c>
      <c r="C170" s="335"/>
      <c r="D170" s="335"/>
      <c r="E170" s="335"/>
      <c r="F170" s="335"/>
      <c r="G170" s="335"/>
      <c r="H170" s="335"/>
      <c r="I170" s="335"/>
      <c r="J170" s="335"/>
      <c r="K170" s="335"/>
      <c r="L170" s="335"/>
      <c r="M170" s="335"/>
      <c r="N170" s="335"/>
      <c r="O170" s="335"/>
    </row>
  </sheetData>
  <sheetProtection algorithmName="SHA-512" hashValue="lMqUXCw7ro+wMvz4ViIn7Rtmy2bZGHRHdUpJS7decu+bVoQJGsF176g6h6l/j3vw4aLr9n7QYpZ3tl9Cb5Ka2w==" saltValue="WsiIlLbqWs+CxvAdk8FyrQ==" spinCount="100000" sheet="1" formatRows="0" selectLockedCells="1"/>
  <mergeCells count="4579">
    <mergeCell ref="NE129:NJ129"/>
    <mergeCell ref="NO143:NS143"/>
    <mergeCell ref="B143:F143"/>
    <mergeCell ref="J143:K143"/>
    <mergeCell ref="AB143:AF143"/>
    <mergeCell ref="AO143:AS143"/>
    <mergeCell ref="BB143:BF143"/>
    <mergeCell ref="BO143:BS143"/>
    <mergeCell ref="CB143:CF143"/>
    <mergeCell ref="CO143:CS143"/>
    <mergeCell ref="DB143:DF143"/>
    <mergeCell ref="DO143:DS143"/>
    <mergeCell ref="EB143:EF143"/>
    <mergeCell ref="EO143:ES143"/>
    <mergeCell ref="FB143:FF143"/>
    <mergeCell ref="FO143:FS143"/>
    <mergeCell ref="GB143:GF143"/>
    <mergeCell ref="GO143:GS143"/>
    <mergeCell ref="HB143:HF143"/>
    <mergeCell ref="HO143:HS143"/>
    <mergeCell ref="IB143:IF143"/>
    <mergeCell ref="IO143:IS143"/>
    <mergeCell ref="JB143:JF143"/>
    <mergeCell ref="JO143:JS143"/>
    <mergeCell ref="KB143:KF143"/>
    <mergeCell ref="KO143:KS143"/>
    <mergeCell ref="LB143:LF143"/>
    <mergeCell ref="LO143:LS143"/>
    <mergeCell ref="MB143:MF143"/>
    <mergeCell ref="MO143:MS143"/>
    <mergeCell ref="NB143:NF143"/>
    <mergeCell ref="KR129:KW129"/>
    <mergeCell ref="B138:H138"/>
    <mergeCell ref="JO91:JP91"/>
    <mergeCell ref="KB91:KC91"/>
    <mergeCell ref="KO91:KP91"/>
    <mergeCell ref="LB91:LC91"/>
    <mergeCell ref="LO91:LP91"/>
    <mergeCell ref="MB91:MC91"/>
    <mergeCell ref="MO91:MP91"/>
    <mergeCell ref="NB91:NC91"/>
    <mergeCell ref="MR98:MS98"/>
    <mergeCell ref="LG101:LH101"/>
    <mergeCell ref="LO97:LQ97"/>
    <mergeCell ref="LR97:LS97"/>
    <mergeCell ref="LO98:LQ98"/>
    <mergeCell ref="KE99:KF99"/>
    <mergeCell ref="CB95:CC95"/>
    <mergeCell ref="CO95:CP95"/>
    <mergeCell ref="DB95:DC95"/>
    <mergeCell ref="DO95:DP95"/>
    <mergeCell ref="EB95:EC95"/>
    <mergeCell ref="EO95:EP95"/>
    <mergeCell ref="FB95:FC95"/>
    <mergeCell ref="FO95:FP95"/>
    <mergeCell ref="GO95:GP95"/>
    <mergeCell ref="MT97:MU97"/>
    <mergeCell ref="HB95:HC95"/>
    <mergeCell ref="MR129:MW129"/>
    <mergeCell ref="GD95:GE95"/>
    <mergeCell ref="IT97:IU97"/>
    <mergeCell ref="HO96:HU96"/>
    <mergeCell ref="HR97:HS97"/>
    <mergeCell ref="ME97:MF97"/>
    <mergeCell ref="NO91:NP91"/>
    <mergeCell ref="AD91:AE91"/>
    <mergeCell ref="AQ91:AR91"/>
    <mergeCell ref="BD91:BE91"/>
    <mergeCell ref="BQ91:BR91"/>
    <mergeCell ref="CD91:CE91"/>
    <mergeCell ref="CQ91:CR91"/>
    <mergeCell ref="DD91:DE91"/>
    <mergeCell ref="DQ91:DR91"/>
    <mergeCell ref="ED91:EE91"/>
    <mergeCell ref="EQ91:ER91"/>
    <mergeCell ref="FD91:FE91"/>
    <mergeCell ref="FQ91:FR91"/>
    <mergeCell ref="GD91:GE91"/>
    <mergeCell ref="GQ91:GR91"/>
    <mergeCell ref="HD91:HE91"/>
    <mergeCell ref="HQ91:HR91"/>
    <mergeCell ref="ID91:IE91"/>
    <mergeCell ref="JD91:JE91"/>
    <mergeCell ref="JQ91:JR91"/>
    <mergeCell ref="KD91:KE91"/>
    <mergeCell ref="KQ91:KR91"/>
    <mergeCell ref="CO91:CP91"/>
    <mergeCell ref="BB91:BC91"/>
    <mergeCell ref="BO91:BP91"/>
    <mergeCell ref="AO91:AP91"/>
    <mergeCell ref="IO91:IP91"/>
    <mergeCell ref="JB91:JC91"/>
    <mergeCell ref="LK55:LN55"/>
    <mergeCell ref="KX55:LA55"/>
    <mergeCell ref="KK55:KN55"/>
    <mergeCell ref="JX55:KA55"/>
    <mergeCell ref="JK55:JN55"/>
    <mergeCell ref="CX55:DA55"/>
    <mergeCell ref="JD95:JE95"/>
    <mergeCell ref="FD95:FE95"/>
    <mergeCell ref="DQ95:DR95"/>
    <mergeCell ref="ED95:EE95"/>
    <mergeCell ref="LD92:LE92"/>
    <mergeCell ref="LD93:LE93"/>
    <mergeCell ref="KB95:KC95"/>
    <mergeCell ref="KO95:KP95"/>
    <mergeCell ref="LB95:LC95"/>
    <mergeCell ref="LQ95:LR95"/>
    <mergeCell ref="FX55:GA55"/>
    <mergeCell ref="FK55:FN55"/>
    <mergeCell ref="HD95:HE95"/>
    <mergeCell ref="HQ95:HR95"/>
    <mergeCell ref="HO95:HP95"/>
    <mergeCell ref="HQ93:HR93"/>
    <mergeCell ref="KQ93:KR93"/>
    <mergeCell ref="HE55:HJ55"/>
    <mergeCell ref="KE55:KJ55"/>
    <mergeCell ref="KO64:KS64"/>
    <mergeCell ref="LB64:LF64"/>
    <mergeCell ref="LO64:LS64"/>
    <mergeCell ref="DO66:DS66"/>
    <mergeCell ref="EB66:EF66"/>
    <mergeCell ref="EO66:ES66"/>
    <mergeCell ref="GQ95:GR95"/>
    <mergeCell ref="NK129:NN129"/>
    <mergeCell ref="MX129:NA129"/>
    <mergeCell ref="MK129:MN129"/>
    <mergeCell ref="LX129:MA129"/>
    <mergeCell ref="LK129:LN129"/>
    <mergeCell ref="KX129:LA129"/>
    <mergeCell ref="KK129:KN129"/>
    <mergeCell ref="JX129:KA129"/>
    <mergeCell ref="JK129:JN129"/>
    <mergeCell ref="LP86:LS86"/>
    <mergeCell ref="LQ91:LR91"/>
    <mergeCell ref="MD91:ME91"/>
    <mergeCell ref="MQ91:MR91"/>
    <mergeCell ref="ND91:NE91"/>
    <mergeCell ref="MG99:MH99"/>
    <mergeCell ref="MG100:MH100"/>
    <mergeCell ref="MG101:MH101"/>
    <mergeCell ref="LR98:LS98"/>
    <mergeCell ref="LT97:LU97"/>
    <mergeCell ref="LT98:LU98"/>
    <mergeCell ref="JT97:JU97"/>
    <mergeCell ref="JT98:JU98"/>
    <mergeCell ref="JO95:JP95"/>
    <mergeCell ref="LO95:LP95"/>
    <mergeCell ref="LD91:LE91"/>
    <mergeCell ref="MO95:MP95"/>
    <mergeCell ref="LT116:LU116"/>
    <mergeCell ref="KD92:KE92"/>
    <mergeCell ref="KD93:KE93"/>
    <mergeCell ref="JO97:JQ97"/>
    <mergeCell ref="LG110:LH110"/>
    <mergeCell ref="LO103:LQ103"/>
    <mergeCell ref="MP85:MS85"/>
    <mergeCell ref="MP86:MS86"/>
    <mergeCell ref="MP87:MQ87"/>
    <mergeCell ref="LC85:LF85"/>
    <mergeCell ref="LV84:LY85"/>
    <mergeCell ref="LB96:LH96"/>
    <mergeCell ref="LB97:LD97"/>
    <mergeCell ref="LE97:LF97"/>
    <mergeCell ref="LB98:LD98"/>
    <mergeCell ref="LE98:LF98"/>
    <mergeCell ref="LG97:LH97"/>
    <mergeCell ref="LG98:LH98"/>
    <mergeCell ref="LG99:LH99"/>
    <mergeCell ref="LO101:LQ101"/>
    <mergeCell ref="LR101:LS101"/>
    <mergeCell ref="MO96:MU96"/>
    <mergeCell ref="LP87:LQ87"/>
    <mergeCell ref="MD92:ME92"/>
    <mergeCell ref="MD93:ME93"/>
    <mergeCell ref="MB100:MD100"/>
    <mergeCell ref="ME100:MF100"/>
    <mergeCell ref="MB101:MD101"/>
    <mergeCell ref="ME101:MF101"/>
    <mergeCell ref="MC87:MD87"/>
    <mergeCell ref="MR100:MS100"/>
    <mergeCell ref="MO101:MQ101"/>
    <mergeCell ref="MR101:MS101"/>
    <mergeCell ref="MG98:MH98"/>
    <mergeCell ref="MB96:MH96"/>
    <mergeCell ref="MB97:MD97"/>
    <mergeCell ref="MR97:MS97"/>
    <mergeCell ref="MO97:MQ97"/>
    <mergeCell ref="MB98:MD98"/>
    <mergeCell ref="ME98:MF98"/>
    <mergeCell ref="MB99:MD99"/>
    <mergeCell ref="ME99:MF99"/>
    <mergeCell ref="MG97:MH97"/>
    <mergeCell ref="KO96:KU96"/>
    <mergeCell ref="KO97:KQ97"/>
    <mergeCell ref="KR97:KS97"/>
    <mergeCell ref="KB96:KH96"/>
    <mergeCell ref="KB97:KD97"/>
    <mergeCell ref="KE97:KF97"/>
    <mergeCell ref="KO98:KQ98"/>
    <mergeCell ref="KR98:KS98"/>
    <mergeCell ref="KO99:KQ99"/>
    <mergeCell ref="KR99:KS99"/>
    <mergeCell ref="IG99:IH99"/>
    <mergeCell ref="HO98:HQ98"/>
    <mergeCell ref="HR98:HS98"/>
    <mergeCell ref="HO99:HQ99"/>
    <mergeCell ref="IG98:IH98"/>
    <mergeCell ref="IO99:IQ99"/>
    <mergeCell ref="IT98:IU98"/>
    <mergeCell ref="IR98:IS98"/>
    <mergeCell ref="JB99:JD99"/>
    <mergeCell ref="IT99:IU99"/>
    <mergeCell ref="IO98:IQ98"/>
    <mergeCell ref="IR99:IS99"/>
    <mergeCell ref="JB98:JD98"/>
    <mergeCell ref="HT97:HU97"/>
    <mergeCell ref="HB98:HD98"/>
    <mergeCell ref="HE98:HF98"/>
    <mergeCell ref="IO96:IU96"/>
    <mergeCell ref="JE98:JF98"/>
    <mergeCell ref="JR98:JS98"/>
    <mergeCell ref="JG99:JH99"/>
    <mergeCell ref="LT107:LU107"/>
    <mergeCell ref="LT108:LU108"/>
    <mergeCell ref="LT109:LU109"/>
    <mergeCell ref="LT110:LU110"/>
    <mergeCell ref="MO112:MQ112"/>
    <mergeCell ref="MR112:MS112"/>
    <mergeCell ref="MO113:MQ113"/>
    <mergeCell ref="MR113:MS113"/>
    <mergeCell ref="LT111:LU111"/>
    <mergeCell ref="LO113:LQ113"/>
    <mergeCell ref="LG108:LH108"/>
    <mergeCell ref="LG109:LH109"/>
    <mergeCell ref="LO111:LQ111"/>
    <mergeCell ref="LO112:LQ112"/>
    <mergeCell ref="MG107:MH107"/>
    <mergeCell ref="MG108:MH108"/>
    <mergeCell ref="MG109:MH109"/>
    <mergeCell ref="MG110:MH110"/>
    <mergeCell ref="MO107:MQ107"/>
    <mergeCell ref="MG111:MH111"/>
    <mergeCell ref="MG112:MH112"/>
    <mergeCell ref="LR103:LS103"/>
    <mergeCell ref="LO104:LQ104"/>
    <mergeCell ref="LR104:LS104"/>
    <mergeCell ref="LG105:LH105"/>
    <mergeCell ref="LG102:LH102"/>
    <mergeCell ref="LO117:LQ117"/>
    <mergeCell ref="KT115:KU115"/>
    <mergeCell ref="LR116:LS116"/>
    <mergeCell ref="LO120:LQ120"/>
    <mergeCell ref="KT120:KU120"/>
    <mergeCell ref="LG111:LH111"/>
    <mergeCell ref="IX129:JA129"/>
    <mergeCell ref="IK129:IN129"/>
    <mergeCell ref="HX129:IA129"/>
    <mergeCell ref="HK129:HN129"/>
    <mergeCell ref="GX129:HA129"/>
    <mergeCell ref="GK129:GN129"/>
    <mergeCell ref="MR109:MS109"/>
    <mergeCell ref="MO110:MQ110"/>
    <mergeCell ref="MR110:MS110"/>
    <mergeCell ref="LG113:LH113"/>
    <mergeCell ref="LG114:LH114"/>
    <mergeCell ref="LR113:LS113"/>
    <mergeCell ref="LO114:LQ114"/>
    <mergeCell ref="LR114:LS114"/>
    <mergeCell ref="LT114:LU114"/>
    <mergeCell ref="LR129:LW129"/>
    <mergeCell ref="LE129:LJ129"/>
    <mergeCell ref="JR129:JW129"/>
    <mergeCell ref="KE129:KJ129"/>
    <mergeCell ref="JE129:JJ129"/>
    <mergeCell ref="MG113:MH113"/>
    <mergeCell ref="KR119:KS119"/>
    <mergeCell ref="KO120:KQ120"/>
    <mergeCell ref="JO125:JW125"/>
    <mergeCell ref="KB118:KD118"/>
    <mergeCell ref="KE118:KF118"/>
    <mergeCell ref="FX129:GA129"/>
    <mergeCell ref="ME129:MJ129"/>
    <mergeCell ref="MG114:MH114"/>
    <mergeCell ref="MG115:MH115"/>
    <mergeCell ref="MG116:MH116"/>
    <mergeCell ref="MG117:MH117"/>
    <mergeCell ref="MG118:MH118"/>
    <mergeCell ref="MG119:MH119"/>
    <mergeCell ref="MG120:MH120"/>
    <mergeCell ref="MG121:MH121"/>
    <mergeCell ref="MG122:MH122"/>
    <mergeCell ref="LT115:LU115"/>
    <mergeCell ref="LT113:LU113"/>
    <mergeCell ref="KR112:KS112"/>
    <mergeCell ref="KR110:KS110"/>
    <mergeCell ref="KO110:KQ110"/>
    <mergeCell ref="LE110:LF110"/>
    <mergeCell ref="JT114:JU114"/>
    <mergeCell ref="JT115:JU115"/>
    <mergeCell ref="JT116:JU116"/>
    <mergeCell ref="JT117:JU117"/>
    <mergeCell ref="JT118:JU118"/>
    <mergeCell ref="JT119:JU119"/>
    <mergeCell ref="JT120:JU120"/>
    <mergeCell ref="JT121:JU121"/>
    <mergeCell ref="KO121:KQ121"/>
    <mergeCell ref="LO121:LQ121"/>
    <mergeCell ref="LO128:LP128"/>
    <mergeCell ref="LG117:LH117"/>
    <mergeCell ref="LG118:LH118"/>
    <mergeCell ref="LG119:LH119"/>
    <mergeCell ref="KO119:KQ119"/>
    <mergeCell ref="CX129:DA129"/>
    <mergeCell ref="CK129:CN129"/>
    <mergeCell ref="MG102:MH102"/>
    <mergeCell ref="MG103:MH103"/>
    <mergeCell ref="MG104:MH104"/>
    <mergeCell ref="MG105:MH105"/>
    <mergeCell ref="MG106:MH106"/>
    <mergeCell ref="MB103:MD103"/>
    <mergeCell ref="ME103:MF103"/>
    <mergeCell ref="LT102:LU102"/>
    <mergeCell ref="KO113:KQ113"/>
    <mergeCell ref="KR113:KS113"/>
    <mergeCell ref="KR114:KS114"/>
    <mergeCell ref="KT105:KU105"/>
    <mergeCell ref="KT106:KU106"/>
    <mergeCell ref="KT107:KU107"/>
    <mergeCell ref="KT108:KU108"/>
    <mergeCell ref="KT109:KU109"/>
    <mergeCell ref="KT110:KU110"/>
    <mergeCell ref="KT111:KU111"/>
    <mergeCell ref="LG106:LH106"/>
    <mergeCell ref="EX129:FA129"/>
    <mergeCell ref="EK129:EN129"/>
    <mergeCell ref="DX129:EA129"/>
    <mergeCell ref="IO121:IQ121"/>
    <mergeCell ref="IO119:IQ119"/>
    <mergeCell ref="IR119:IS119"/>
    <mergeCell ref="IO120:IQ120"/>
    <mergeCell ref="IR120:IS120"/>
    <mergeCell ref="IG120:IH120"/>
    <mergeCell ref="IE120:IF120"/>
    <mergeCell ref="IE116:IF116"/>
    <mergeCell ref="HO120:HQ120"/>
    <mergeCell ref="HR120:HS120"/>
    <mergeCell ref="EB117:ED117"/>
    <mergeCell ref="EO119:EQ119"/>
    <mergeCell ref="GT122:GU122"/>
    <mergeCell ref="IR122:IS122"/>
    <mergeCell ref="IB121:ID121"/>
    <mergeCell ref="IB122:ID122"/>
    <mergeCell ref="LG120:LH120"/>
    <mergeCell ref="LG116:LH116"/>
    <mergeCell ref="KB103:KD103"/>
    <mergeCell ref="KE103:KF103"/>
    <mergeCell ref="JT102:JU102"/>
    <mergeCell ref="JT103:JU103"/>
    <mergeCell ref="KG116:KH116"/>
    <mergeCell ref="KO117:KQ117"/>
    <mergeCell ref="KO118:KQ118"/>
    <mergeCell ref="KO111:KQ111"/>
    <mergeCell ref="KO112:KQ112"/>
    <mergeCell ref="JG121:JH121"/>
    <mergeCell ref="JR107:JS107"/>
    <mergeCell ref="JR108:JS108"/>
    <mergeCell ref="JR109:JS109"/>
    <mergeCell ref="KG105:KH105"/>
    <mergeCell ref="KG106:KH106"/>
    <mergeCell ref="KG107:KH107"/>
    <mergeCell ref="KG120:KH120"/>
    <mergeCell ref="KG121:KH121"/>
    <mergeCell ref="JB114:JD114"/>
    <mergeCell ref="HE108:HF108"/>
    <mergeCell ref="HE112:HF112"/>
    <mergeCell ref="HE111:HF111"/>
    <mergeCell ref="HG108:HH108"/>
    <mergeCell ref="HB117:HD117"/>
    <mergeCell ref="HE117:HF117"/>
    <mergeCell ref="HG114:HH114"/>
    <mergeCell ref="GE115:GF115"/>
    <mergeCell ref="GR121:GS121"/>
    <mergeCell ref="HE121:HF121"/>
    <mergeCell ref="GT120:GU120"/>
    <mergeCell ref="JG108:JH108"/>
    <mergeCell ref="JG109:JH109"/>
    <mergeCell ref="JT112:JU112"/>
    <mergeCell ref="HG120:HH120"/>
    <mergeCell ref="IO118:IQ118"/>
    <mergeCell ref="JB120:JD120"/>
    <mergeCell ref="JE120:JF120"/>
    <mergeCell ref="HO109:HQ109"/>
    <mergeCell ref="HO115:HQ115"/>
    <mergeCell ref="HO111:HQ111"/>
    <mergeCell ref="HO119:HQ119"/>
    <mergeCell ref="IG113:IH113"/>
    <mergeCell ref="IG114:IH114"/>
    <mergeCell ref="IG115:IH115"/>
    <mergeCell ref="HE120:HF120"/>
    <mergeCell ref="HB121:HD121"/>
    <mergeCell ref="HE115:HF115"/>
    <mergeCell ref="HB114:HD114"/>
    <mergeCell ref="HB113:HD113"/>
    <mergeCell ref="HE113:HF113"/>
    <mergeCell ref="HG117:HH117"/>
    <mergeCell ref="IT112:IU112"/>
    <mergeCell ref="JE114:JF114"/>
    <mergeCell ref="JG111:JH111"/>
    <mergeCell ref="GT106:GU106"/>
    <mergeCell ref="GT107:GU107"/>
    <mergeCell ref="GT108:GU108"/>
    <mergeCell ref="GG105:GH105"/>
    <mergeCell ref="GO105:GQ105"/>
    <mergeCell ref="GR105:GS105"/>
    <mergeCell ref="GR106:GS106"/>
    <mergeCell ref="GO107:GQ107"/>
    <mergeCell ref="GR107:GS107"/>
    <mergeCell ref="GO119:GQ119"/>
    <mergeCell ref="GO109:GQ109"/>
    <mergeCell ref="GO110:GQ110"/>
    <mergeCell ref="GG118:GH118"/>
    <mergeCell ref="GO115:GQ115"/>
    <mergeCell ref="GO112:GQ112"/>
    <mergeCell ref="GO114:GQ114"/>
    <mergeCell ref="GO106:GQ106"/>
    <mergeCell ref="GG109:GH109"/>
    <mergeCell ref="GG108:GH108"/>
    <mergeCell ref="GO108:GQ108"/>
    <mergeCell ref="NE128:NJ128"/>
    <mergeCell ref="NB114:ND114"/>
    <mergeCell ref="NB115:ND115"/>
    <mergeCell ref="NB116:ND116"/>
    <mergeCell ref="NB117:ND117"/>
    <mergeCell ref="NB118:ND118"/>
    <mergeCell ref="NB119:ND119"/>
    <mergeCell ref="NB120:ND120"/>
    <mergeCell ref="NE120:NF120"/>
    <mergeCell ref="NB121:ND121"/>
    <mergeCell ref="DE118:DF118"/>
    <mergeCell ref="DT119:DU119"/>
    <mergeCell ref="NB128:NC128"/>
    <mergeCell ref="NB110:ND110"/>
    <mergeCell ref="NB112:ND112"/>
    <mergeCell ref="NB113:ND113"/>
    <mergeCell ref="NB125:NJ125"/>
    <mergeCell ref="NE113:NF113"/>
    <mergeCell ref="MT112:MU112"/>
    <mergeCell ref="MT113:MU113"/>
    <mergeCell ref="MR114:MS114"/>
    <mergeCell ref="MT114:MU114"/>
    <mergeCell ref="MR118:MS118"/>
    <mergeCell ref="MO114:MQ114"/>
    <mergeCell ref="MR127:MW127"/>
    <mergeCell ref="MT120:MU120"/>
    <mergeCell ref="DO116:DQ116"/>
    <mergeCell ref="HT118:HU118"/>
    <mergeCell ref="DT114:DU114"/>
    <mergeCell ref="KR120:KS120"/>
    <mergeCell ref="HE119:HF119"/>
    <mergeCell ref="LB110:LD110"/>
    <mergeCell ref="MO128:MP128"/>
    <mergeCell ref="MR128:MW128"/>
    <mergeCell ref="MB128:MC128"/>
    <mergeCell ref="ME128:MJ128"/>
    <mergeCell ref="MB125:MJ125"/>
    <mergeCell ref="ME126:MJ126"/>
    <mergeCell ref="MB127:MC127"/>
    <mergeCell ref="ME127:MJ127"/>
    <mergeCell ref="LB128:LC128"/>
    <mergeCell ref="LE128:LJ128"/>
    <mergeCell ref="LG122:LH122"/>
    <mergeCell ref="LB120:LD120"/>
    <mergeCell ref="LE120:LF120"/>
    <mergeCell ref="LG115:LH115"/>
    <mergeCell ref="GE119:GF119"/>
    <mergeCell ref="MO127:MP127"/>
    <mergeCell ref="GO120:GQ120"/>
    <mergeCell ref="GR120:GS120"/>
    <mergeCell ref="MO115:MQ115"/>
    <mergeCell ref="MO116:MQ116"/>
    <mergeCell ref="MT119:MU119"/>
    <mergeCell ref="MO117:MQ117"/>
    <mergeCell ref="MB118:MD118"/>
    <mergeCell ref="ME118:MF118"/>
    <mergeCell ref="MB119:MD119"/>
    <mergeCell ref="ME119:MF119"/>
    <mergeCell ref="MT115:MU115"/>
    <mergeCell ref="GR119:GS119"/>
    <mergeCell ref="MT116:MU116"/>
    <mergeCell ref="MO118:MQ118"/>
    <mergeCell ref="HB120:HD120"/>
    <mergeCell ref="HB116:HD116"/>
    <mergeCell ref="MR117:MS117"/>
    <mergeCell ref="EE114:EF114"/>
    <mergeCell ref="FB113:FD113"/>
    <mergeCell ref="FE113:FF113"/>
    <mergeCell ref="FB114:FD114"/>
    <mergeCell ref="FE114:FF114"/>
    <mergeCell ref="ET114:EU114"/>
    <mergeCell ref="ET115:EU115"/>
    <mergeCell ref="FO113:FQ113"/>
    <mergeCell ref="EG114:EH114"/>
    <mergeCell ref="EG112:EH112"/>
    <mergeCell ref="EO112:EQ112"/>
    <mergeCell ref="FO107:FQ107"/>
    <mergeCell ref="ER114:ES114"/>
    <mergeCell ref="EG111:EH111"/>
    <mergeCell ref="EE112:EF112"/>
    <mergeCell ref="ER112:ES112"/>
    <mergeCell ref="FG112:FH112"/>
    <mergeCell ref="EE111:EF111"/>
    <mergeCell ref="ET108:EU108"/>
    <mergeCell ref="FE107:FF107"/>
    <mergeCell ref="FG108:FH108"/>
    <mergeCell ref="KG110:KH110"/>
    <mergeCell ref="JT113:JU113"/>
    <mergeCell ref="KG113:KH113"/>
    <mergeCell ref="KG114:KH114"/>
    <mergeCell ref="KG115:KH115"/>
    <mergeCell ref="JR111:JS111"/>
    <mergeCell ref="JE108:JF108"/>
    <mergeCell ref="JB116:JD116"/>
    <mergeCell ref="JE116:JF116"/>
    <mergeCell ref="KB107:KD107"/>
    <mergeCell ref="NR129:NW129"/>
    <mergeCell ref="NO112:NQ112"/>
    <mergeCell ref="NR112:NS112"/>
    <mergeCell ref="NO113:NQ113"/>
    <mergeCell ref="NR113:NS113"/>
    <mergeCell ref="NO114:NQ114"/>
    <mergeCell ref="NR114:NS114"/>
    <mergeCell ref="NO115:NQ115"/>
    <mergeCell ref="NR115:NS115"/>
    <mergeCell ref="NO116:NQ116"/>
    <mergeCell ref="NR116:NS116"/>
    <mergeCell ref="NO117:NQ117"/>
    <mergeCell ref="NR117:NS117"/>
    <mergeCell ref="NO118:NQ118"/>
    <mergeCell ref="NR118:NS118"/>
    <mergeCell ref="NO119:NQ119"/>
    <mergeCell ref="NR119:NS119"/>
    <mergeCell ref="NO128:NP128"/>
    <mergeCell ref="NT114:NU114"/>
    <mergeCell ref="NT115:NU115"/>
    <mergeCell ref="NT116:NU116"/>
    <mergeCell ref="NR128:NW128"/>
    <mergeCell ref="NR126:NW126"/>
    <mergeCell ref="NO125:NW125"/>
    <mergeCell ref="NT122:NU122"/>
    <mergeCell ref="NT117:NU117"/>
    <mergeCell ref="NT118:NU118"/>
    <mergeCell ref="NT119:NU119"/>
    <mergeCell ref="NT113:NU113"/>
    <mergeCell ref="NT120:NU120"/>
    <mergeCell ref="NT121:NU121"/>
    <mergeCell ref="NO121:NQ121"/>
    <mergeCell ref="MO99:MQ99"/>
    <mergeCell ref="MR99:MS99"/>
    <mergeCell ref="MO100:MQ100"/>
    <mergeCell ref="NO127:NP127"/>
    <mergeCell ref="NR127:NW127"/>
    <mergeCell ref="NE126:NJ126"/>
    <mergeCell ref="NB127:NC127"/>
    <mergeCell ref="NE127:NJ127"/>
    <mergeCell ref="NB105:ND105"/>
    <mergeCell ref="MT111:MU111"/>
    <mergeCell ref="MR115:MS115"/>
    <mergeCell ref="MT100:MU100"/>
    <mergeCell ref="MR106:MS106"/>
    <mergeCell ref="MR102:MS102"/>
    <mergeCell ref="MO103:MQ103"/>
    <mergeCell ref="MR103:MS103"/>
    <mergeCell ref="MO104:MQ104"/>
    <mergeCell ref="MO105:MQ105"/>
    <mergeCell ref="MO106:MQ106"/>
    <mergeCell ref="MR104:MS104"/>
    <mergeCell ref="MO102:MQ102"/>
    <mergeCell ref="NT100:NU100"/>
    <mergeCell ref="NT101:NU101"/>
    <mergeCell ref="NB106:ND106"/>
    <mergeCell ref="NE106:NF106"/>
    <mergeCell ref="NB107:ND107"/>
    <mergeCell ref="NE107:NF107"/>
    <mergeCell ref="NB108:ND108"/>
    <mergeCell ref="NE108:NF108"/>
    <mergeCell ref="NB109:ND109"/>
    <mergeCell ref="NE109:NF109"/>
    <mergeCell ref="NR120:NS120"/>
    <mergeCell ref="NV84:NY85"/>
    <mergeCell ref="NP85:NS85"/>
    <mergeCell ref="NP86:NS86"/>
    <mergeCell ref="NP87:NQ87"/>
    <mergeCell ref="NQ92:NR92"/>
    <mergeCell ref="NQ93:NR93"/>
    <mergeCell ref="NO96:NU96"/>
    <mergeCell ref="NO97:NQ97"/>
    <mergeCell ref="NR97:NS97"/>
    <mergeCell ref="LR100:LS100"/>
    <mergeCell ref="JQ95:JR95"/>
    <mergeCell ref="KD95:KE95"/>
    <mergeCell ref="KQ95:KR95"/>
    <mergeCell ref="LD95:LE95"/>
    <mergeCell ref="KB98:KD98"/>
    <mergeCell ref="KE98:KF98"/>
    <mergeCell ref="NG99:NH99"/>
    <mergeCell ref="JP87:JQ87"/>
    <mergeCell ref="NG100:NH100"/>
    <mergeCell ref="NB95:NC95"/>
    <mergeCell ref="NC84:NF84"/>
    <mergeCell ref="NI84:NL85"/>
    <mergeCell ref="NC85:NF85"/>
    <mergeCell ref="NC86:NF86"/>
    <mergeCell ref="NR98:NS98"/>
    <mergeCell ref="NO99:NQ99"/>
    <mergeCell ref="NR99:NS99"/>
    <mergeCell ref="NO100:NQ100"/>
    <mergeCell ref="NR100:NS100"/>
    <mergeCell ref="NG97:NH97"/>
    <mergeCell ref="MP84:MS84"/>
    <mergeCell ref="ND95:NE95"/>
    <mergeCell ref="MV84:MY85"/>
    <mergeCell ref="NQ91:NR91"/>
    <mergeCell ref="KG97:KH97"/>
    <mergeCell ref="KG98:KH98"/>
    <mergeCell ref="KG99:KH99"/>
    <mergeCell ref="KG100:KH100"/>
    <mergeCell ref="JT99:JU99"/>
    <mergeCell ref="NG101:NH101"/>
    <mergeCell ref="NO101:NQ101"/>
    <mergeCell ref="NR101:NS101"/>
    <mergeCell ref="LO102:LQ102"/>
    <mergeCell ref="JT104:JU104"/>
    <mergeCell ref="JR105:JS105"/>
    <mergeCell ref="LT103:LU103"/>
    <mergeCell ref="KT100:KU100"/>
    <mergeCell ref="MB95:MC95"/>
    <mergeCell ref="KT97:KU97"/>
    <mergeCell ref="MD95:ME95"/>
    <mergeCell ref="MQ95:MR95"/>
    <mergeCell ref="KV84:KY85"/>
    <mergeCell ref="MR105:MS105"/>
    <mergeCell ref="KT99:KU99"/>
    <mergeCell ref="KB104:KD104"/>
    <mergeCell ref="KE104:KF104"/>
    <mergeCell ref="KB105:KD105"/>
    <mergeCell ref="LB99:LD99"/>
    <mergeCell ref="KT98:KU98"/>
    <mergeCell ref="MO98:MQ98"/>
    <mergeCell ref="JQ92:JR92"/>
    <mergeCell ref="JQ93:JR93"/>
    <mergeCell ref="JO96:JU96"/>
    <mergeCell ref="NO98:NQ98"/>
    <mergeCell ref="LG100:LH100"/>
    <mergeCell ref="JR97:JS97"/>
    <mergeCell ref="JR106:JS106"/>
    <mergeCell ref="KE100:KF100"/>
    <mergeCell ref="CB102:CD102"/>
    <mergeCell ref="CB106:CD106"/>
    <mergeCell ref="CE104:CF104"/>
    <mergeCell ref="BR101:BS101"/>
    <mergeCell ref="CB103:CD103"/>
    <mergeCell ref="CE103:CF103"/>
    <mergeCell ref="CB104:CD104"/>
    <mergeCell ref="BB100:BD100"/>
    <mergeCell ref="DE102:DF102"/>
    <mergeCell ref="DB103:DD103"/>
    <mergeCell ref="CT97:CU97"/>
    <mergeCell ref="DT97:DU97"/>
    <mergeCell ref="DT98:DU98"/>
    <mergeCell ref="DE105:DF105"/>
    <mergeCell ref="CB105:CD105"/>
    <mergeCell ref="BR105:BS105"/>
    <mergeCell ref="DO106:DQ106"/>
    <mergeCell ref="DR106:DS106"/>
    <mergeCell ref="EO106:EQ106"/>
    <mergeCell ref="EE106:EF106"/>
    <mergeCell ref="GG106:GH106"/>
    <mergeCell ref="JR104:JS104"/>
    <mergeCell ref="KB101:KD101"/>
    <mergeCell ref="JO101:JQ101"/>
    <mergeCell ref="LG103:LH103"/>
    <mergeCell ref="LG104:LH104"/>
    <mergeCell ref="LE99:LF99"/>
    <mergeCell ref="LB100:LD100"/>
    <mergeCell ref="LE100:LF100"/>
    <mergeCell ref="KT102:KU102"/>
    <mergeCell ref="JT100:JU100"/>
    <mergeCell ref="KQ92:KR92"/>
    <mergeCell ref="JB95:JC95"/>
    <mergeCell ref="JG103:JH103"/>
    <mergeCell ref="JG104:JH104"/>
    <mergeCell ref="JG105:JH105"/>
    <mergeCell ref="JG106:JH106"/>
    <mergeCell ref="JG98:JH98"/>
    <mergeCell ref="JO98:JQ98"/>
    <mergeCell ref="JG100:JH100"/>
    <mergeCell ref="LQ92:LR92"/>
    <mergeCell ref="LQ93:LR93"/>
    <mergeCell ref="LO96:LU96"/>
    <mergeCell ref="LE101:LF101"/>
    <mergeCell ref="LB102:LD102"/>
    <mergeCell ref="LE102:LF102"/>
    <mergeCell ref="LB103:LD103"/>
    <mergeCell ref="LE103:LF103"/>
    <mergeCell ref="LB104:LD104"/>
    <mergeCell ref="LE104:LF104"/>
    <mergeCell ref="LB105:LD105"/>
    <mergeCell ref="JB104:JD104"/>
    <mergeCell ref="JE104:JF104"/>
    <mergeCell ref="JO104:JQ104"/>
    <mergeCell ref="JO105:JQ105"/>
    <mergeCell ref="JO106:JQ106"/>
    <mergeCell ref="JD93:JE93"/>
    <mergeCell ref="JB96:JH96"/>
    <mergeCell ref="JB97:JD97"/>
    <mergeCell ref="JE97:JF97"/>
    <mergeCell ref="HD93:HE93"/>
    <mergeCell ref="GD93:GE93"/>
    <mergeCell ref="GG97:GH97"/>
    <mergeCell ref="DG97:DH97"/>
    <mergeCell ref="CQ95:CR95"/>
    <mergeCell ref="JG97:JH97"/>
    <mergeCell ref="ID93:IE93"/>
    <mergeCell ref="DR55:DW55"/>
    <mergeCell ref="FE55:FJ55"/>
    <mergeCell ref="DB61:DH61"/>
    <mergeCell ref="DO61:DU61"/>
    <mergeCell ref="FR55:FW55"/>
    <mergeCell ref="GE55:GJ55"/>
    <mergeCell ref="HR55:HW55"/>
    <mergeCell ref="IQ91:IR91"/>
    <mergeCell ref="DB91:DC91"/>
    <mergeCell ref="DO91:DP91"/>
    <mergeCell ref="EB91:EC91"/>
    <mergeCell ref="GB91:GC91"/>
    <mergeCell ref="IO95:IP95"/>
    <mergeCell ref="IQ95:IR95"/>
    <mergeCell ref="HO97:HQ97"/>
    <mergeCell ref="DD95:DE95"/>
    <mergeCell ref="IB64:IF64"/>
    <mergeCell ref="IB95:IC95"/>
    <mergeCell ref="HB97:HD97"/>
    <mergeCell ref="HE97:HF97"/>
    <mergeCell ref="GB95:GC95"/>
    <mergeCell ref="IQ93:IR93"/>
    <mergeCell ref="FO66:FS66"/>
    <mergeCell ref="GB66:GF66"/>
    <mergeCell ref="GO66:GS66"/>
    <mergeCell ref="NO82:NU82"/>
    <mergeCell ref="NP84:NS84"/>
    <mergeCell ref="NQ95:NR95"/>
    <mergeCell ref="NO95:NP95"/>
    <mergeCell ref="NO105:NQ105"/>
    <mergeCell ref="NR105:NS105"/>
    <mergeCell ref="NO106:NQ106"/>
    <mergeCell ref="NR106:NS106"/>
    <mergeCell ref="NB96:NH96"/>
    <mergeCell ref="NB97:ND97"/>
    <mergeCell ref="NE97:NF97"/>
    <mergeCell ref="MQ92:MR92"/>
    <mergeCell ref="MQ93:MR93"/>
    <mergeCell ref="NO107:NQ107"/>
    <mergeCell ref="NO111:NQ111"/>
    <mergeCell ref="NR107:NS107"/>
    <mergeCell ref="NO108:NQ108"/>
    <mergeCell ref="NR108:NS108"/>
    <mergeCell ref="NG111:NH111"/>
    <mergeCell ref="NR109:NS109"/>
    <mergeCell ref="NO110:NQ110"/>
    <mergeCell ref="NR110:NS110"/>
    <mergeCell ref="NG107:NH107"/>
    <mergeCell ref="NG108:NH108"/>
    <mergeCell ref="NB82:NH82"/>
    <mergeCell ref="NC87:ND87"/>
    <mergeCell ref="ND92:NE92"/>
    <mergeCell ref="ND93:NE93"/>
    <mergeCell ref="NT97:NU97"/>
    <mergeCell ref="NT98:NU98"/>
    <mergeCell ref="NT102:NU102"/>
    <mergeCell ref="NT103:NU103"/>
    <mergeCell ref="NT104:NU104"/>
    <mergeCell ref="NT105:NU105"/>
    <mergeCell ref="NT106:NU106"/>
    <mergeCell ref="NT107:NU107"/>
    <mergeCell ref="NT108:NU108"/>
    <mergeCell ref="NG102:NH102"/>
    <mergeCell ref="NT99:NU99"/>
    <mergeCell ref="NG103:NH103"/>
    <mergeCell ref="NG104:NH104"/>
    <mergeCell ref="NG105:NH105"/>
    <mergeCell ref="NG106:NH106"/>
    <mergeCell ref="NE114:NF114"/>
    <mergeCell ref="NE115:NF115"/>
    <mergeCell ref="NE116:NF116"/>
    <mergeCell ref="NE117:NF117"/>
    <mergeCell ref="NE104:NF104"/>
    <mergeCell ref="NE105:NF105"/>
    <mergeCell ref="NE111:NF111"/>
    <mergeCell ref="NE110:NF110"/>
    <mergeCell ref="NE112:NF112"/>
    <mergeCell ref="NG112:NH112"/>
    <mergeCell ref="NG113:NH113"/>
    <mergeCell ref="NT111:NU111"/>
    <mergeCell ref="NT112:NU112"/>
    <mergeCell ref="NO109:NQ109"/>
    <mergeCell ref="NG109:NH109"/>
    <mergeCell ref="NG110:NH110"/>
    <mergeCell ref="NG114:NH114"/>
    <mergeCell ref="NG115:NH115"/>
    <mergeCell ref="NG116:NH116"/>
    <mergeCell ref="MT98:MU98"/>
    <mergeCell ref="MT99:MU99"/>
    <mergeCell ref="MT117:MU117"/>
    <mergeCell ref="MO125:MW125"/>
    <mergeCell ref="NE103:NF103"/>
    <mergeCell ref="NB104:ND104"/>
    <mergeCell ref="MO111:MQ111"/>
    <mergeCell ref="MR111:MS111"/>
    <mergeCell ref="MO120:MQ120"/>
    <mergeCell ref="MR120:MS120"/>
    <mergeCell ref="MO122:MQ122"/>
    <mergeCell ref="MR122:MS122"/>
    <mergeCell ref="MT118:MU118"/>
    <mergeCell ref="NG98:NH98"/>
    <mergeCell ref="NO102:NQ102"/>
    <mergeCell ref="NR102:NS102"/>
    <mergeCell ref="NO103:NQ103"/>
    <mergeCell ref="NR103:NS103"/>
    <mergeCell ref="NO104:NQ104"/>
    <mergeCell ref="NR104:NS104"/>
    <mergeCell ref="NB98:ND98"/>
    <mergeCell ref="NE98:NF98"/>
    <mergeCell ref="NB103:ND103"/>
    <mergeCell ref="NE118:NF118"/>
    <mergeCell ref="NE119:NF119"/>
    <mergeCell ref="NE121:NF121"/>
    <mergeCell ref="NB122:ND122"/>
    <mergeCell ref="NE122:NF122"/>
    <mergeCell ref="NR121:NS121"/>
    <mergeCell ref="NO122:NQ122"/>
    <mergeCell ref="NR122:NS122"/>
    <mergeCell ref="NO120:NQ120"/>
    <mergeCell ref="NB99:ND99"/>
    <mergeCell ref="NE99:NF99"/>
    <mergeCell ref="NB100:ND100"/>
    <mergeCell ref="NE100:NF100"/>
    <mergeCell ref="NB101:ND101"/>
    <mergeCell ref="NE101:NF101"/>
    <mergeCell ref="NB102:ND102"/>
    <mergeCell ref="NE102:NF102"/>
    <mergeCell ref="NB111:ND111"/>
    <mergeCell ref="MT102:MU102"/>
    <mergeCell ref="MT103:MU103"/>
    <mergeCell ref="MT104:MU104"/>
    <mergeCell ref="MT105:MU105"/>
    <mergeCell ref="MT106:MU106"/>
    <mergeCell ref="MT107:MU107"/>
    <mergeCell ref="MT108:MU108"/>
    <mergeCell ref="MT109:MU109"/>
    <mergeCell ref="MT110:MU110"/>
    <mergeCell ref="MT101:MU101"/>
    <mergeCell ref="MT121:MU121"/>
    <mergeCell ref="MT122:MU122"/>
    <mergeCell ref="MO108:MQ108"/>
    <mergeCell ref="MR108:MS108"/>
    <mergeCell ref="MO109:MQ109"/>
    <mergeCell ref="MR126:MW126"/>
    <mergeCell ref="MO121:MQ121"/>
    <mergeCell ref="MR121:MS121"/>
    <mergeCell ref="MO119:MQ119"/>
    <mergeCell ref="MR119:MS119"/>
    <mergeCell ref="MR116:MS116"/>
    <mergeCell ref="MB111:MD111"/>
    <mergeCell ref="MB112:MD112"/>
    <mergeCell ref="ME104:MF104"/>
    <mergeCell ref="ME105:MF105"/>
    <mergeCell ref="ME106:MF106"/>
    <mergeCell ref="ME107:MF107"/>
    <mergeCell ref="ME108:MF108"/>
    <mergeCell ref="ME109:MF109"/>
    <mergeCell ref="ME110:MF110"/>
    <mergeCell ref="MB113:MD113"/>
    <mergeCell ref="ME113:MF113"/>
    <mergeCell ref="ME112:MF112"/>
    <mergeCell ref="MB114:MD114"/>
    <mergeCell ref="ME114:MF114"/>
    <mergeCell ref="MB115:MD115"/>
    <mergeCell ref="ME115:MF115"/>
    <mergeCell ref="MB116:MD116"/>
    <mergeCell ref="ME116:MF116"/>
    <mergeCell ref="MB117:MD117"/>
    <mergeCell ref="ME117:MF117"/>
    <mergeCell ref="MR107:MS107"/>
    <mergeCell ref="MB102:MD102"/>
    <mergeCell ref="ME102:MF102"/>
    <mergeCell ref="LR122:LS122"/>
    <mergeCell ref="LR120:LS120"/>
    <mergeCell ref="LR111:LS111"/>
    <mergeCell ref="LR112:LS112"/>
    <mergeCell ref="LT117:LU117"/>
    <mergeCell ref="LT118:LU118"/>
    <mergeCell ref="LT119:LU119"/>
    <mergeCell ref="LR118:LS118"/>
    <mergeCell ref="LR119:LS119"/>
    <mergeCell ref="LT106:LU106"/>
    <mergeCell ref="LR102:LS102"/>
    <mergeCell ref="LT104:LU104"/>
    <mergeCell ref="LT112:LU112"/>
    <mergeCell ref="LT120:LU120"/>
    <mergeCell ref="LT121:LU121"/>
    <mergeCell ref="LT122:LU122"/>
    <mergeCell ref="MB104:MD104"/>
    <mergeCell ref="MB105:MD105"/>
    <mergeCell ref="MB106:MD106"/>
    <mergeCell ref="MB107:MD107"/>
    <mergeCell ref="MB108:MD108"/>
    <mergeCell ref="MB109:MD109"/>
    <mergeCell ref="MB110:MD110"/>
    <mergeCell ref="MB120:MD120"/>
    <mergeCell ref="ME120:MF120"/>
    <mergeCell ref="MB121:MD121"/>
    <mergeCell ref="ME121:MF121"/>
    <mergeCell ref="MB122:MD122"/>
    <mergeCell ref="ME122:MF122"/>
    <mergeCell ref="ME111:MF111"/>
    <mergeCell ref="LR128:LW128"/>
    <mergeCell ref="LR121:LS121"/>
    <mergeCell ref="LR126:LW126"/>
    <mergeCell ref="LT100:LU100"/>
    <mergeCell ref="LT99:LU99"/>
    <mergeCell ref="LT101:LU101"/>
    <mergeCell ref="LO127:LP127"/>
    <mergeCell ref="LR127:LW127"/>
    <mergeCell ref="LO125:LW125"/>
    <mergeCell ref="LR106:LS106"/>
    <mergeCell ref="LO107:LQ107"/>
    <mergeCell ref="LR107:LS107"/>
    <mergeCell ref="LO108:LQ108"/>
    <mergeCell ref="LR108:LS108"/>
    <mergeCell ref="LO109:LQ109"/>
    <mergeCell ref="LR109:LS109"/>
    <mergeCell ref="LO110:LQ110"/>
    <mergeCell ref="LR110:LS110"/>
    <mergeCell ref="LO99:LQ99"/>
    <mergeCell ref="LR99:LS99"/>
    <mergeCell ref="LO100:LQ100"/>
    <mergeCell ref="LO105:LQ105"/>
    <mergeCell ref="LR105:LS105"/>
    <mergeCell ref="LT105:LU105"/>
    <mergeCell ref="LR117:LS117"/>
    <mergeCell ref="LO115:LQ115"/>
    <mergeCell ref="LR115:LS115"/>
    <mergeCell ref="LO116:LQ116"/>
    <mergeCell ref="LO122:LQ122"/>
    <mergeCell ref="LO106:LQ106"/>
    <mergeCell ref="LO118:LQ118"/>
    <mergeCell ref="LO119:LQ119"/>
    <mergeCell ref="KO128:KP128"/>
    <mergeCell ref="KR128:KW128"/>
    <mergeCell ref="LB122:LD122"/>
    <mergeCell ref="LE122:LF122"/>
    <mergeCell ref="LE116:LF116"/>
    <mergeCell ref="LE117:LF117"/>
    <mergeCell ref="KT122:KU122"/>
    <mergeCell ref="KT116:KU116"/>
    <mergeCell ref="KR122:KS122"/>
    <mergeCell ref="LB118:LD118"/>
    <mergeCell ref="LB119:LD119"/>
    <mergeCell ref="LE119:LF119"/>
    <mergeCell ref="LB121:LD121"/>
    <mergeCell ref="LE121:LF121"/>
    <mergeCell ref="KT121:KU121"/>
    <mergeCell ref="LE126:LJ126"/>
    <mergeCell ref="LB125:LJ125"/>
    <mergeCell ref="LG121:LH121"/>
    <mergeCell ref="KR121:KS121"/>
    <mergeCell ref="KO122:KQ122"/>
    <mergeCell ref="KR116:KS116"/>
    <mergeCell ref="KR117:KS117"/>
    <mergeCell ref="KR118:KS118"/>
    <mergeCell ref="LB127:LC127"/>
    <mergeCell ref="LE127:LJ127"/>
    <mergeCell ref="KR126:KW126"/>
    <mergeCell ref="KT119:KU119"/>
    <mergeCell ref="KO127:KP127"/>
    <mergeCell ref="KR127:KW127"/>
    <mergeCell ref="KO125:KW125"/>
    <mergeCell ref="LG112:LH112"/>
    <mergeCell ref="LB111:LD111"/>
    <mergeCell ref="LE111:LF111"/>
    <mergeCell ref="LE113:LF113"/>
    <mergeCell ref="LB114:LD114"/>
    <mergeCell ref="LE118:LF118"/>
    <mergeCell ref="KO115:KQ115"/>
    <mergeCell ref="KR115:KS115"/>
    <mergeCell ref="LE115:LF115"/>
    <mergeCell ref="LB116:LD116"/>
    <mergeCell ref="KT117:KU117"/>
    <mergeCell ref="KT118:KU118"/>
    <mergeCell ref="LG107:LH107"/>
    <mergeCell ref="KO116:KQ116"/>
    <mergeCell ref="LE112:LF112"/>
    <mergeCell ref="LE105:LF105"/>
    <mergeCell ref="LB106:LD106"/>
    <mergeCell ref="LE106:LF106"/>
    <mergeCell ref="LB107:LD107"/>
    <mergeCell ref="LE107:LF107"/>
    <mergeCell ref="LB108:LD108"/>
    <mergeCell ref="LE108:LF108"/>
    <mergeCell ref="LB109:LD109"/>
    <mergeCell ref="LE109:LF109"/>
    <mergeCell ref="LB117:LD117"/>
    <mergeCell ref="KO114:KQ114"/>
    <mergeCell ref="KG109:KH109"/>
    <mergeCell ref="KE117:KF117"/>
    <mergeCell ref="KB106:KD106"/>
    <mergeCell ref="KE106:KF106"/>
    <mergeCell ref="LB101:LD101"/>
    <mergeCell ref="LB113:LD113"/>
    <mergeCell ref="LB112:LD112"/>
    <mergeCell ref="KE112:KF112"/>
    <mergeCell ref="KB111:KD111"/>
    <mergeCell ref="KG111:KH111"/>
    <mergeCell ref="KG117:KH117"/>
    <mergeCell ref="LE114:LF114"/>
    <mergeCell ref="LB115:LD115"/>
    <mergeCell ref="KB113:KD113"/>
    <mergeCell ref="KT113:KU113"/>
    <mergeCell ref="KT112:KU112"/>
    <mergeCell ref="KR111:KS111"/>
    <mergeCell ref="KT114:KU114"/>
    <mergeCell ref="KO104:KQ104"/>
    <mergeCell ref="KR104:KS104"/>
    <mergeCell ref="KO105:KQ105"/>
    <mergeCell ref="KR105:KS105"/>
    <mergeCell ref="KO107:KQ107"/>
    <mergeCell ref="KR107:KS107"/>
    <mergeCell ref="KO108:KQ108"/>
    <mergeCell ref="KR108:KS108"/>
    <mergeCell ref="KO109:KQ109"/>
    <mergeCell ref="KG122:KH122"/>
    <mergeCell ref="KO100:KQ100"/>
    <mergeCell ref="KR100:KS100"/>
    <mergeCell ref="KO101:KQ101"/>
    <mergeCell ref="KT101:KU101"/>
    <mergeCell ref="KR101:KS101"/>
    <mergeCell ref="KO102:KQ102"/>
    <mergeCell ref="KR102:KS102"/>
    <mergeCell ref="KO103:KQ103"/>
    <mergeCell ref="KR103:KS103"/>
    <mergeCell ref="KO106:KQ106"/>
    <mergeCell ref="KR106:KS106"/>
    <mergeCell ref="KT103:KU103"/>
    <mergeCell ref="KT104:KU104"/>
    <mergeCell ref="KB122:KD122"/>
    <mergeCell ref="KE122:KF122"/>
    <mergeCell ref="KE107:KF107"/>
    <mergeCell ref="KB108:KD108"/>
    <mergeCell ref="KE108:KF108"/>
    <mergeCell ref="KE109:KF109"/>
    <mergeCell ref="KB110:KD110"/>
    <mergeCell ref="KG119:KH119"/>
    <mergeCell ref="KG118:KH118"/>
    <mergeCell ref="KE120:KF120"/>
    <mergeCell ref="KB119:KD119"/>
    <mergeCell ref="KE119:KF119"/>
    <mergeCell ref="KB102:KD102"/>
    <mergeCell ref="KG104:KH104"/>
    <mergeCell ref="KB109:KD109"/>
    <mergeCell ref="KE113:KF113"/>
    <mergeCell ref="KR109:KS109"/>
    <mergeCell ref="KG108:KH108"/>
    <mergeCell ref="JO113:JQ113"/>
    <mergeCell ref="JO107:JQ107"/>
    <mergeCell ref="JO108:JQ108"/>
    <mergeCell ref="JO110:JQ110"/>
    <mergeCell ref="JR110:JS110"/>
    <mergeCell ref="KE101:KF101"/>
    <mergeCell ref="JR113:JS113"/>
    <mergeCell ref="KB120:KD120"/>
    <mergeCell ref="KE111:KF111"/>
    <mergeCell ref="KB114:KD114"/>
    <mergeCell ref="KE110:KF110"/>
    <mergeCell ref="KE105:KF105"/>
    <mergeCell ref="KB117:KD117"/>
    <mergeCell ref="JR115:JS115"/>
    <mergeCell ref="JO117:JQ117"/>
    <mergeCell ref="JO116:JQ116"/>
    <mergeCell ref="KE116:KF116"/>
    <mergeCell ref="JT105:JU105"/>
    <mergeCell ref="IT122:IU122"/>
    <mergeCell ref="JE107:JF107"/>
    <mergeCell ref="JB112:JD112"/>
    <mergeCell ref="JG114:JH114"/>
    <mergeCell ref="JG115:JH115"/>
    <mergeCell ref="JG118:JH118"/>
    <mergeCell ref="JG119:JH119"/>
    <mergeCell ref="JG120:JH120"/>
    <mergeCell ref="JE112:JF112"/>
    <mergeCell ref="JB111:JD111"/>
    <mergeCell ref="JG122:JH122"/>
    <mergeCell ref="JT122:JU122"/>
    <mergeCell ref="JO122:JQ122"/>
    <mergeCell ref="JR122:JS122"/>
    <mergeCell ref="JB110:JD110"/>
    <mergeCell ref="JE110:JF110"/>
    <mergeCell ref="JB108:JD108"/>
    <mergeCell ref="JB113:JD113"/>
    <mergeCell ref="JE113:JF113"/>
    <mergeCell ref="JG113:JH113"/>
    <mergeCell ref="JG117:JH117"/>
    <mergeCell ref="JB115:JD115"/>
    <mergeCell ref="JG110:JH110"/>
    <mergeCell ref="JG107:JH107"/>
    <mergeCell ref="JG112:JH112"/>
    <mergeCell ref="IT121:IU121"/>
    <mergeCell ref="JB121:JD121"/>
    <mergeCell ref="JE121:JF121"/>
    <mergeCell ref="JB119:JD119"/>
    <mergeCell ref="JE119:JF119"/>
    <mergeCell ref="JR116:JS116"/>
    <mergeCell ref="JO112:JQ112"/>
    <mergeCell ref="JE127:JJ127"/>
    <mergeCell ref="KB128:KC128"/>
    <mergeCell ref="KE128:KJ128"/>
    <mergeCell ref="KB115:KD115"/>
    <mergeCell ref="KE115:KF115"/>
    <mergeCell ref="KB121:KD121"/>
    <mergeCell ref="KE121:KF121"/>
    <mergeCell ref="KG112:KH112"/>
    <mergeCell ref="JT110:JU110"/>
    <mergeCell ref="JT111:JU111"/>
    <mergeCell ref="JR101:JS101"/>
    <mergeCell ref="JO102:JQ102"/>
    <mergeCell ref="JR102:JS102"/>
    <mergeCell ref="JO103:JQ103"/>
    <mergeCell ref="JR103:JS103"/>
    <mergeCell ref="JO114:JQ114"/>
    <mergeCell ref="JR114:JS114"/>
    <mergeCell ref="JO115:JQ115"/>
    <mergeCell ref="JO127:JP127"/>
    <mergeCell ref="JR127:JW127"/>
    <mergeCell ref="JR112:JS112"/>
    <mergeCell ref="JO121:JQ121"/>
    <mergeCell ref="JO111:JQ111"/>
    <mergeCell ref="JO128:JP128"/>
    <mergeCell ref="JR117:JS117"/>
    <mergeCell ref="JO118:JQ118"/>
    <mergeCell ref="JR118:JS118"/>
    <mergeCell ref="JO119:JQ119"/>
    <mergeCell ref="JR119:JS119"/>
    <mergeCell ref="JO120:JQ120"/>
    <mergeCell ref="JR120:JS120"/>
    <mergeCell ref="JR128:JW128"/>
    <mergeCell ref="IO100:IQ100"/>
    <mergeCell ref="KB127:KC127"/>
    <mergeCell ref="KE127:KJ127"/>
    <mergeCell ref="KE114:KF114"/>
    <mergeCell ref="KE102:KF102"/>
    <mergeCell ref="JT101:JU101"/>
    <mergeCell ref="JO109:JQ109"/>
    <mergeCell ref="JR126:JW126"/>
    <mergeCell ref="JG116:JH116"/>
    <mergeCell ref="JB125:JJ125"/>
    <mergeCell ref="JE126:JJ126"/>
    <mergeCell ref="JB103:JD103"/>
    <mergeCell ref="JE103:JF103"/>
    <mergeCell ref="IR116:IS116"/>
    <mergeCell ref="IR117:IS117"/>
    <mergeCell ref="KG101:KH101"/>
    <mergeCell ref="KG102:KH102"/>
    <mergeCell ref="KG103:KH103"/>
    <mergeCell ref="JT106:JU106"/>
    <mergeCell ref="JT107:JU107"/>
    <mergeCell ref="JT108:JU108"/>
    <mergeCell ref="JT109:JU109"/>
    <mergeCell ref="KB116:KD116"/>
    <mergeCell ref="KE126:KJ126"/>
    <mergeCell ref="JR121:JS121"/>
    <mergeCell ref="IR109:IS109"/>
    <mergeCell ref="JE111:JF111"/>
    <mergeCell ref="IR121:IS121"/>
    <mergeCell ref="IR118:IS118"/>
    <mergeCell ref="KB125:KJ125"/>
    <mergeCell ref="KB112:KD112"/>
    <mergeCell ref="JB127:JC127"/>
    <mergeCell ref="IT107:IU107"/>
    <mergeCell ref="IT108:IU108"/>
    <mergeCell ref="IT109:IU109"/>
    <mergeCell ref="IT110:IU110"/>
    <mergeCell ref="IT111:IU111"/>
    <mergeCell ref="IR111:IS111"/>
    <mergeCell ref="IR107:IS107"/>
    <mergeCell ref="IR110:IS110"/>
    <mergeCell ref="IR105:IS105"/>
    <mergeCell ref="JE99:JF99"/>
    <mergeCell ref="JB100:JD100"/>
    <mergeCell ref="IR103:IS103"/>
    <mergeCell ref="JB105:JD105"/>
    <mergeCell ref="JE105:JF105"/>
    <mergeCell ref="JB106:JD106"/>
    <mergeCell ref="JE106:JF106"/>
    <mergeCell ref="JB107:JD107"/>
    <mergeCell ref="JG101:JH101"/>
    <mergeCell ref="JG102:JH102"/>
    <mergeCell ref="IR127:IW127"/>
    <mergeCell ref="IR106:IS106"/>
    <mergeCell ref="JE100:JF100"/>
    <mergeCell ref="JB101:JD101"/>
    <mergeCell ref="JE101:JF101"/>
    <mergeCell ref="JB102:JD102"/>
    <mergeCell ref="IR129:IW129"/>
    <mergeCell ref="IT101:IU101"/>
    <mergeCell ref="JE102:JF102"/>
    <mergeCell ref="IR113:IS113"/>
    <mergeCell ref="IT113:IU113"/>
    <mergeCell ref="IT114:IU114"/>
    <mergeCell ref="IT115:IU115"/>
    <mergeCell ref="IT116:IU116"/>
    <mergeCell ref="IB127:IC127"/>
    <mergeCell ref="IE122:IF122"/>
    <mergeCell ref="IG122:IH122"/>
    <mergeCell ref="IR115:IS115"/>
    <mergeCell ref="IB102:ID102"/>
    <mergeCell ref="IO108:IQ108"/>
    <mergeCell ref="IO109:IQ109"/>
    <mergeCell ref="JB128:JC128"/>
    <mergeCell ref="JE128:JJ128"/>
    <mergeCell ref="JB122:JD122"/>
    <mergeCell ref="JE122:JF122"/>
    <mergeCell ref="IE121:IF121"/>
    <mergeCell ref="IG116:IH116"/>
    <mergeCell ref="IE102:IF102"/>
    <mergeCell ref="IE105:IF105"/>
    <mergeCell ref="IO115:IQ115"/>
    <mergeCell ref="IO125:IW125"/>
    <mergeCell ref="IO103:IQ103"/>
    <mergeCell ref="IO122:IQ122"/>
    <mergeCell ref="IO111:IQ111"/>
    <mergeCell ref="IO106:IQ106"/>
    <mergeCell ref="IO101:IQ101"/>
    <mergeCell ref="IO112:IQ112"/>
    <mergeCell ref="IR108:IS108"/>
    <mergeCell ref="IR114:IS114"/>
    <mergeCell ref="JE115:JF115"/>
    <mergeCell ref="IR104:IS104"/>
    <mergeCell ref="IT100:IU100"/>
    <mergeCell ref="IT102:IU102"/>
    <mergeCell ref="IT103:IU103"/>
    <mergeCell ref="IT104:IU104"/>
    <mergeCell ref="IT117:IU117"/>
    <mergeCell ref="IT118:IU118"/>
    <mergeCell ref="IT119:IU119"/>
    <mergeCell ref="IT120:IU120"/>
    <mergeCell ref="IO116:IQ116"/>
    <mergeCell ref="IO117:IQ117"/>
    <mergeCell ref="JB109:JD109"/>
    <mergeCell ref="JE109:JF109"/>
    <mergeCell ref="JB117:JD117"/>
    <mergeCell ref="JE117:JF117"/>
    <mergeCell ref="JB118:JD118"/>
    <mergeCell ref="JE118:JF118"/>
    <mergeCell ref="IO110:IQ110"/>
    <mergeCell ref="IO105:IQ105"/>
    <mergeCell ref="IO113:IQ113"/>
    <mergeCell ref="IT105:IU105"/>
    <mergeCell ref="IT106:IU106"/>
    <mergeCell ref="IR126:IW126"/>
    <mergeCell ref="IG107:IH107"/>
    <mergeCell ref="IO107:IQ107"/>
    <mergeCell ref="IB96:IH96"/>
    <mergeCell ref="IB97:ID97"/>
    <mergeCell ref="IE97:IF97"/>
    <mergeCell ref="IB98:ID98"/>
    <mergeCell ref="IE98:IF98"/>
    <mergeCell ref="IE100:IF100"/>
    <mergeCell ref="IG97:IH97"/>
    <mergeCell ref="IO128:IP128"/>
    <mergeCell ref="IR128:IW128"/>
    <mergeCell ref="IB119:ID119"/>
    <mergeCell ref="IE119:IF119"/>
    <mergeCell ref="IB120:ID120"/>
    <mergeCell ref="IG118:IH118"/>
    <mergeCell ref="IG119:IH119"/>
    <mergeCell ref="IG106:IH106"/>
    <mergeCell ref="IE115:IF115"/>
    <mergeCell ref="IB116:ID116"/>
    <mergeCell ref="IB106:ID106"/>
    <mergeCell ref="IG108:IH108"/>
    <mergeCell ref="IE118:IF118"/>
    <mergeCell ref="IE108:IF108"/>
    <mergeCell ref="IO102:IQ102"/>
    <mergeCell ref="IR102:IS102"/>
    <mergeCell ref="IE111:IF111"/>
    <mergeCell ref="IG111:IH111"/>
    <mergeCell ref="IO97:IQ97"/>
    <mergeCell ref="IR97:IS97"/>
    <mergeCell ref="IO114:IQ114"/>
    <mergeCell ref="IO104:IQ104"/>
    <mergeCell ref="IO127:IP127"/>
    <mergeCell ref="IR101:IS101"/>
    <mergeCell ref="IR100:IS100"/>
    <mergeCell ref="HO112:HQ112"/>
    <mergeCell ref="HR112:HS112"/>
    <mergeCell ref="HO113:HQ113"/>
    <mergeCell ref="HR113:HS113"/>
    <mergeCell ref="HO114:HQ114"/>
    <mergeCell ref="HR114:HS114"/>
    <mergeCell ref="HR115:HS115"/>
    <mergeCell ref="HO116:HQ116"/>
    <mergeCell ref="HR108:HS108"/>
    <mergeCell ref="HR118:HS118"/>
    <mergeCell ref="HT109:HU109"/>
    <mergeCell ref="HR109:HS109"/>
    <mergeCell ref="HR116:HS116"/>
    <mergeCell ref="HR110:HS110"/>
    <mergeCell ref="HR127:HW127"/>
    <mergeCell ref="HR119:HS119"/>
    <mergeCell ref="HT108:HU108"/>
    <mergeCell ref="HO108:HQ108"/>
    <mergeCell ref="HO118:HQ118"/>
    <mergeCell ref="HO117:HQ117"/>
    <mergeCell ref="HR117:HS117"/>
    <mergeCell ref="HT114:HU114"/>
    <mergeCell ref="HT115:HU115"/>
    <mergeCell ref="HR126:HW126"/>
    <mergeCell ref="HO121:HQ121"/>
    <mergeCell ref="HR121:HS121"/>
    <mergeCell ref="HO110:HQ110"/>
    <mergeCell ref="HT111:HU111"/>
    <mergeCell ref="HT112:HU112"/>
    <mergeCell ref="IB101:ID101"/>
    <mergeCell ref="IE101:IF101"/>
    <mergeCell ref="HT106:HU106"/>
    <mergeCell ref="HT107:HU107"/>
    <mergeCell ref="HT102:HU102"/>
    <mergeCell ref="HR129:HW129"/>
    <mergeCell ref="HT120:HU120"/>
    <mergeCell ref="HT121:HU121"/>
    <mergeCell ref="HT122:HU122"/>
    <mergeCell ref="IB108:ID108"/>
    <mergeCell ref="IB109:ID109"/>
    <mergeCell ref="IB110:ID110"/>
    <mergeCell ref="IB111:ID111"/>
    <mergeCell ref="IB112:ID112"/>
    <mergeCell ref="HR106:HS106"/>
    <mergeCell ref="HR105:HS105"/>
    <mergeCell ref="HR101:HS101"/>
    <mergeCell ref="HT104:HU104"/>
    <mergeCell ref="HR107:HS107"/>
    <mergeCell ref="IE129:IJ129"/>
    <mergeCell ref="IG109:IH109"/>
    <mergeCell ref="IG110:IH110"/>
    <mergeCell ref="IG101:IH101"/>
    <mergeCell ref="IG102:IH102"/>
    <mergeCell ref="IG112:IH112"/>
    <mergeCell ref="HT105:HU105"/>
    <mergeCell ref="IB105:ID105"/>
    <mergeCell ref="IB103:ID103"/>
    <mergeCell ref="IG100:IH100"/>
    <mergeCell ref="IE126:IJ126"/>
    <mergeCell ref="IE106:IF106"/>
    <mergeCell ref="IG121:IH121"/>
    <mergeCell ref="IG117:IH117"/>
    <mergeCell ref="IB117:ID117"/>
    <mergeCell ref="IE117:IF117"/>
    <mergeCell ref="IB118:ID118"/>
    <mergeCell ref="HO102:HQ102"/>
    <mergeCell ref="HO103:HQ103"/>
    <mergeCell ref="HO104:HQ104"/>
    <mergeCell ref="HO107:HQ107"/>
    <mergeCell ref="HO106:HQ106"/>
    <mergeCell ref="HR102:HS102"/>
    <mergeCell ref="HT116:HU116"/>
    <mergeCell ref="HG116:HH116"/>
    <mergeCell ref="ID95:IE95"/>
    <mergeCell ref="IB99:ID99"/>
    <mergeCell ref="IE99:IF99"/>
    <mergeCell ref="IB100:ID100"/>
    <mergeCell ref="IG105:IH105"/>
    <mergeCell ref="IE112:IF112"/>
    <mergeCell ref="IE109:IF109"/>
    <mergeCell ref="HT98:HU98"/>
    <mergeCell ref="IB113:ID113"/>
    <mergeCell ref="IE113:IF113"/>
    <mergeCell ref="IB114:ID114"/>
    <mergeCell ref="IE114:IF114"/>
    <mergeCell ref="IB115:ID115"/>
    <mergeCell ref="IE110:IF110"/>
    <mergeCell ref="IG103:IH103"/>
    <mergeCell ref="IG104:IH104"/>
    <mergeCell ref="GO99:GQ99"/>
    <mergeCell ref="GR99:GS99"/>
    <mergeCell ref="GO100:GQ100"/>
    <mergeCell ref="GR100:GS100"/>
    <mergeCell ref="HO100:HQ100"/>
    <mergeCell ref="HR100:HS100"/>
    <mergeCell ref="HO101:HQ101"/>
    <mergeCell ref="GT101:GU101"/>
    <mergeCell ref="GT97:GU97"/>
    <mergeCell ref="IB128:IC128"/>
    <mergeCell ref="HO125:HW125"/>
    <mergeCell ref="IB125:IJ125"/>
    <mergeCell ref="HT119:HU119"/>
    <mergeCell ref="HO122:HQ122"/>
    <mergeCell ref="HR122:HS122"/>
    <mergeCell ref="HT110:HU110"/>
    <mergeCell ref="IE127:IJ127"/>
    <mergeCell ref="IE128:IJ128"/>
    <mergeCell ref="HO127:HP127"/>
    <mergeCell ref="HT113:HU113"/>
    <mergeCell ref="HR111:HS111"/>
    <mergeCell ref="HT117:HU117"/>
    <mergeCell ref="HO128:HP128"/>
    <mergeCell ref="HR128:HW128"/>
    <mergeCell ref="IE103:IF103"/>
    <mergeCell ref="IB104:ID104"/>
    <mergeCell ref="IE104:IF104"/>
    <mergeCell ref="IB107:ID107"/>
    <mergeCell ref="IE107:IF107"/>
    <mergeCell ref="HO105:HQ105"/>
    <mergeCell ref="HG118:HH118"/>
    <mergeCell ref="HE126:HJ126"/>
    <mergeCell ref="HB96:HH96"/>
    <mergeCell ref="HG103:HH103"/>
    <mergeCell ref="HB99:HD99"/>
    <mergeCell ref="HE99:HF99"/>
    <mergeCell ref="HB100:HD100"/>
    <mergeCell ref="HE100:HF100"/>
    <mergeCell ref="HG104:HH104"/>
    <mergeCell ref="HG105:HH105"/>
    <mergeCell ref="HG106:HH106"/>
    <mergeCell ref="HG107:HH107"/>
    <mergeCell ref="HG102:HH102"/>
    <mergeCell ref="GT102:GU102"/>
    <mergeCell ref="GT103:GU103"/>
    <mergeCell ref="GT104:GU104"/>
    <mergeCell ref="GT105:GU105"/>
    <mergeCell ref="HB102:HD102"/>
    <mergeCell ref="HE102:HF102"/>
    <mergeCell ref="HE107:HF107"/>
    <mergeCell ref="HE104:HF104"/>
    <mergeCell ref="HE105:HF105"/>
    <mergeCell ref="HE106:HF106"/>
    <mergeCell ref="HB103:HD103"/>
    <mergeCell ref="GO96:GU96"/>
    <mergeCell ref="GO97:GQ97"/>
    <mergeCell ref="GR97:GS97"/>
    <mergeCell ref="HG97:HH97"/>
    <mergeCell ref="HE103:HF103"/>
    <mergeCell ref="GO98:GQ98"/>
    <mergeCell ref="GR98:GS98"/>
    <mergeCell ref="HB101:HD101"/>
    <mergeCell ref="HE101:HF101"/>
    <mergeCell ref="HG98:HH98"/>
    <mergeCell ref="GB128:GC128"/>
    <mergeCell ref="GE128:GJ128"/>
    <mergeCell ref="GE129:GJ129"/>
    <mergeCell ref="HB128:HC128"/>
    <mergeCell ref="GT98:GU98"/>
    <mergeCell ref="GT99:GU99"/>
    <mergeCell ref="GT100:GU100"/>
    <mergeCell ref="GG116:GH116"/>
    <mergeCell ref="GB113:GD113"/>
    <mergeCell ref="GE113:GF113"/>
    <mergeCell ref="GB114:GD114"/>
    <mergeCell ref="GE114:GF114"/>
    <mergeCell ref="GB105:GD105"/>
    <mergeCell ref="GE105:GF105"/>
    <mergeCell ref="GB106:GD106"/>
    <mergeCell ref="GE106:GF106"/>
    <mergeCell ref="GB107:GD107"/>
    <mergeCell ref="GE107:GF107"/>
    <mergeCell ref="GB108:GD108"/>
    <mergeCell ref="GE108:GF108"/>
    <mergeCell ref="GB116:GD116"/>
    <mergeCell ref="GB109:GD109"/>
    <mergeCell ref="GB115:GD115"/>
    <mergeCell ref="GB112:GD112"/>
    <mergeCell ref="GB120:GD120"/>
    <mergeCell ref="GE120:GF120"/>
    <mergeCell ref="HB104:HD104"/>
    <mergeCell ref="HB105:HD105"/>
    <mergeCell ref="HB106:HD106"/>
    <mergeCell ref="HB107:HD107"/>
    <mergeCell ref="HB108:HD108"/>
    <mergeCell ref="HB109:HD109"/>
    <mergeCell ref="HE129:HJ129"/>
    <mergeCell ref="GT114:GU114"/>
    <mergeCell ref="GT115:GU115"/>
    <mergeCell ref="GT116:GU116"/>
    <mergeCell ref="GT117:GU117"/>
    <mergeCell ref="GT118:GU118"/>
    <mergeCell ref="HG109:HH109"/>
    <mergeCell ref="HG110:HH110"/>
    <mergeCell ref="HG111:HH111"/>
    <mergeCell ref="HG112:HH112"/>
    <mergeCell ref="HG113:HH113"/>
    <mergeCell ref="GB117:GD117"/>
    <mergeCell ref="GO116:GQ116"/>
    <mergeCell ref="GR116:GS116"/>
    <mergeCell ref="GO117:GQ117"/>
    <mergeCell ref="GR117:GS117"/>
    <mergeCell ref="GE116:GF116"/>
    <mergeCell ref="GG117:GH117"/>
    <mergeCell ref="GG114:GH114"/>
    <mergeCell ref="GR112:GS112"/>
    <mergeCell ref="GR113:GS113"/>
    <mergeCell ref="GR114:GS114"/>
    <mergeCell ref="GO127:GP127"/>
    <mergeCell ref="HE128:HJ128"/>
    <mergeCell ref="HG122:HH122"/>
    <mergeCell ref="GO121:GQ121"/>
    <mergeCell ref="GO125:GW125"/>
    <mergeCell ref="GR126:GW126"/>
    <mergeCell ref="GT119:GU119"/>
    <mergeCell ref="GO128:GP128"/>
    <mergeCell ref="GR128:GW128"/>
    <mergeCell ref="GR129:GW129"/>
    <mergeCell ref="HB122:HD122"/>
    <mergeCell ref="HE122:HF122"/>
    <mergeCell ref="GO122:GQ122"/>
    <mergeCell ref="GR122:GS122"/>
    <mergeCell ref="GT109:GU109"/>
    <mergeCell ref="GT110:GU110"/>
    <mergeCell ref="GT111:GU111"/>
    <mergeCell ref="GT112:GU112"/>
    <mergeCell ref="GG120:GH120"/>
    <mergeCell ref="GG121:GH121"/>
    <mergeCell ref="GG119:GH119"/>
    <mergeCell ref="GB118:GD118"/>
    <mergeCell ref="GE118:GF118"/>
    <mergeCell ref="GB119:GD119"/>
    <mergeCell ref="GO113:GQ113"/>
    <mergeCell ref="HB118:HD118"/>
    <mergeCell ref="HE114:HF114"/>
    <mergeCell ref="HB110:HD110"/>
    <mergeCell ref="HE118:HF118"/>
    <mergeCell ref="HE116:HF116"/>
    <mergeCell ref="GE110:GF110"/>
    <mergeCell ref="HE109:HF109"/>
    <mergeCell ref="GE117:GF117"/>
    <mergeCell ref="GR115:GS115"/>
    <mergeCell ref="HB112:HD112"/>
    <mergeCell ref="HB111:HD111"/>
    <mergeCell ref="HB115:HD115"/>
    <mergeCell ref="HB119:HD119"/>
    <mergeCell ref="DB127:DC127"/>
    <mergeCell ref="HG115:HH115"/>
    <mergeCell ref="HB125:HJ125"/>
    <mergeCell ref="HG121:HH121"/>
    <mergeCell ref="GT121:GU121"/>
    <mergeCell ref="HE110:HF110"/>
    <mergeCell ref="GG112:GH112"/>
    <mergeCell ref="GE109:GF109"/>
    <mergeCell ref="GG115:GH115"/>
    <mergeCell ref="GO118:GQ118"/>
    <mergeCell ref="GR118:GS118"/>
    <mergeCell ref="HG119:HH119"/>
    <mergeCell ref="CR121:CS121"/>
    <mergeCell ref="FE106:FF106"/>
    <mergeCell ref="ER120:ES120"/>
    <mergeCell ref="EO120:EQ120"/>
    <mergeCell ref="DT118:DU118"/>
    <mergeCell ref="CT121:CU121"/>
    <mergeCell ref="EO110:EQ110"/>
    <mergeCell ref="FG109:FH109"/>
    <mergeCell ref="ER107:ES107"/>
    <mergeCell ref="FB110:FD110"/>
    <mergeCell ref="FO110:FQ110"/>
    <mergeCell ref="FT110:FU110"/>
    <mergeCell ref="FT108:FU108"/>
    <mergeCell ref="FT109:FU109"/>
    <mergeCell ref="FR106:FS106"/>
    <mergeCell ref="FR109:FS109"/>
    <mergeCell ref="GG107:GH107"/>
    <mergeCell ref="GB110:GD110"/>
    <mergeCell ref="FT106:FU106"/>
    <mergeCell ref="FE111:FF111"/>
    <mergeCell ref="GR127:GW127"/>
    <mergeCell ref="GB122:GD122"/>
    <mergeCell ref="GE122:GF122"/>
    <mergeCell ref="GG122:GH122"/>
    <mergeCell ref="GB121:GD121"/>
    <mergeCell ref="GE121:GF121"/>
    <mergeCell ref="FR114:FS114"/>
    <mergeCell ref="GB125:GJ125"/>
    <mergeCell ref="GE126:GJ126"/>
    <mergeCell ref="ET116:EU116"/>
    <mergeCell ref="ET112:EU112"/>
    <mergeCell ref="ER115:ES115"/>
    <mergeCell ref="FE126:FJ126"/>
    <mergeCell ref="EO115:EQ115"/>
    <mergeCell ref="FO111:FQ111"/>
    <mergeCell ref="FT111:FU111"/>
    <mergeCell ref="FG120:FH120"/>
    <mergeCell ref="FT121:FU121"/>
    <mergeCell ref="FT118:FU118"/>
    <mergeCell ref="FT119:FU119"/>
    <mergeCell ref="GG111:GH111"/>
    <mergeCell ref="GG113:GH113"/>
    <mergeCell ref="FO119:FQ119"/>
    <mergeCell ref="FR118:FS118"/>
    <mergeCell ref="FR119:FS119"/>
    <mergeCell ref="GE112:GF112"/>
    <mergeCell ref="FO112:FQ112"/>
    <mergeCell ref="ER118:ES118"/>
    <mergeCell ref="EO114:EQ114"/>
    <mergeCell ref="FE115:FF115"/>
    <mergeCell ref="ER126:EW126"/>
    <mergeCell ref="ET122:EU122"/>
    <mergeCell ref="GG98:GH98"/>
    <mergeCell ref="GG99:GH99"/>
    <mergeCell ref="FG121:FH121"/>
    <mergeCell ref="FG122:FH122"/>
    <mergeCell ref="FB121:FD121"/>
    <mergeCell ref="FB122:FD122"/>
    <mergeCell ref="DR116:DS116"/>
    <mergeCell ref="DB115:DD115"/>
    <mergeCell ref="DE115:DF115"/>
    <mergeCell ref="EG113:EH113"/>
    <mergeCell ref="DO115:DQ115"/>
    <mergeCell ref="DO114:DQ114"/>
    <mergeCell ref="DT120:DU120"/>
    <mergeCell ref="EO122:EQ122"/>
    <mergeCell ref="ER122:ES122"/>
    <mergeCell ref="EB116:ED116"/>
    <mergeCell ref="DR117:DS117"/>
    <mergeCell ref="DO118:DQ118"/>
    <mergeCell ref="DR118:DS118"/>
    <mergeCell ref="DT115:DU115"/>
    <mergeCell ref="EE116:EF116"/>
    <mergeCell ref="EB115:ED115"/>
    <mergeCell ref="EE117:EF117"/>
    <mergeCell ref="EE115:EF115"/>
    <mergeCell ref="DG116:DH116"/>
    <mergeCell ref="DG118:DH118"/>
    <mergeCell ref="DE121:DF121"/>
    <mergeCell ref="DG117:DH117"/>
    <mergeCell ref="DR121:DS121"/>
    <mergeCell ref="DO120:DQ120"/>
    <mergeCell ref="FG117:FH117"/>
    <mergeCell ref="DR114:DS114"/>
    <mergeCell ref="GQ93:GR93"/>
    <mergeCell ref="GB96:GH96"/>
    <mergeCell ref="ER106:ES106"/>
    <mergeCell ref="EO107:EQ107"/>
    <mergeCell ref="EO108:EQ108"/>
    <mergeCell ref="ET100:EU100"/>
    <mergeCell ref="ET101:EU101"/>
    <mergeCell ref="ET102:EU102"/>
    <mergeCell ref="EB106:ED106"/>
    <mergeCell ref="GR110:GS110"/>
    <mergeCell ref="GR104:GS104"/>
    <mergeCell ref="GR108:GS108"/>
    <mergeCell ref="GR109:GS109"/>
    <mergeCell ref="DR102:DS102"/>
    <mergeCell ref="EE101:EF101"/>
    <mergeCell ref="DT101:DU101"/>
    <mergeCell ref="DT102:DU102"/>
    <mergeCell ref="FR110:FS110"/>
    <mergeCell ref="GG110:GH110"/>
    <mergeCell ref="GG101:GH101"/>
    <mergeCell ref="GG102:GH102"/>
    <mergeCell ref="EG109:EH109"/>
    <mergeCell ref="EG110:EH110"/>
    <mergeCell ref="GE98:GF98"/>
    <mergeCell ref="EE109:EF109"/>
    <mergeCell ref="ET109:EU109"/>
    <mergeCell ref="GO104:GQ104"/>
    <mergeCell ref="GG103:GH103"/>
    <mergeCell ref="GB99:GD99"/>
    <mergeCell ref="FQ95:FR95"/>
    <mergeCell ref="FT102:FU102"/>
    <mergeCell ref="FT103:FU103"/>
    <mergeCell ref="BO128:BP128"/>
    <mergeCell ref="BR128:BW128"/>
    <mergeCell ref="BB118:BD118"/>
    <mergeCell ref="CG120:CH120"/>
    <mergeCell ref="CG121:CH121"/>
    <mergeCell ref="BE129:BJ129"/>
    <mergeCell ref="BB128:BC128"/>
    <mergeCell ref="BE128:BJ128"/>
    <mergeCell ref="BR115:BS115"/>
    <mergeCell ref="BR111:BS111"/>
    <mergeCell ref="BB114:BD114"/>
    <mergeCell ref="BE115:BF115"/>
    <mergeCell ref="DG104:DH104"/>
    <mergeCell ref="DO105:DQ105"/>
    <mergeCell ref="DR105:DS105"/>
    <mergeCell ref="DT106:DU106"/>
    <mergeCell ref="DT107:DU107"/>
    <mergeCell ref="DT108:DU108"/>
    <mergeCell ref="DT109:DU109"/>
    <mergeCell ref="CT122:CU122"/>
    <mergeCell ref="DT121:DU121"/>
    <mergeCell ref="CO127:CP127"/>
    <mergeCell ref="CR127:CW127"/>
    <mergeCell ref="CR118:CS118"/>
    <mergeCell ref="DE128:DJ128"/>
    <mergeCell ref="DR129:DW129"/>
    <mergeCell ref="CR129:CW129"/>
    <mergeCell ref="CR128:CW128"/>
    <mergeCell ref="BO127:BP127"/>
    <mergeCell ref="BE127:BJ127"/>
    <mergeCell ref="CT115:CU115"/>
    <mergeCell ref="BB109:BD109"/>
    <mergeCell ref="CE128:CJ128"/>
    <mergeCell ref="CE129:CJ129"/>
    <mergeCell ref="CB112:CD112"/>
    <mergeCell ref="CE112:CF112"/>
    <mergeCell ref="CB113:CD113"/>
    <mergeCell ref="CE113:CF113"/>
    <mergeCell ref="CB114:CD114"/>
    <mergeCell ref="CE114:CF114"/>
    <mergeCell ref="CB115:CD115"/>
    <mergeCell ref="CE115:CF115"/>
    <mergeCell ref="CB116:CD116"/>
    <mergeCell ref="CE116:CF116"/>
    <mergeCell ref="CB117:CD117"/>
    <mergeCell ref="CE117:CF117"/>
    <mergeCell ref="CB118:CD118"/>
    <mergeCell ref="CE118:CF118"/>
    <mergeCell ref="CB119:CD119"/>
    <mergeCell ref="CE119:CF119"/>
    <mergeCell ref="CG113:CH113"/>
    <mergeCell ref="CE121:CF121"/>
    <mergeCell ref="CB125:CJ125"/>
    <mergeCell ref="CG112:CH112"/>
    <mergeCell ref="CB127:CC127"/>
    <mergeCell ref="CE127:CJ127"/>
    <mergeCell ref="DB128:DC128"/>
    <mergeCell ref="CO125:CW125"/>
    <mergeCell ref="CR126:CW126"/>
    <mergeCell ref="FE119:FF119"/>
    <mergeCell ref="CO121:CQ121"/>
    <mergeCell ref="B119:D119"/>
    <mergeCell ref="G114:H114"/>
    <mergeCell ref="R129:W129"/>
    <mergeCell ref="AR129:AW129"/>
    <mergeCell ref="AQ93:AR93"/>
    <mergeCell ref="AO102:AQ102"/>
    <mergeCell ref="E127:J127"/>
    <mergeCell ref="AE126:AJ126"/>
    <mergeCell ref="O125:W125"/>
    <mergeCell ref="O107:Q107"/>
    <mergeCell ref="AB109:AD109"/>
    <mergeCell ref="AB110:AD110"/>
    <mergeCell ref="AG109:AH109"/>
    <mergeCell ref="AR110:AS110"/>
    <mergeCell ref="AG108:AH108"/>
    <mergeCell ref="AO112:AQ112"/>
    <mergeCell ref="T120:U120"/>
    <mergeCell ref="R114:S114"/>
    <mergeCell ref="O115:Q115"/>
    <mergeCell ref="R115:S115"/>
    <mergeCell ref="O116:Q116"/>
    <mergeCell ref="R116:S116"/>
    <mergeCell ref="R108:S108"/>
    <mergeCell ref="O109:Q109"/>
    <mergeCell ref="R109:S109"/>
    <mergeCell ref="AE129:AJ129"/>
    <mergeCell ref="CB128:CC128"/>
    <mergeCell ref="B114:D114"/>
    <mergeCell ref="B115:D115"/>
    <mergeCell ref="AG122:AH122"/>
    <mergeCell ref="T122:U122"/>
    <mergeCell ref="CE122:CF122"/>
    <mergeCell ref="BE114:BF114"/>
    <mergeCell ref="BO122:BQ122"/>
    <mergeCell ref="BR122:BS122"/>
    <mergeCell ref="AT116:AU116"/>
    <mergeCell ref="O120:Q120"/>
    <mergeCell ref="E121:F121"/>
    <mergeCell ref="AB119:AD119"/>
    <mergeCell ref="AE119:AF119"/>
    <mergeCell ref="CG118:CH118"/>
    <mergeCell ref="G115:H115"/>
    <mergeCell ref="BB117:BD117"/>
    <mergeCell ref="O121:Q121"/>
    <mergeCell ref="T119:U119"/>
    <mergeCell ref="T117:U117"/>
    <mergeCell ref="O117:Q117"/>
    <mergeCell ref="AB116:AD116"/>
    <mergeCell ref="CG116:CH116"/>
    <mergeCell ref="CG122:CH122"/>
    <mergeCell ref="AR121:AS121"/>
    <mergeCell ref="AB122:AD122"/>
    <mergeCell ref="T116:U116"/>
    <mergeCell ref="B116:D116"/>
    <mergeCell ref="BE117:BF117"/>
    <mergeCell ref="BE116:BF116"/>
    <mergeCell ref="AG115:AH115"/>
    <mergeCell ref="BR119:BS119"/>
    <mergeCell ref="BT121:BU121"/>
    <mergeCell ref="O128:P128"/>
    <mergeCell ref="R128:W128"/>
    <mergeCell ref="O127:P127"/>
    <mergeCell ref="AE128:AJ128"/>
    <mergeCell ref="E120:F120"/>
    <mergeCell ref="AO125:AW125"/>
    <mergeCell ref="AR126:AW126"/>
    <mergeCell ref="AO127:AP127"/>
    <mergeCell ref="R127:W127"/>
    <mergeCell ref="AB128:AC128"/>
    <mergeCell ref="AO128:AP128"/>
    <mergeCell ref="AE121:AF121"/>
    <mergeCell ref="B127:C127"/>
    <mergeCell ref="E122:F122"/>
    <mergeCell ref="B120:D120"/>
    <mergeCell ref="B121:D121"/>
    <mergeCell ref="AB127:AC127"/>
    <mergeCell ref="AE127:AJ127"/>
    <mergeCell ref="R120:S120"/>
    <mergeCell ref="O122:Q122"/>
    <mergeCell ref="G122:H122"/>
    <mergeCell ref="E126:J126"/>
    <mergeCell ref="AR127:AW127"/>
    <mergeCell ref="AB120:AD120"/>
    <mergeCell ref="AT120:AU120"/>
    <mergeCell ref="B122:D122"/>
    <mergeCell ref="AR128:AW128"/>
    <mergeCell ref="R126:W126"/>
    <mergeCell ref="G121:H121"/>
    <mergeCell ref="B125:J125"/>
    <mergeCell ref="R121:S121"/>
    <mergeCell ref="AG121:AH121"/>
    <mergeCell ref="BE120:BF120"/>
    <mergeCell ref="BO121:BQ121"/>
    <mergeCell ref="BB120:BD120"/>
    <mergeCell ref="BG116:BH116"/>
    <mergeCell ref="BR117:BS117"/>
    <mergeCell ref="BG120:BH120"/>
    <mergeCell ref="BG121:BH121"/>
    <mergeCell ref="BR121:BS121"/>
    <mergeCell ref="AO119:AQ119"/>
    <mergeCell ref="BR114:BS114"/>
    <mergeCell ref="BE121:BF121"/>
    <mergeCell ref="BO118:BQ118"/>
    <mergeCell ref="BO115:BQ115"/>
    <mergeCell ref="BR116:BS116"/>
    <mergeCell ref="AB125:AJ125"/>
    <mergeCell ref="AB114:AD114"/>
    <mergeCell ref="AT119:AU119"/>
    <mergeCell ref="BB125:BJ125"/>
    <mergeCell ref="BO117:BQ117"/>
    <mergeCell ref="AB121:AD121"/>
    <mergeCell ref="AT117:AU117"/>
    <mergeCell ref="AT118:AU118"/>
    <mergeCell ref="AR120:AS120"/>
    <mergeCell ref="AB117:AD117"/>
    <mergeCell ref="AE117:AF117"/>
    <mergeCell ref="AB118:AD118"/>
    <mergeCell ref="AG119:AH119"/>
    <mergeCell ref="AG120:AH120"/>
    <mergeCell ref="B128:C128"/>
    <mergeCell ref="E128:J128"/>
    <mergeCell ref="BB121:BD121"/>
    <mergeCell ref="BB119:BD119"/>
    <mergeCell ref="BO119:BQ119"/>
    <mergeCell ref="CE120:CF120"/>
    <mergeCell ref="DE114:DF114"/>
    <mergeCell ref="CG114:CH114"/>
    <mergeCell ref="CG117:CH117"/>
    <mergeCell ref="CT119:CU119"/>
    <mergeCell ref="CR122:CS122"/>
    <mergeCell ref="EE105:EF105"/>
    <mergeCell ref="EG104:EH104"/>
    <mergeCell ref="ER108:ES108"/>
    <mergeCell ref="DT113:DU113"/>
    <mergeCell ref="BO105:BQ105"/>
    <mergeCell ref="BE109:BF109"/>
    <mergeCell ref="BG107:BH107"/>
    <mergeCell ref="E116:F116"/>
    <mergeCell ref="E117:F117"/>
    <mergeCell ref="AE122:AF122"/>
    <mergeCell ref="T121:U121"/>
    <mergeCell ref="AO122:AQ122"/>
    <mergeCell ref="O114:Q114"/>
    <mergeCell ref="AG114:AH114"/>
    <mergeCell ref="CO122:CQ122"/>
    <mergeCell ref="CO118:CQ118"/>
    <mergeCell ref="DO111:DQ111"/>
    <mergeCell ref="EB113:ED113"/>
    <mergeCell ref="EO111:EQ111"/>
    <mergeCell ref="DR115:DS115"/>
    <mergeCell ref="DR111:DS111"/>
    <mergeCell ref="DP85:DS85"/>
    <mergeCell ref="CO113:CQ113"/>
    <mergeCell ref="BG122:BH122"/>
    <mergeCell ref="BO125:BW125"/>
    <mergeCell ref="BO112:BQ112"/>
    <mergeCell ref="BT114:BU114"/>
    <mergeCell ref="CT116:CU116"/>
    <mergeCell ref="CB122:CD122"/>
    <mergeCell ref="FR100:FS100"/>
    <mergeCell ref="FG97:FH97"/>
    <mergeCell ref="FO100:FQ100"/>
    <mergeCell ref="EO104:EQ104"/>
    <mergeCell ref="ER104:ES104"/>
    <mergeCell ref="EO105:EQ105"/>
    <mergeCell ref="ER105:ES105"/>
    <mergeCell ref="ET105:EU105"/>
    <mergeCell ref="EE103:EF103"/>
    <mergeCell ref="EB121:ED121"/>
    <mergeCell ref="FO106:FQ106"/>
    <mergeCell ref="DQ93:DR93"/>
    <mergeCell ref="BB96:BH96"/>
    <mergeCell ref="BB97:BD97"/>
    <mergeCell ref="BE97:BF97"/>
    <mergeCell ref="BB98:BD98"/>
    <mergeCell ref="EB97:ED97"/>
    <mergeCell ref="DR98:DS98"/>
    <mergeCell ref="DT99:DU99"/>
    <mergeCell ref="CO99:CQ99"/>
    <mergeCell ref="EC86:EF86"/>
    <mergeCell ref="CR117:CS117"/>
    <mergeCell ref="CO115:CQ115"/>
    <mergeCell ref="DB122:DD122"/>
    <mergeCell ref="GE54:GJ54"/>
    <mergeCell ref="CO53:CP53"/>
    <mergeCell ref="EB118:ED118"/>
    <mergeCell ref="BE55:BJ55"/>
    <mergeCell ref="AQ41:AR41"/>
    <mergeCell ref="AQ42:AR42"/>
    <mergeCell ref="BD41:BE41"/>
    <mergeCell ref="BD42:BE42"/>
    <mergeCell ref="AQ43:AR43"/>
    <mergeCell ref="DQ41:DR41"/>
    <mergeCell ref="DQ42:DR42"/>
    <mergeCell ref="CB110:CD110"/>
    <mergeCell ref="CE110:CF110"/>
    <mergeCell ref="DR112:DS112"/>
    <mergeCell ref="BO51:BW51"/>
    <mergeCell ref="CQ41:CR41"/>
    <mergeCell ref="CQ42:CR42"/>
    <mergeCell ref="CD92:CE92"/>
    <mergeCell ref="CC84:CF84"/>
    <mergeCell ref="CP87:CQ87"/>
    <mergeCell ref="BC84:BF84"/>
    <mergeCell ref="BI84:BL85"/>
    <mergeCell ref="BC85:BF85"/>
    <mergeCell ref="AQ92:AR92"/>
    <mergeCell ref="DR104:DS104"/>
    <mergeCell ref="DQ43:DR43"/>
    <mergeCell ref="DQ44:DR44"/>
    <mergeCell ref="DQ45:DR45"/>
    <mergeCell ref="DQ46:DR46"/>
    <mergeCell ref="DQ47:DR47"/>
    <mergeCell ref="CQ48:CR48"/>
    <mergeCell ref="DP84:DS84"/>
    <mergeCell ref="DD48:DE48"/>
    <mergeCell ref="DD47:DE47"/>
    <mergeCell ref="DP86:DS86"/>
    <mergeCell ref="DP87:DQ87"/>
    <mergeCell ref="FB39:FB40"/>
    <mergeCell ref="FC39:FC40"/>
    <mergeCell ref="FD39:FE40"/>
    <mergeCell ref="DP39:DP40"/>
    <mergeCell ref="EO54:EP54"/>
    <mergeCell ref="CO51:CW51"/>
    <mergeCell ref="CR52:CW52"/>
    <mergeCell ref="DD92:DE92"/>
    <mergeCell ref="GO51:GW51"/>
    <mergeCell ref="GR52:GW52"/>
    <mergeCell ref="GO53:GP53"/>
    <mergeCell ref="GR53:GW53"/>
    <mergeCell ref="GR55:GW55"/>
    <mergeCell ref="DB51:DJ51"/>
    <mergeCell ref="EQ47:ER47"/>
    <mergeCell ref="DR54:DW54"/>
    <mergeCell ref="DO51:DW51"/>
    <mergeCell ref="DR52:DW52"/>
    <mergeCell ref="DO53:DP53"/>
    <mergeCell ref="DE55:DJ55"/>
    <mergeCell ref="FQ45:FR45"/>
    <mergeCell ref="FB53:FC53"/>
    <mergeCell ref="FE53:FJ53"/>
    <mergeCell ref="FO54:FP54"/>
    <mergeCell ref="FR54:FW54"/>
    <mergeCell ref="FB66:FF66"/>
    <mergeCell ref="GE52:GJ52"/>
    <mergeCell ref="GB54:GC54"/>
    <mergeCell ref="GB98:GD98"/>
    <mergeCell ref="FT98:FU98"/>
    <mergeCell ref="FQ46:FR46"/>
    <mergeCell ref="AR52:AW52"/>
    <mergeCell ref="FC28:FF28"/>
    <mergeCell ref="FC29:FF29"/>
    <mergeCell ref="GP28:GS28"/>
    <mergeCell ref="GQ48:GR48"/>
    <mergeCell ref="DE54:DJ54"/>
    <mergeCell ref="EV27:EY28"/>
    <mergeCell ref="ED48:EE48"/>
    <mergeCell ref="EQ48:ER48"/>
    <mergeCell ref="DC29:DF29"/>
    <mergeCell ref="DP30:DQ30"/>
    <mergeCell ref="DQ33:DS33"/>
    <mergeCell ref="EP30:EQ30"/>
    <mergeCell ref="EO51:EW51"/>
    <mergeCell ref="BQ41:BR41"/>
    <mergeCell ref="BD45:BE45"/>
    <mergeCell ref="BD46:BE46"/>
    <mergeCell ref="BD47:BE47"/>
    <mergeCell ref="BD48:BE48"/>
    <mergeCell ref="BQ43:BR43"/>
    <mergeCell ref="CD42:CE42"/>
    <mergeCell ref="GP29:GS29"/>
    <mergeCell ref="DD33:DF33"/>
    <mergeCell ref="ES39:ES40"/>
    <mergeCell ref="EF39:EF40"/>
    <mergeCell ref="CD44:CE44"/>
    <mergeCell ref="CD45:CE45"/>
    <mergeCell ref="CD46:CE46"/>
    <mergeCell ref="DE53:DJ53"/>
    <mergeCell ref="FB51:FJ51"/>
    <mergeCell ref="FE52:FJ52"/>
    <mergeCell ref="GB97:GD97"/>
    <mergeCell ref="GE97:GF97"/>
    <mergeCell ref="FT101:FU101"/>
    <mergeCell ref="FE104:FF104"/>
    <mergeCell ref="FB104:FD104"/>
    <mergeCell ref="FB105:FD105"/>
    <mergeCell ref="GB104:GD104"/>
    <mergeCell ref="FE97:FF97"/>
    <mergeCell ref="ER103:ES103"/>
    <mergeCell ref="FO102:FQ102"/>
    <mergeCell ref="FG98:FH98"/>
    <mergeCell ref="EO102:EQ102"/>
    <mergeCell ref="FB100:FD100"/>
    <mergeCell ref="FR103:FS103"/>
    <mergeCell ref="FO104:FQ104"/>
    <mergeCell ref="GE99:GF99"/>
    <mergeCell ref="GB100:GD100"/>
    <mergeCell ref="GE100:GF100"/>
    <mergeCell ref="GB101:GD101"/>
    <mergeCell ref="GE101:GF101"/>
    <mergeCell ref="GB102:GD102"/>
    <mergeCell ref="GE102:GF102"/>
    <mergeCell ref="GB103:GD103"/>
    <mergeCell ref="GE103:GF103"/>
    <mergeCell ref="ET104:EU104"/>
    <mergeCell ref="EO100:EQ100"/>
    <mergeCell ref="GE104:GF104"/>
    <mergeCell ref="FG105:FH105"/>
    <mergeCell ref="FR104:FS104"/>
    <mergeCell ref="FG104:FH104"/>
    <mergeCell ref="AI27:AL28"/>
    <mergeCell ref="AC28:AF28"/>
    <mergeCell ref="NX55:OA55"/>
    <mergeCell ref="MX55:NA55"/>
    <mergeCell ref="NK55:NN55"/>
    <mergeCell ref="EK55:EN55"/>
    <mergeCell ref="DX55:EA55"/>
    <mergeCell ref="DK55:DN55"/>
    <mergeCell ref="EQ33:ES33"/>
    <mergeCell ref="EX55:FA55"/>
    <mergeCell ref="ED44:EE44"/>
    <mergeCell ref="ED45:EE45"/>
    <mergeCell ref="ED46:EE46"/>
    <mergeCell ref="ED47:EE47"/>
    <mergeCell ref="IX55:JA55"/>
    <mergeCell ref="IK55:IN55"/>
    <mergeCell ref="HX55:IA55"/>
    <mergeCell ref="HK55:HN55"/>
    <mergeCell ref="GX55:HA55"/>
    <mergeCell ref="GK55:GN55"/>
    <mergeCell ref="GO39:GO40"/>
    <mergeCell ref="GQ39:GR40"/>
    <mergeCell ref="DQ48:DR48"/>
    <mergeCell ref="FD33:FF33"/>
    <mergeCell ref="FF39:FF40"/>
    <mergeCell ref="FD41:FE41"/>
    <mergeCell ref="ER52:EW52"/>
    <mergeCell ref="FQ43:FR43"/>
    <mergeCell ref="FQ44:FR44"/>
    <mergeCell ref="EE55:EJ55"/>
    <mergeCell ref="ER55:EW55"/>
    <mergeCell ref="GQ47:GR47"/>
    <mergeCell ref="B3:F3"/>
    <mergeCell ref="B12:F12"/>
    <mergeCell ref="B16:F16"/>
    <mergeCell ref="O3:S3"/>
    <mergeCell ref="CO3:CS3"/>
    <mergeCell ref="I9:J9"/>
    <mergeCell ref="B21:I21"/>
    <mergeCell ref="J16:K16"/>
    <mergeCell ref="B14:F14"/>
    <mergeCell ref="B9:H9"/>
    <mergeCell ref="BB9:BH9"/>
    <mergeCell ref="O6:Q6"/>
    <mergeCell ref="B23:I23"/>
    <mergeCell ref="O9:U9"/>
    <mergeCell ref="O12:S12"/>
    <mergeCell ref="O23:U23"/>
    <mergeCell ref="AB23:AH23"/>
    <mergeCell ref="AB3:AF3"/>
    <mergeCell ref="AB12:AF12"/>
    <mergeCell ref="AB14:AF14"/>
    <mergeCell ref="BB12:BF12"/>
    <mergeCell ref="BB14:BF14"/>
    <mergeCell ref="AB9:AH9"/>
    <mergeCell ref="AB16:AF16"/>
    <mergeCell ref="BB3:BF3"/>
    <mergeCell ref="BO3:BS3"/>
    <mergeCell ref="B4:O4"/>
    <mergeCell ref="AO23:AU23"/>
    <mergeCell ref="AO16:AS16"/>
    <mergeCell ref="P28:S28"/>
    <mergeCell ref="P29:S29"/>
    <mergeCell ref="AB25:AH25"/>
    <mergeCell ref="AC27:AF27"/>
    <mergeCell ref="CB3:CF3"/>
    <mergeCell ref="CB9:CH9"/>
    <mergeCell ref="CB12:CF12"/>
    <mergeCell ref="CB14:CF14"/>
    <mergeCell ref="CB16:CF16"/>
    <mergeCell ref="CB23:CH23"/>
    <mergeCell ref="CO9:CU9"/>
    <mergeCell ref="CO12:CS12"/>
    <mergeCell ref="AO3:AS3"/>
    <mergeCell ref="AO9:AU9"/>
    <mergeCell ref="AO12:AS12"/>
    <mergeCell ref="AC29:AF29"/>
    <mergeCell ref="CP28:CS28"/>
    <mergeCell ref="AO14:AS14"/>
    <mergeCell ref="BO9:BU9"/>
    <mergeCell ref="BO12:BS12"/>
    <mergeCell ref="BO14:BS14"/>
    <mergeCell ref="BO16:BS16"/>
    <mergeCell ref="BB16:BF16"/>
    <mergeCell ref="BB23:BH23"/>
    <mergeCell ref="CO14:CS14"/>
    <mergeCell ref="CO16:CS16"/>
    <mergeCell ref="CO23:CU23"/>
    <mergeCell ref="O25:U25"/>
    <mergeCell ref="P27:S27"/>
    <mergeCell ref="BV27:BY28"/>
    <mergeCell ref="CP29:CS29"/>
    <mergeCell ref="V27:Y28"/>
    <mergeCell ref="C28:F28"/>
    <mergeCell ref="DO23:DU23"/>
    <mergeCell ref="BC30:BD30"/>
    <mergeCell ref="CC30:CD30"/>
    <mergeCell ref="CD33:CF33"/>
    <mergeCell ref="O39:O40"/>
    <mergeCell ref="P39:P40"/>
    <mergeCell ref="EO23:EU23"/>
    <mergeCell ref="Q39:R40"/>
    <mergeCell ref="S39:S40"/>
    <mergeCell ref="BB39:BB40"/>
    <mergeCell ref="AP27:AS27"/>
    <mergeCell ref="AV27:AY28"/>
    <mergeCell ref="AP28:AS28"/>
    <mergeCell ref="AP29:AS29"/>
    <mergeCell ref="BB25:BH25"/>
    <mergeCell ref="BC27:BF27"/>
    <mergeCell ref="BI27:BL28"/>
    <mergeCell ref="BC28:BF28"/>
    <mergeCell ref="BC29:BF29"/>
    <mergeCell ref="BO39:BO40"/>
    <mergeCell ref="BP39:BP40"/>
    <mergeCell ref="C30:D30"/>
    <mergeCell ref="D33:F33"/>
    <mergeCell ref="P30:Q30"/>
    <mergeCell ref="B25:H25"/>
    <mergeCell ref="C27:F27"/>
    <mergeCell ref="I27:L28"/>
    <mergeCell ref="C29:F29"/>
    <mergeCell ref="EP28:ES28"/>
    <mergeCell ref="B39:B40"/>
    <mergeCell ref="C39:C40"/>
    <mergeCell ref="AB54:AC54"/>
    <mergeCell ref="AE54:AJ54"/>
    <mergeCell ref="AD48:AE48"/>
    <mergeCell ref="AD46:AE46"/>
    <mergeCell ref="EQ39:ER40"/>
    <mergeCell ref="AB39:AB40"/>
    <mergeCell ref="AC39:AC40"/>
    <mergeCell ref="AD39:AE40"/>
    <mergeCell ref="AF39:AF40"/>
    <mergeCell ref="CQ45:CR45"/>
    <mergeCell ref="CQ46:CR46"/>
    <mergeCell ref="DQ39:DR40"/>
    <mergeCell ref="DS39:DS40"/>
    <mergeCell ref="EQ44:ER44"/>
    <mergeCell ref="BQ42:BR42"/>
    <mergeCell ref="Q44:R44"/>
    <mergeCell ref="Q45:R45"/>
    <mergeCell ref="Q46:R46"/>
    <mergeCell ref="AQ44:AR44"/>
    <mergeCell ref="AQ45:AR45"/>
    <mergeCell ref="AQ46:AR46"/>
    <mergeCell ref="DD42:DE42"/>
    <mergeCell ref="CQ43:CR43"/>
    <mergeCell ref="DD44:DE44"/>
    <mergeCell ref="DD46:DE46"/>
    <mergeCell ref="CQ44:CR44"/>
    <mergeCell ref="DD39:DE40"/>
    <mergeCell ref="DF39:DF40"/>
    <mergeCell ref="AO39:AO40"/>
    <mergeCell ref="DE52:DJ52"/>
    <mergeCell ref="BE54:BJ54"/>
    <mergeCell ref="CE54:CJ54"/>
    <mergeCell ref="AR55:AW55"/>
    <mergeCell ref="BB51:BJ51"/>
    <mergeCell ref="CD47:CE47"/>
    <mergeCell ref="B54:C54"/>
    <mergeCell ref="Q48:R48"/>
    <mergeCell ref="D48:E48"/>
    <mergeCell ref="D44:E44"/>
    <mergeCell ref="CB53:CC53"/>
    <mergeCell ref="K55:N55"/>
    <mergeCell ref="E55:J55"/>
    <mergeCell ref="E53:J53"/>
    <mergeCell ref="E52:J52"/>
    <mergeCell ref="O51:W51"/>
    <mergeCell ref="R52:W52"/>
    <mergeCell ref="O53:P53"/>
    <mergeCell ref="R53:W53"/>
    <mergeCell ref="R55:W55"/>
    <mergeCell ref="AB51:AJ51"/>
    <mergeCell ref="AE52:AJ52"/>
    <mergeCell ref="AB53:AC53"/>
    <mergeCell ref="AE53:AJ53"/>
    <mergeCell ref="AE55:AJ55"/>
    <mergeCell ref="E54:J54"/>
    <mergeCell ref="B51:J51"/>
    <mergeCell ref="B53:C53"/>
    <mergeCell ref="AD47:AE47"/>
    <mergeCell ref="Q47:R47"/>
    <mergeCell ref="O54:P54"/>
    <mergeCell ref="R54:W54"/>
    <mergeCell ref="BQ44:BR44"/>
    <mergeCell ref="AO53:AP53"/>
    <mergeCell ref="AR53:AW53"/>
    <mergeCell ref="FD47:FE47"/>
    <mergeCell ref="FD48:FE48"/>
    <mergeCell ref="DR53:DW53"/>
    <mergeCell ref="FD43:FE43"/>
    <mergeCell ref="D43:E43"/>
    <mergeCell ref="AD43:AE43"/>
    <mergeCell ref="D47:E47"/>
    <mergeCell ref="AD44:AE44"/>
    <mergeCell ref="D39:E40"/>
    <mergeCell ref="F39:F40"/>
    <mergeCell ref="EQ45:ER45"/>
    <mergeCell ref="AD45:AE45"/>
    <mergeCell ref="BD44:BE44"/>
    <mergeCell ref="BQ39:BR40"/>
    <mergeCell ref="BS39:BS40"/>
    <mergeCell ref="D45:E45"/>
    <mergeCell ref="D46:E46"/>
    <mergeCell ref="DD43:DE43"/>
    <mergeCell ref="CD48:CE48"/>
    <mergeCell ref="CB51:CJ51"/>
    <mergeCell ref="CE52:CJ52"/>
    <mergeCell ref="AQ47:AR47"/>
    <mergeCell ref="BR52:BW52"/>
    <mergeCell ref="AQ48:AR48"/>
    <mergeCell ref="D41:E41"/>
    <mergeCell ref="BD43:BE43"/>
    <mergeCell ref="CD39:CE40"/>
    <mergeCell ref="CD41:CE41"/>
    <mergeCell ref="CO39:CO40"/>
    <mergeCell ref="CP39:CP40"/>
    <mergeCell ref="DO39:DO40"/>
    <mergeCell ref="D42:E42"/>
    <mergeCell ref="CD43:CE43"/>
    <mergeCell ref="FB12:FF12"/>
    <mergeCell ref="FB14:FF14"/>
    <mergeCell ref="EB23:EH23"/>
    <mergeCell ref="EO53:EP53"/>
    <mergeCell ref="ER53:EW53"/>
    <mergeCell ref="EB51:EJ51"/>
    <mergeCell ref="EE52:EJ52"/>
    <mergeCell ref="EB53:EC53"/>
    <mergeCell ref="EO25:EU25"/>
    <mergeCell ref="EP27:ES27"/>
    <mergeCell ref="EQ46:ER46"/>
    <mergeCell ref="FC30:FD30"/>
    <mergeCell ref="FC27:FF27"/>
    <mergeCell ref="CB25:CH25"/>
    <mergeCell ref="CC27:CF27"/>
    <mergeCell ref="CI27:CL28"/>
    <mergeCell ref="DO25:DU25"/>
    <mergeCell ref="DP27:DS27"/>
    <mergeCell ref="DV27:DY28"/>
    <mergeCell ref="DP28:DS28"/>
    <mergeCell ref="DP29:DS29"/>
    <mergeCell ref="CE53:CJ53"/>
    <mergeCell ref="EE53:EJ53"/>
    <mergeCell ref="FD42:FE42"/>
    <mergeCell ref="FD44:FE44"/>
    <mergeCell ref="EC29:EF29"/>
    <mergeCell ref="DO16:DS16"/>
    <mergeCell ref="DI27:DL28"/>
    <mergeCell ref="DC28:DF28"/>
    <mergeCell ref="ED33:EF33"/>
    <mergeCell ref="FD46:FE46"/>
    <mergeCell ref="DB53:DC53"/>
    <mergeCell ref="CR55:CW55"/>
    <mergeCell ref="CK55:CN55"/>
    <mergeCell ref="BX55:CA55"/>
    <mergeCell ref="BK55:BN55"/>
    <mergeCell ref="AX55:BA55"/>
    <mergeCell ref="AK55:AN55"/>
    <mergeCell ref="X55:AA55"/>
    <mergeCell ref="Q33:S33"/>
    <mergeCell ref="AC30:AD30"/>
    <mergeCell ref="AD33:AF33"/>
    <mergeCell ref="AD41:AE41"/>
    <mergeCell ref="AD42:AE42"/>
    <mergeCell ref="Q41:R41"/>
    <mergeCell ref="Q42:R42"/>
    <mergeCell ref="Q43:R43"/>
    <mergeCell ref="AP30:AQ30"/>
    <mergeCell ref="AQ33:AS33"/>
    <mergeCell ref="CQ47:CR47"/>
    <mergeCell ref="BC39:BC40"/>
    <mergeCell ref="BQ33:BS33"/>
    <mergeCell ref="CQ39:CR40"/>
    <mergeCell ref="CS39:CS40"/>
    <mergeCell ref="CB39:CB40"/>
    <mergeCell ref="AQ39:AR40"/>
    <mergeCell ref="AS39:AS40"/>
    <mergeCell ref="BD33:BF33"/>
    <mergeCell ref="BO54:BP54"/>
    <mergeCell ref="BR54:BW54"/>
    <mergeCell ref="CB54:CC54"/>
    <mergeCell ref="BR55:BW55"/>
    <mergeCell ref="CR53:CW53"/>
    <mergeCell ref="CE55:CJ55"/>
    <mergeCell ref="AO25:AU25"/>
    <mergeCell ref="CC28:CF28"/>
    <mergeCell ref="CC29:CF29"/>
    <mergeCell ref="BP28:BS28"/>
    <mergeCell ref="BP29:BS29"/>
    <mergeCell ref="BD39:BE40"/>
    <mergeCell ref="BF39:BF40"/>
    <mergeCell ref="DC30:DD30"/>
    <mergeCell ref="BP27:BS27"/>
    <mergeCell ref="BP30:BQ30"/>
    <mergeCell ref="DC27:DF27"/>
    <mergeCell ref="CO25:CU25"/>
    <mergeCell ref="CP27:CS27"/>
    <mergeCell ref="BO23:BU23"/>
    <mergeCell ref="DB16:DF16"/>
    <mergeCell ref="DB23:DH23"/>
    <mergeCell ref="AO54:AP54"/>
    <mergeCell ref="AR54:AW54"/>
    <mergeCell ref="BB54:BC54"/>
    <mergeCell ref="BQ47:BR47"/>
    <mergeCell ref="BQ48:BR48"/>
    <mergeCell ref="BE52:BJ52"/>
    <mergeCell ref="BB53:BC53"/>
    <mergeCell ref="BE53:BJ53"/>
    <mergeCell ref="AO51:AW51"/>
    <mergeCell ref="BQ45:BR45"/>
    <mergeCell ref="BQ46:BR46"/>
    <mergeCell ref="DD45:DE45"/>
    <mergeCell ref="BO53:BP53"/>
    <mergeCell ref="BR53:BW53"/>
    <mergeCell ref="DB25:DH25"/>
    <mergeCell ref="AP39:AP40"/>
    <mergeCell ref="GB3:GF3"/>
    <mergeCell ref="GB9:GH9"/>
    <mergeCell ref="GB12:GF12"/>
    <mergeCell ref="GB14:GF14"/>
    <mergeCell ref="GB16:GF16"/>
    <mergeCell ref="GB23:GH23"/>
    <mergeCell ref="GB25:GH25"/>
    <mergeCell ref="GC27:GF27"/>
    <mergeCell ref="CP30:CQ30"/>
    <mergeCell ref="CQ33:CS33"/>
    <mergeCell ref="EO14:ES14"/>
    <mergeCell ref="EO16:ES16"/>
    <mergeCell ref="EI27:EL28"/>
    <mergeCell ref="EC28:EF28"/>
    <mergeCell ref="FB3:FF3"/>
    <mergeCell ref="EO3:ES3"/>
    <mergeCell ref="EP29:ES29"/>
    <mergeCell ref="EB14:EF14"/>
    <mergeCell ref="DB9:DH9"/>
    <mergeCell ref="DB12:DF12"/>
    <mergeCell ref="FI27:FL28"/>
    <mergeCell ref="DB14:DF14"/>
    <mergeCell ref="EB12:EF12"/>
    <mergeCell ref="DB39:DB40"/>
    <mergeCell ref="DC39:DC40"/>
    <mergeCell ref="BO25:BU25"/>
    <mergeCell ref="FO53:FP53"/>
    <mergeCell ref="FR53:FW53"/>
    <mergeCell ref="FO3:FS3"/>
    <mergeCell ref="FO9:FU9"/>
    <mergeCell ref="FO12:FS12"/>
    <mergeCell ref="FO14:FS14"/>
    <mergeCell ref="FO16:FS16"/>
    <mergeCell ref="FO23:FU23"/>
    <mergeCell ref="FO25:FU25"/>
    <mergeCell ref="FP27:FS27"/>
    <mergeCell ref="FV27:FY28"/>
    <mergeCell ref="FP28:FS28"/>
    <mergeCell ref="FQ41:FR41"/>
    <mergeCell ref="FQ42:FR42"/>
    <mergeCell ref="FP29:FS29"/>
    <mergeCell ref="FR52:FW52"/>
    <mergeCell ref="CC39:CC40"/>
    <mergeCell ref="EO39:EO40"/>
    <mergeCell ref="EP39:EP40"/>
    <mergeCell ref="FD45:FE45"/>
    <mergeCell ref="ED42:EE42"/>
    <mergeCell ref="EB39:EB40"/>
    <mergeCell ref="EC39:EC40"/>
    <mergeCell ref="ED39:EE40"/>
    <mergeCell ref="EQ43:ER43"/>
    <mergeCell ref="FB25:FH25"/>
    <mergeCell ref="CV27:CY28"/>
    <mergeCell ref="CF39:CF40"/>
    <mergeCell ref="FB9:FH9"/>
    <mergeCell ref="EO9:EU9"/>
    <mergeCell ref="EC30:ED30"/>
    <mergeCell ref="ED41:EE41"/>
    <mergeCell ref="GD48:GE48"/>
    <mergeCell ref="GB51:GJ51"/>
    <mergeCell ref="EB3:EF3"/>
    <mergeCell ref="EB9:EH9"/>
    <mergeCell ref="FQ48:FR48"/>
    <mergeCell ref="FO51:FW51"/>
    <mergeCell ref="EB16:EF16"/>
    <mergeCell ref="EC27:EF27"/>
    <mergeCell ref="DO3:DS3"/>
    <mergeCell ref="DO9:DU9"/>
    <mergeCell ref="DO12:DS12"/>
    <mergeCell ref="DO14:DS14"/>
    <mergeCell ref="DB3:DF3"/>
    <mergeCell ref="GI27:GL28"/>
    <mergeCell ref="GC28:GF28"/>
    <mergeCell ref="FP30:FQ30"/>
    <mergeCell ref="FQ33:FS33"/>
    <mergeCell ref="FO39:FO40"/>
    <mergeCell ref="FP39:FP40"/>
    <mergeCell ref="FQ39:FR40"/>
    <mergeCell ref="FS39:FS40"/>
    <mergeCell ref="GD42:GE42"/>
    <mergeCell ref="GD43:GE43"/>
    <mergeCell ref="EQ41:ER41"/>
    <mergeCell ref="EQ42:ER42"/>
    <mergeCell ref="FB16:FF16"/>
    <mergeCell ref="FB23:FH23"/>
    <mergeCell ref="EO12:ES12"/>
    <mergeCell ref="FQ47:FR47"/>
    <mergeCell ref="DD41:DE41"/>
    <mergeCell ref="EB25:EH25"/>
    <mergeCell ref="ED43:EE43"/>
    <mergeCell ref="GB53:GC53"/>
    <mergeCell ref="GE53:GJ53"/>
    <mergeCell ref="GC29:GF29"/>
    <mergeCell ref="GC30:GD30"/>
    <mergeCell ref="GD33:GF33"/>
    <mergeCell ref="GB39:GB40"/>
    <mergeCell ref="GC39:GC40"/>
    <mergeCell ref="GD39:GE40"/>
    <mergeCell ref="GF39:GF40"/>
    <mergeCell ref="GD41:GE41"/>
    <mergeCell ref="HC28:HF28"/>
    <mergeCell ref="HC29:HF29"/>
    <mergeCell ref="HC30:HD30"/>
    <mergeCell ref="HD33:HF33"/>
    <mergeCell ref="HB39:HB40"/>
    <mergeCell ref="HC39:HC40"/>
    <mergeCell ref="HD39:HE40"/>
    <mergeCell ref="HF39:HF40"/>
    <mergeCell ref="HD41:HE41"/>
    <mergeCell ref="HD42:HE42"/>
    <mergeCell ref="HD43:HE43"/>
    <mergeCell ref="HD44:HE44"/>
    <mergeCell ref="HD45:HE45"/>
    <mergeCell ref="HD46:HE46"/>
    <mergeCell ref="HD47:HE47"/>
    <mergeCell ref="HD48:HE48"/>
    <mergeCell ref="HB51:HJ51"/>
    <mergeCell ref="GQ46:GR46"/>
    <mergeCell ref="GD44:GE44"/>
    <mergeCell ref="GD45:GE45"/>
    <mergeCell ref="GD46:GE46"/>
    <mergeCell ref="GD47:GE47"/>
    <mergeCell ref="GO3:GS3"/>
    <mergeCell ref="GO9:GU9"/>
    <mergeCell ref="GO12:GS12"/>
    <mergeCell ref="GO14:GS14"/>
    <mergeCell ref="GO16:GS16"/>
    <mergeCell ref="GO23:GU23"/>
    <mergeCell ref="GS39:GS40"/>
    <mergeCell ref="GV27:GY28"/>
    <mergeCell ref="GQ44:GR44"/>
    <mergeCell ref="GQ45:GR45"/>
    <mergeCell ref="GQ41:GR41"/>
    <mergeCell ref="GQ42:GR42"/>
    <mergeCell ref="GQ43:GR43"/>
    <mergeCell ref="GP30:GQ30"/>
    <mergeCell ref="GQ33:GS33"/>
    <mergeCell ref="HB3:HF3"/>
    <mergeCell ref="HB9:HH9"/>
    <mergeCell ref="HB12:HF12"/>
    <mergeCell ref="GO25:GU25"/>
    <mergeCell ref="HB14:HF14"/>
    <mergeCell ref="HB16:HF16"/>
    <mergeCell ref="HB23:HH23"/>
    <mergeCell ref="GP27:GS27"/>
    <mergeCell ref="GP39:GP40"/>
    <mergeCell ref="HO25:HU25"/>
    <mergeCell ref="HP27:HS27"/>
    <mergeCell ref="HQ41:HR41"/>
    <mergeCell ref="HQ42:HR42"/>
    <mergeCell ref="HQ43:HR43"/>
    <mergeCell ref="HQ44:HR44"/>
    <mergeCell ref="HQ45:HR45"/>
    <mergeCell ref="HQ46:HR46"/>
    <mergeCell ref="HQ47:HR47"/>
    <mergeCell ref="HQ48:HR48"/>
    <mergeCell ref="HO51:HW51"/>
    <mergeCell ref="HR52:HW52"/>
    <mergeCell ref="HO53:HP53"/>
    <mergeCell ref="HR53:HW53"/>
    <mergeCell ref="HB25:HH25"/>
    <mergeCell ref="HC27:HF27"/>
    <mergeCell ref="HV27:HY28"/>
    <mergeCell ref="HP28:HS28"/>
    <mergeCell ref="HP29:HS29"/>
    <mergeCell ref="HP30:HQ30"/>
    <mergeCell ref="HQ33:HS33"/>
    <mergeCell ref="HO39:HO40"/>
    <mergeCell ref="HP39:HP40"/>
    <mergeCell ref="HI27:HL28"/>
    <mergeCell ref="HE52:HJ52"/>
    <mergeCell ref="HB53:HC53"/>
    <mergeCell ref="HE53:HJ53"/>
    <mergeCell ref="IS39:IS40"/>
    <mergeCell ref="IQ41:IR41"/>
    <mergeCell ref="IQ42:IR42"/>
    <mergeCell ref="IQ43:IR43"/>
    <mergeCell ref="IQ44:IR44"/>
    <mergeCell ref="IQ45:IR45"/>
    <mergeCell ref="IQ46:IR46"/>
    <mergeCell ref="IQ47:IR47"/>
    <mergeCell ref="IB25:IH25"/>
    <mergeCell ref="IC27:IF27"/>
    <mergeCell ref="II27:IL28"/>
    <mergeCell ref="IC28:IF28"/>
    <mergeCell ref="IC29:IF29"/>
    <mergeCell ref="IC30:ID30"/>
    <mergeCell ref="ID33:IF33"/>
    <mergeCell ref="IB39:IB40"/>
    <mergeCell ref="IC39:IC40"/>
    <mergeCell ref="ID39:IE40"/>
    <mergeCell ref="IF39:IF40"/>
    <mergeCell ref="ID41:IE41"/>
    <mergeCell ref="ID42:IE42"/>
    <mergeCell ref="ID43:IE43"/>
    <mergeCell ref="ID44:IE44"/>
    <mergeCell ref="ID45:IE45"/>
    <mergeCell ref="JO25:JU25"/>
    <mergeCell ref="JP28:JS28"/>
    <mergeCell ref="JP29:JS29"/>
    <mergeCell ref="JO39:JO40"/>
    <mergeCell ref="JP39:JP40"/>
    <mergeCell ref="JQ39:JR40"/>
    <mergeCell ref="JS39:JS40"/>
    <mergeCell ref="JQ41:JR41"/>
    <mergeCell ref="ID46:IE46"/>
    <mergeCell ref="ID47:IE47"/>
    <mergeCell ref="ID48:IE48"/>
    <mergeCell ref="IB51:IJ51"/>
    <mergeCell ref="IE52:IJ52"/>
    <mergeCell ref="IB53:IC53"/>
    <mergeCell ref="IE53:IJ53"/>
    <mergeCell ref="IE55:IJ55"/>
    <mergeCell ref="HR54:HW54"/>
    <mergeCell ref="IB54:IC54"/>
    <mergeCell ref="IE54:IJ54"/>
    <mergeCell ref="HQ39:HR40"/>
    <mergeCell ref="HS39:HS40"/>
    <mergeCell ref="IO25:IU25"/>
    <mergeCell ref="IP27:IS27"/>
    <mergeCell ref="IV27:IY28"/>
    <mergeCell ref="IP28:IS28"/>
    <mergeCell ref="IP29:IS29"/>
    <mergeCell ref="IP30:IQ30"/>
    <mergeCell ref="IQ33:IS33"/>
    <mergeCell ref="IO39:IO40"/>
    <mergeCell ref="IP39:IP40"/>
    <mergeCell ref="IQ39:IR40"/>
    <mergeCell ref="JB25:JH25"/>
    <mergeCell ref="JC27:JF27"/>
    <mergeCell ref="JI27:JL28"/>
    <mergeCell ref="JC28:JF28"/>
    <mergeCell ref="JC29:JF29"/>
    <mergeCell ref="JC30:JD30"/>
    <mergeCell ref="JD33:JF33"/>
    <mergeCell ref="JB39:JB40"/>
    <mergeCell ref="JC39:JC40"/>
    <mergeCell ref="JD39:JE40"/>
    <mergeCell ref="JF39:JF40"/>
    <mergeCell ref="JD41:JE41"/>
    <mergeCell ref="JD42:JE42"/>
    <mergeCell ref="JD43:JE43"/>
    <mergeCell ref="JD44:JE44"/>
    <mergeCell ref="JD45:JE45"/>
    <mergeCell ref="JQ42:JR42"/>
    <mergeCell ref="JQ43:JR43"/>
    <mergeCell ref="JQ44:JR44"/>
    <mergeCell ref="JQ45:JR45"/>
    <mergeCell ref="JP27:JS27"/>
    <mergeCell ref="JQ46:JR46"/>
    <mergeCell ref="IQ48:IR48"/>
    <mergeCell ref="IO51:IW51"/>
    <mergeCell ref="JQ47:JR47"/>
    <mergeCell ref="JQ48:JR48"/>
    <mergeCell ref="JO51:JW51"/>
    <mergeCell ref="IR52:IW52"/>
    <mergeCell ref="IO53:IP53"/>
    <mergeCell ref="IR53:IW53"/>
    <mergeCell ref="JR52:JW52"/>
    <mergeCell ref="JO53:JP53"/>
    <mergeCell ref="JR53:JW53"/>
    <mergeCell ref="JR55:JW55"/>
    <mergeCell ref="JD47:JE47"/>
    <mergeCell ref="JD48:JE48"/>
    <mergeCell ref="JB51:JJ51"/>
    <mergeCell ref="IR54:IW54"/>
    <mergeCell ref="JB54:JC54"/>
    <mergeCell ref="JE52:JJ52"/>
    <mergeCell ref="JB53:JC53"/>
    <mergeCell ref="JE53:JJ53"/>
    <mergeCell ref="JR54:JW54"/>
    <mergeCell ref="JE54:JJ54"/>
    <mergeCell ref="JO54:JP54"/>
    <mergeCell ref="JD46:JE46"/>
    <mergeCell ref="IR55:IW55"/>
    <mergeCell ref="JE55:JJ55"/>
    <mergeCell ref="KB25:KH25"/>
    <mergeCell ref="KC27:KF27"/>
    <mergeCell ref="KI27:KL28"/>
    <mergeCell ref="KC28:KF28"/>
    <mergeCell ref="KC29:KF29"/>
    <mergeCell ref="KC30:KD30"/>
    <mergeCell ref="KD33:KF33"/>
    <mergeCell ref="KB39:KB40"/>
    <mergeCell ref="KC39:KC40"/>
    <mergeCell ref="KD39:KE40"/>
    <mergeCell ref="KF39:KF40"/>
    <mergeCell ref="KD41:KE41"/>
    <mergeCell ref="KD42:KE42"/>
    <mergeCell ref="KD43:KE43"/>
    <mergeCell ref="KD44:KE44"/>
    <mergeCell ref="KD45:KE45"/>
    <mergeCell ref="KB53:KC53"/>
    <mergeCell ref="KE53:KJ53"/>
    <mergeCell ref="JV27:JY28"/>
    <mergeCell ref="JP30:JQ30"/>
    <mergeCell ref="JQ33:JS33"/>
    <mergeCell ref="KO53:KP53"/>
    <mergeCell ref="KR53:KW53"/>
    <mergeCell ref="KR54:KW54"/>
    <mergeCell ref="LB54:LC54"/>
    <mergeCell ref="LE54:LJ54"/>
    <mergeCell ref="KB54:KC54"/>
    <mergeCell ref="KE54:KJ54"/>
    <mergeCell ref="KO54:KP54"/>
    <mergeCell ref="KR55:KW55"/>
    <mergeCell ref="LD46:LE46"/>
    <mergeCell ref="LD47:LE47"/>
    <mergeCell ref="LD48:LE48"/>
    <mergeCell ref="LB51:LJ51"/>
    <mergeCell ref="LE52:LJ52"/>
    <mergeCell ref="LB53:LC53"/>
    <mergeCell ref="LE53:LJ53"/>
    <mergeCell ref="LE55:LJ55"/>
    <mergeCell ref="KQ46:KR46"/>
    <mergeCell ref="KQ47:KR47"/>
    <mergeCell ref="KQ48:KR48"/>
    <mergeCell ref="KO51:KW51"/>
    <mergeCell ref="LC30:LD30"/>
    <mergeCell ref="LD33:LF33"/>
    <mergeCell ref="LB39:LB40"/>
    <mergeCell ref="LC39:LC40"/>
    <mergeCell ref="LD39:LE40"/>
    <mergeCell ref="LF39:LF40"/>
    <mergeCell ref="LD43:LE43"/>
    <mergeCell ref="LD44:LE44"/>
    <mergeCell ref="LD45:LE45"/>
    <mergeCell ref="KD46:KE46"/>
    <mergeCell ref="KD47:KE47"/>
    <mergeCell ref="KD48:KE48"/>
    <mergeCell ref="KB51:KJ51"/>
    <mergeCell ref="KE52:KJ52"/>
    <mergeCell ref="KQ33:KS33"/>
    <mergeCell ref="KO39:KO40"/>
    <mergeCell ref="KP39:KP40"/>
    <mergeCell ref="KQ39:KR40"/>
    <mergeCell ref="KS39:KS40"/>
    <mergeCell ref="KQ41:KR41"/>
    <mergeCell ref="KQ42:KR42"/>
    <mergeCell ref="KQ43:KR43"/>
    <mergeCell ref="KQ44:KR44"/>
    <mergeCell ref="KQ45:KR45"/>
    <mergeCell ref="KR52:KW52"/>
    <mergeCell ref="KP28:KS28"/>
    <mergeCell ref="KP29:KS29"/>
    <mergeCell ref="KP30:KQ30"/>
    <mergeCell ref="MD44:ME44"/>
    <mergeCell ref="MD45:ME45"/>
    <mergeCell ref="MD46:ME46"/>
    <mergeCell ref="MD47:ME47"/>
    <mergeCell ref="MD48:ME48"/>
    <mergeCell ref="MB51:MJ51"/>
    <mergeCell ref="LO25:LU25"/>
    <mergeCell ref="LP27:LS27"/>
    <mergeCell ref="LV27:LY28"/>
    <mergeCell ref="LP28:LS28"/>
    <mergeCell ref="LP29:LS29"/>
    <mergeCell ref="LP30:LQ30"/>
    <mergeCell ref="LQ33:LS33"/>
    <mergeCell ref="LO39:LO40"/>
    <mergeCell ref="LP39:LP40"/>
    <mergeCell ref="LQ39:LR40"/>
    <mergeCell ref="LS39:LS40"/>
    <mergeCell ref="LQ41:LR41"/>
    <mergeCell ref="LQ42:LR42"/>
    <mergeCell ref="LQ43:LR43"/>
    <mergeCell ref="LQ44:LR44"/>
    <mergeCell ref="LQ45:LR45"/>
    <mergeCell ref="LB25:LH25"/>
    <mergeCell ref="LC27:LF27"/>
    <mergeCell ref="LI27:LL28"/>
    <mergeCell ref="LC28:LF28"/>
    <mergeCell ref="LC29:LF29"/>
    <mergeCell ref="LD41:LE41"/>
    <mergeCell ref="LD42:LE42"/>
    <mergeCell ref="MR55:MW55"/>
    <mergeCell ref="MR54:MW54"/>
    <mergeCell ref="LQ46:LR46"/>
    <mergeCell ref="LQ47:LR47"/>
    <mergeCell ref="LQ48:LR48"/>
    <mergeCell ref="LO51:LW51"/>
    <mergeCell ref="LR52:LW52"/>
    <mergeCell ref="LO53:LP53"/>
    <mergeCell ref="LR53:LW53"/>
    <mergeCell ref="LR55:LW55"/>
    <mergeCell ref="ME52:MJ52"/>
    <mergeCell ref="MB53:MC53"/>
    <mergeCell ref="ME53:MJ53"/>
    <mergeCell ref="ME55:MJ55"/>
    <mergeCell ref="MR52:MW52"/>
    <mergeCell ref="MO53:MP53"/>
    <mergeCell ref="LO54:LP54"/>
    <mergeCell ref="LR54:LW54"/>
    <mergeCell ref="MB54:MC54"/>
    <mergeCell ref="ME54:MJ54"/>
    <mergeCell ref="MO54:MP54"/>
    <mergeCell ref="MR53:MW53"/>
    <mergeCell ref="MK55:MN55"/>
    <mergeCell ref="LX55:MA55"/>
    <mergeCell ref="MQ41:MR41"/>
    <mergeCell ref="MQ42:MR42"/>
    <mergeCell ref="MQ43:MR43"/>
    <mergeCell ref="MQ44:MR44"/>
    <mergeCell ref="MQ45:MR45"/>
    <mergeCell ref="MQ46:MR46"/>
    <mergeCell ref="MQ47:MR47"/>
    <mergeCell ref="MQ48:MR48"/>
    <mergeCell ref="MO51:MW51"/>
    <mergeCell ref="MO25:MU25"/>
    <mergeCell ref="MP27:MS27"/>
    <mergeCell ref="MV27:MY28"/>
    <mergeCell ref="MP28:MS28"/>
    <mergeCell ref="MP29:MS29"/>
    <mergeCell ref="MP30:MQ30"/>
    <mergeCell ref="MQ33:MS33"/>
    <mergeCell ref="MO39:MO40"/>
    <mergeCell ref="MP39:MP40"/>
    <mergeCell ref="MQ39:MR40"/>
    <mergeCell ref="MS39:MS40"/>
    <mergeCell ref="MB25:MH25"/>
    <mergeCell ref="MC27:MF27"/>
    <mergeCell ref="MI27:ML28"/>
    <mergeCell ref="MC28:MF28"/>
    <mergeCell ref="MC29:MF29"/>
    <mergeCell ref="KO25:KU25"/>
    <mergeCell ref="KP27:KS27"/>
    <mergeCell ref="HB19:HF19"/>
    <mergeCell ref="KV27:KY28"/>
    <mergeCell ref="IO3:IS3"/>
    <mergeCell ref="IO9:IU9"/>
    <mergeCell ref="IO12:IS12"/>
    <mergeCell ref="IO14:IS14"/>
    <mergeCell ref="IO16:IS16"/>
    <mergeCell ref="IO23:IU23"/>
    <mergeCell ref="IB3:IF3"/>
    <mergeCell ref="IB9:IH9"/>
    <mergeCell ref="IB12:IF12"/>
    <mergeCell ref="IB14:IF14"/>
    <mergeCell ref="IB16:IF16"/>
    <mergeCell ref="IB23:IH23"/>
    <mergeCell ref="HO3:HS3"/>
    <mergeCell ref="HO9:HU9"/>
    <mergeCell ref="HO12:HS12"/>
    <mergeCell ref="HO14:HS14"/>
    <mergeCell ref="HO16:HS16"/>
    <mergeCell ref="HO23:HU23"/>
    <mergeCell ref="HO19:HS19"/>
    <mergeCell ref="IB19:IF19"/>
    <mergeCell ref="IO19:IS19"/>
    <mergeCell ref="KB3:KF3"/>
    <mergeCell ref="KB9:KH9"/>
    <mergeCell ref="KB12:KF12"/>
    <mergeCell ref="KB14:KF14"/>
    <mergeCell ref="KB16:KF16"/>
    <mergeCell ref="KB23:KH23"/>
    <mergeCell ref="JO3:JS3"/>
    <mergeCell ref="JO9:JU9"/>
    <mergeCell ref="JO12:JS12"/>
    <mergeCell ref="JO14:JS14"/>
    <mergeCell ref="JO16:JS16"/>
    <mergeCell ref="JO23:JU23"/>
    <mergeCell ref="JB3:JF3"/>
    <mergeCell ref="JB9:JH9"/>
    <mergeCell ref="JB12:JF12"/>
    <mergeCell ref="JB14:JF14"/>
    <mergeCell ref="JB16:JF16"/>
    <mergeCell ref="JB23:JH23"/>
    <mergeCell ref="JB19:JF19"/>
    <mergeCell ref="JO19:JS19"/>
    <mergeCell ref="KB19:KF19"/>
    <mergeCell ref="LO3:LS3"/>
    <mergeCell ref="LO9:LU9"/>
    <mergeCell ref="LO12:LS12"/>
    <mergeCell ref="LO14:LS14"/>
    <mergeCell ref="LO16:LS16"/>
    <mergeCell ref="LO23:LU23"/>
    <mergeCell ref="LB3:LF3"/>
    <mergeCell ref="LB9:LH9"/>
    <mergeCell ref="LB12:LF12"/>
    <mergeCell ref="LB14:LF14"/>
    <mergeCell ref="LB16:LF16"/>
    <mergeCell ref="LB23:LH23"/>
    <mergeCell ref="KO3:KS3"/>
    <mergeCell ref="KO9:KU9"/>
    <mergeCell ref="KO12:KS12"/>
    <mergeCell ref="KO14:KS14"/>
    <mergeCell ref="KO16:KS16"/>
    <mergeCell ref="KO23:KU23"/>
    <mergeCell ref="KO19:KS19"/>
    <mergeCell ref="LB19:LF19"/>
    <mergeCell ref="LO19:LS19"/>
    <mergeCell ref="ND43:NE43"/>
    <mergeCell ref="NQ43:NR43"/>
    <mergeCell ref="ND44:NE44"/>
    <mergeCell ref="NQ44:NR44"/>
    <mergeCell ref="ND45:NE45"/>
    <mergeCell ref="NQ45:NR45"/>
    <mergeCell ref="ND46:NE46"/>
    <mergeCell ref="NQ46:NR46"/>
    <mergeCell ref="ND47:NE47"/>
    <mergeCell ref="NQ47:NR47"/>
    <mergeCell ref="MO3:MS3"/>
    <mergeCell ref="MO9:MU9"/>
    <mergeCell ref="MO12:MS12"/>
    <mergeCell ref="MO14:MS14"/>
    <mergeCell ref="MO16:MS16"/>
    <mergeCell ref="MO23:MU23"/>
    <mergeCell ref="MB3:MF3"/>
    <mergeCell ref="MB9:MH9"/>
    <mergeCell ref="MB12:MF12"/>
    <mergeCell ref="MB14:MF14"/>
    <mergeCell ref="MB16:MF16"/>
    <mergeCell ref="MB23:MH23"/>
    <mergeCell ref="MC30:MD30"/>
    <mergeCell ref="MD33:MF33"/>
    <mergeCell ref="MB39:MB40"/>
    <mergeCell ref="MC39:MC40"/>
    <mergeCell ref="MD39:ME40"/>
    <mergeCell ref="MF39:MF40"/>
    <mergeCell ref="MD41:ME41"/>
    <mergeCell ref="MD42:ME42"/>
    <mergeCell ref="MD43:ME43"/>
    <mergeCell ref="NC29:NF29"/>
    <mergeCell ref="NP29:NS29"/>
    <mergeCell ref="NC30:ND30"/>
    <mergeCell ref="NB25:NH25"/>
    <mergeCell ref="NO25:NU25"/>
    <mergeCell ref="NC27:NF27"/>
    <mergeCell ref="NI27:NL28"/>
    <mergeCell ref="NP27:NS27"/>
    <mergeCell ref="ND41:NE41"/>
    <mergeCell ref="NQ41:NR41"/>
    <mergeCell ref="ND42:NE42"/>
    <mergeCell ref="NQ42:NR42"/>
    <mergeCell ref="NP30:NQ30"/>
    <mergeCell ref="ND33:NF33"/>
    <mergeCell ref="NQ33:NS33"/>
    <mergeCell ref="NB39:NB40"/>
    <mergeCell ref="NC39:NC40"/>
    <mergeCell ref="ND39:NE40"/>
    <mergeCell ref="NF39:NF40"/>
    <mergeCell ref="NO39:NO40"/>
    <mergeCell ref="NP39:NP40"/>
    <mergeCell ref="NQ39:NR40"/>
    <mergeCell ref="NS39:NS40"/>
    <mergeCell ref="ND48:NE48"/>
    <mergeCell ref="NQ48:NR48"/>
    <mergeCell ref="NB51:NJ51"/>
    <mergeCell ref="NO51:NW51"/>
    <mergeCell ref="NE52:NJ52"/>
    <mergeCell ref="NR52:NW52"/>
    <mergeCell ref="NB53:NC53"/>
    <mergeCell ref="NE53:NJ53"/>
    <mergeCell ref="NO53:NP53"/>
    <mergeCell ref="NR53:NW53"/>
    <mergeCell ref="HO54:HP54"/>
    <mergeCell ref="NE55:NJ55"/>
    <mergeCell ref="NR55:NW55"/>
    <mergeCell ref="NB3:NF3"/>
    <mergeCell ref="NB9:NH9"/>
    <mergeCell ref="NB12:NF12"/>
    <mergeCell ref="NB14:NF14"/>
    <mergeCell ref="NB16:NF16"/>
    <mergeCell ref="NB23:NH23"/>
    <mergeCell ref="NO3:NS3"/>
    <mergeCell ref="NO9:NU9"/>
    <mergeCell ref="NO12:NS12"/>
    <mergeCell ref="NO14:NS14"/>
    <mergeCell ref="NO16:NS16"/>
    <mergeCell ref="NO23:NU23"/>
    <mergeCell ref="NB54:NC54"/>
    <mergeCell ref="NE54:NJ54"/>
    <mergeCell ref="NO54:NP54"/>
    <mergeCell ref="NR54:NW54"/>
    <mergeCell ref="NV27:NY28"/>
    <mergeCell ref="NC28:NF28"/>
    <mergeCell ref="NP28:NS28"/>
    <mergeCell ref="GO54:GP54"/>
    <mergeCell ref="GR54:GW54"/>
    <mergeCell ref="HB54:HC54"/>
    <mergeCell ref="HE54:HJ54"/>
    <mergeCell ref="IO54:IP54"/>
    <mergeCell ref="EE54:EJ54"/>
    <mergeCell ref="FB54:FC54"/>
    <mergeCell ref="FE54:FJ54"/>
    <mergeCell ref="ER54:EW54"/>
    <mergeCell ref="DO54:DP54"/>
    <mergeCell ref="EB54:EC54"/>
    <mergeCell ref="CO54:CP54"/>
    <mergeCell ref="CR54:CW54"/>
    <mergeCell ref="DB54:DC54"/>
    <mergeCell ref="NO61:NU61"/>
    <mergeCell ref="B64:F64"/>
    <mergeCell ref="AB64:AF64"/>
    <mergeCell ref="AO64:AS64"/>
    <mergeCell ref="BB64:BF64"/>
    <mergeCell ref="BO64:BS64"/>
    <mergeCell ref="CB64:CF64"/>
    <mergeCell ref="CO64:CS64"/>
    <mergeCell ref="DB64:DF64"/>
    <mergeCell ref="DO64:DS64"/>
    <mergeCell ref="EB64:EF64"/>
    <mergeCell ref="EO64:ES64"/>
    <mergeCell ref="FB64:FF64"/>
    <mergeCell ref="FO64:FS64"/>
    <mergeCell ref="GB64:GF64"/>
    <mergeCell ref="GO64:GS64"/>
    <mergeCell ref="HB64:HF64"/>
    <mergeCell ref="HO64:HS64"/>
    <mergeCell ref="B61:H61"/>
    <mergeCell ref="I61:J61"/>
    <mergeCell ref="O61:U61"/>
    <mergeCell ref="AB61:AH61"/>
    <mergeCell ref="AO61:AU61"/>
    <mergeCell ref="BB61:BH61"/>
    <mergeCell ref="BO61:BU61"/>
    <mergeCell ref="CB61:CH61"/>
    <mergeCell ref="NB64:NF64"/>
    <mergeCell ref="MB61:MH61"/>
    <mergeCell ref="MO61:MU61"/>
    <mergeCell ref="NB61:NH61"/>
    <mergeCell ref="EB61:EH61"/>
    <mergeCell ref="EO61:EU61"/>
    <mergeCell ref="FB61:FH61"/>
    <mergeCell ref="FO61:FU61"/>
    <mergeCell ref="GB61:GH61"/>
    <mergeCell ref="GO61:GU61"/>
    <mergeCell ref="HB61:HH61"/>
    <mergeCell ref="IO64:IS64"/>
    <mergeCell ref="HO61:HU61"/>
    <mergeCell ref="IB61:IH61"/>
    <mergeCell ref="IO61:IU61"/>
    <mergeCell ref="CO61:CU61"/>
    <mergeCell ref="HB66:HF66"/>
    <mergeCell ref="HO66:HS66"/>
    <mergeCell ref="IB66:IF66"/>
    <mergeCell ref="IO66:IS66"/>
    <mergeCell ref="JB66:JF66"/>
    <mergeCell ref="JO66:JS66"/>
    <mergeCell ref="KB66:KF66"/>
    <mergeCell ref="JB64:JF64"/>
    <mergeCell ref="JO64:JS64"/>
    <mergeCell ref="KB64:KF64"/>
    <mergeCell ref="NB66:NF66"/>
    <mergeCell ref="LO66:LS66"/>
    <mergeCell ref="MB66:MF66"/>
    <mergeCell ref="JB61:JH61"/>
    <mergeCell ref="JO61:JU61"/>
    <mergeCell ref="KB61:KH61"/>
    <mergeCell ref="KO61:KU61"/>
    <mergeCell ref="LB61:LH61"/>
    <mergeCell ref="LO61:LU61"/>
    <mergeCell ref="MB64:MF64"/>
    <mergeCell ref="MO64:MS64"/>
    <mergeCell ref="NO66:NS66"/>
    <mergeCell ref="B68:F68"/>
    <mergeCell ref="O68:S68"/>
    <mergeCell ref="AB68:AF68"/>
    <mergeCell ref="AO68:AS68"/>
    <mergeCell ref="BB68:BF68"/>
    <mergeCell ref="BO68:BS68"/>
    <mergeCell ref="CB68:CF68"/>
    <mergeCell ref="CO68:CS68"/>
    <mergeCell ref="DB68:DF68"/>
    <mergeCell ref="DO68:DS68"/>
    <mergeCell ref="EB68:EF68"/>
    <mergeCell ref="EO68:ES68"/>
    <mergeCell ref="FB68:FF68"/>
    <mergeCell ref="FO68:FS68"/>
    <mergeCell ref="GB68:GF68"/>
    <mergeCell ref="GO68:GS68"/>
    <mergeCell ref="HB68:HF68"/>
    <mergeCell ref="MB68:MF68"/>
    <mergeCell ref="MO68:MS68"/>
    <mergeCell ref="NB68:NF68"/>
    <mergeCell ref="NO68:NS68"/>
    <mergeCell ref="LO68:LS68"/>
    <mergeCell ref="KO66:KS66"/>
    <mergeCell ref="LB66:LF66"/>
    <mergeCell ref="MO66:MS66"/>
    <mergeCell ref="JB68:JF68"/>
    <mergeCell ref="JO68:JS68"/>
    <mergeCell ref="KB68:KF68"/>
    <mergeCell ref="KO68:KS68"/>
    <mergeCell ref="HO68:HS68"/>
    <mergeCell ref="IB68:IF68"/>
    <mergeCell ref="MO79:MU79"/>
    <mergeCell ref="GO82:GU82"/>
    <mergeCell ref="CO82:CU82"/>
    <mergeCell ref="B77:I77"/>
    <mergeCell ref="O79:U79"/>
    <mergeCell ref="AB79:AH79"/>
    <mergeCell ref="AO79:AU79"/>
    <mergeCell ref="HO79:HU79"/>
    <mergeCell ref="HO82:HU82"/>
    <mergeCell ref="JO82:JU82"/>
    <mergeCell ref="EB79:EH79"/>
    <mergeCell ref="JB82:JH82"/>
    <mergeCell ref="CB79:CH79"/>
    <mergeCell ref="CO79:CU79"/>
    <mergeCell ref="DB79:DH79"/>
    <mergeCell ref="DO79:DU79"/>
    <mergeCell ref="MO82:MU82"/>
    <mergeCell ref="DB82:DH82"/>
    <mergeCell ref="B79:I79"/>
    <mergeCell ref="EO79:EU79"/>
    <mergeCell ref="GB82:GH82"/>
    <mergeCell ref="FO82:FU82"/>
    <mergeCell ref="CB82:CH82"/>
    <mergeCell ref="AB82:AH82"/>
    <mergeCell ref="LB82:LH82"/>
    <mergeCell ref="LO82:LU82"/>
    <mergeCell ref="O82:U82"/>
    <mergeCell ref="BO82:BU82"/>
    <mergeCell ref="HB82:HH82"/>
    <mergeCell ref="IO82:IU82"/>
    <mergeCell ref="EB82:EH82"/>
    <mergeCell ref="BB79:BH79"/>
    <mergeCell ref="NO79:NU79"/>
    <mergeCell ref="NX129:OA129"/>
    <mergeCell ref="NB79:NH79"/>
    <mergeCell ref="GP87:GQ87"/>
    <mergeCell ref="GP84:GS84"/>
    <mergeCell ref="HC87:HD87"/>
    <mergeCell ref="HP84:HS84"/>
    <mergeCell ref="GC86:GF86"/>
    <mergeCell ref="ET97:EU97"/>
    <mergeCell ref="HQ92:HR92"/>
    <mergeCell ref="HD92:HE92"/>
    <mergeCell ref="LC86:LF86"/>
    <mergeCell ref="LC87:LD87"/>
    <mergeCell ref="FB111:FD111"/>
    <mergeCell ref="EB111:ED111"/>
    <mergeCell ref="GB111:GD111"/>
    <mergeCell ref="GE111:GF111"/>
    <mergeCell ref="HP87:HQ87"/>
    <mergeCell ref="II84:IL85"/>
    <mergeCell ref="IC85:IF85"/>
    <mergeCell ref="IC86:IF86"/>
    <mergeCell ref="IC87:ID87"/>
    <mergeCell ref="EE113:EF113"/>
    <mergeCell ref="EB114:ED114"/>
    <mergeCell ref="EB110:ED110"/>
    <mergeCell ref="EE110:EF110"/>
    <mergeCell ref="ER110:ES110"/>
    <mergeCell ref="ER111:ES111"/>
    <mergeCell ref="FR112:FS112"/>
    <mergeCell ref="FR113:FS113"/>
    <mergeCell ref="ET113:EU113"/>
    <mergeCell ref="EO127:EP127"/>
    <mergeCell ref="LP84:LS84"/>
    <mergeCell ref="GP85:GS85"/>
    <mergeCell ref="MB82:MH82"/>
    <mergeCell ref="HB79:HH79"/>
    <mergeCell ref="KC84:KF84"/>
    <mergeCell ref="KI84:KL85"/>
    <mergeCell ref="KC85:KF85"/>
    <mergeCell ref="KC86:KF86"/>
    <mergeCell ref="IO68:IS68"/>
    <mergeCell ref="MC84:MF84"/>
    <mergeCell ref="MI84:ML85"/>
    <mergeCell ref="MC85:MF85"/>
    <mergeCell ref="MC86:MF86"/>
    <mergeCell ref="LI84:LL85"/>
    <mergeCell ref="LP85:LS85"/>
    <mergeCell ref="LB68:LF68"/>
    <mergeCell ref="KP85:KS85"/>
    <mergeCell ref="KB82:KH82"/>
    <mergeCell ref="LC84:LF84"/>
    <mergeCell ref="JI84:JL85"/>
    <mergeCell ref="JC85:JF85"/>
    <mergeCell ref="JC86:JF86"/>
    <mergeCell ref="HC86:HF86"/>
    <mergeCell ref="IO79:IU79"/>
    <mergeCell ref="JB79:JH79"/>
    <mergeCell ref="JO79:JU79"/>
    <mergeCell ref="KB79:KH79"/>
    <mergeCell ref="KO79:KU79"/>
    <mergeCell ref="LB79:LH79"/>
    <mergeCell ref="LO79:LU79"/>
    <mergeCell ref="IB82:IH82"/>
    <mergeCell ref="MB79:MH79"/>
    <mergeCell ref="ID92:IE92"/>
    <mergeCell ref="EO91:EP91"/>
    <mergeCell ref="FB91:FC91"/>
    <mergeCell ref="FO91:FP91"/>
    <mergeCell ref="GO91:GP91"/>
    <mergeCell ref="HB91:HC91"/>
    <mergeCell ref="HO91:HP91"/>
    <mergeCell ref="IB91:IC91"/>
    <mergeCell ref="EP85:ES85"/>
    <mergeCell ref="EP86:ES86"/>
    <mergeCell ref="GC84:GF84"/>
    <mergeCell ref="GI84:GL85"/>
    <mergeCell ref="GC85:GF85"/>
    <mergeCell ref="HI84:HL85"/>
    <mergeCell ref="HC85:HF85"/>
    <mergeCell ref="HC84:HF84"/>
    <mergeCell ref="GD92:GE92"/>
    <mergeCell ref="FD92:FE92"/>
    <mergeCell ref="FP85:FS85"/>
    <mergeCell ref="FP86:FS86"/>
    <mergeCell ref="FP87:FQ87"/>
    <mergeCell ref="FQ92:FR92"/>
    <mergeCell ref="EP87:EQ87"/>
    <mergeCell ref="KO82:KU82"/>
    <mergeCell ref="EP84:ES84"/>
    <mergeCell ref="KP84:KS84"/>
    <mergeCell ref="EQ92:ER92"/>
    <mergeCell ref="EO82:EU82"/>
    <mergeCell ref="JC87:JD87"/>
    <mergeCell ref="KP86:KS86"/>
    <mergeCell ref="KP87:KQ87"/>
    <mergeCell ref="JP84:JS84"/>
    <mergeCell ref="JV84:JY85"/>
    <mergeCell ref="JP85:JS85"/>
    <mergeCell ref="JP86:JS86"/>
    <mergeCell ref="HV84:HY85"/>
    <mergeCell ref="FB79:FH79"/>
    <mergeCell ref="FO79:FU79"/>
    <mergeCell ref="GB79:GH79"/>
    <mergeCell ref="GO79:GU79"/>
    <mergeCell ref="IP84:IS84"/>
    <mergeCell ref="KC87:KD87"/>
    <mergeCell ref="GP86:GS86"/>
    <mergeCell ref="IB79:IH79"/>
    <mergeCell ref="GC87:GD87"/>
    <mergeCell ref="IC84:IF84"/>
    <mergeCell ref="FB82:FH82"/>
    <mergeCell ref="FC85:FF85"/>
    <mergeCell ref="FC86:FF86"/>
    <mergeCell ref="FC87:FD87"/>
    <mergeCell ref="GV84:GY85"/>
    <mergeCell ref="EV84:EY85"/>
    <mergeCell ref="FP84:FS84"/>
    <mergeCell ref="GQ92:GR92"/>
    <mergeCell ref="JD92:JE92"/>
    <mergeCell ref="IV84:IY85"/>
    <mergeCell ref="IP85:IS85"/>
    <mergeCell ref="IP86:IS86"/>
    <mergeCell ref="IP87:IQ87"/>
    <mergeCell ref="JC84:JF84"/>
    <mergeCell ref="FC84:FF84"/>
    <mergeCell ref="BV84:BY85"/>
    <mergeCell ref="BQ92:BR92"/>
    <mergeCell ref="HP85:HS85"/>
    <mergeCell ref="HP86:HS86"/>
    <mergeCell ref="DO82:DU82"/>
    <mergeCell ref="BC86:BF86"/>
    <mergeCell ref="BC87:BD87"/>
    <mergeCell ref="DQ92:DR92"/>
    <mergeCell ref="DI84:DL85"/>
    <mergeCell ref="DC85:DF85"/>
    <mergeCell ref="ED92:EE92"/>
    <mergeCell ref="DV84:DY85"/>
    <mergeCell ref="FI84:FL85"/>
    <mergeCell ref="FV84:FY85"/>
    <mergeCell ref="BP87:BQ87"/>
    <mergeCell ref="IQ92:IR92"/>
    <mergeCell ref="CB91:CC91"/>
    <mergeCell ref="CP84:CS84"/>
    <mergeCell ref="CV84:CY85"/>
    <mergeCell ref="CP85:CS85"/>
    <mergeCell ref="CP86:CS86"/>
    <mergeCell ref="EC87:ED87"/>
    <mergeCell ref="DC86:DF86"/>
    <mergeCell ref="EC84:EF84"/>
    <mergeCell ref="EI84:EL85"/>
    <mergeCell ref="EC85:EF85"/>
    <mergeCell ref="AD92:AE92"/>
    <mergeCell ref="CB107:CD107"/>
    <mergeCell ref="AP87:AQ87"/>
    <mergeCell ref="AV84:AY85"/>
    <mergeCell ref="BP85:BS85"/>
    <mergeCell ref="CC85:CF85"/>
    <mergeCell ref="CC86:CF86"/>
    <mergeCell ref="CC87:CD87"/>
    <mergeCell ref="AC84:AF84"/>
    <mergeCell ref="AI84:AL85"/>
    <mergeCell ref="AC85:AF85"/>
    <mergeCell ref="AC86:AF86"/>
    <mergeCell ref="AC87:AD87"/>
    <mergeCell ref="AD93:AE93"/>
    <mergeCell ref="AB96:AH96"/>
    <mergeCell ref="AB97:AD97"/>
    <mergeCell ref="AE97:AF97"/>
    <mergeCell ref="AB99:AD99"/>
    <mergeCell ref="AE99:AF99"/>
    <mergeCell ref="AG99:AH99"/>
    <mergeCell ref="AG100:AH100"/>
    <mergeCell ref="BB106:BD106"/>
    <mergeCell ref="BB104:BD104"/>
    <mergeCell ref="AO98:AQ98"/>
    <mergeCell ref="AR98:AS98"/>
    <mergeCell ref="BG98:BH98"/>
    <mergeCell ref="BE103:BF103"/>
    <mergeCell ref="CB97:CD97"/>
    <mergeCell ref="AE103:AF103"/>
    <mergeCell ref="AR102:AS102"/>
    <mergeCell ref="AG107:AH107"/>
    <mergeCell ref="BE102:BF102"/>
    <mergeCell ref="DC84:DF84"/>
    <mergeCell ref="DC87:DD87"/>
    <mergeCell ref="DG99:DH99"/>
    <mergeCell ref="BR113:BS113"/>
    <mergeCell ref="BT113:BU113"/>
    <mergeCell ref="CE107:CF107"/>
    <mergeCell ref="CE102:CF102"/>
    <mergeCell ref="CB108:CD108"/>
    <mergeCell ref="AT109:AU109"/>
    <mergeCell ref="BT107:BU107"/>
    <mergeCell ref="BT108:BU108"/>
    <mergeCell ref="BR103:BS103"/>
    <mergeCell ref="BR106:BS106"/>
    <mergeCell ref="BT102:BU102"/>
    <mergeCell ref="BT111:BU111"/>
    <mergeCell ref="BT109:BU109"/>
    <mergeCell ref="BT103:BU103"/>
    <mergeCell ref="BT104:BU104"/>
    <mergeCell ref="BP86:BS86"/>
    <mergeCell ref="CO107:CQ107"/>
    <mergeCell ref="BD92:BE92"/>
    <mergeCell ref="BB110:BD110"/>
    <mergeCell ref="BT112:BU112"/>
    <mergeCell ref="CQ93:CR93"/>
    <mergeCell ref="CO98:CQ98"/>
    <mergeCell ref="CR98:CS98"/>
    <mergeCell ref="BR97:BS97"/>
    <mergeCell ref="BG97:BH97"/>
    <mergeCell ref="CE97:CF97"/>
    <mergeCell ref="CO96:CU96"/>
    <mergeCell ref="DD93:DE93"/>
    <mergeCell ref="DB96:DH96"/>
    <mergeCell ref="DE122:DF122"/>
    <mergeCell ref="BB115:BD115"/>
    <mergeCell ref="CR115:CS115"/>
    <mergeCell ref="DG115:DH115"/>
    <mergeCell ref="BE118:BF118"/>
    <mergeCell ref="BG114:BH114"/>
    <mergeCell ref="DB111:DD111"/>
    <mergeCell ref="CB111:CD111"/>
    <mergeCell ref="CE111:CF111"/>
    <mergeCell ref="BG111:BH111"/>
    <mergeCell ref="BG112:BH112"/>
    <mergeCell ref="DB114:DD114"/>
    <mergeCell ref="CT113:CU113"/>
    <mergeCell ref="CT112:CU112"/>
    <mergeCell ref="BR118:BS118"/>
    <mergeCell ref="AT115:AU115"/>
    <mergeCell ref="DG114:DH114"/>
    <mergeCell ref="CO112:CQ112"/>
    <mergeCell ref="BG117:BH117"/>
    <mergeCell ref="CB121:CD121"/>
    <mergeCell ref="CB120:CD120"/>
    <mergeCell ref="CG115:CH115"/>
    <mergeCell ref="CG119:CH119"/>
    <mergeCell ref="BB113:BD113"/>
    <mergeCell ref="CT120:CU120"/>
    <mergeCell ref="CR112:CS112"/>
    <mergeCell ref="DG111:DH111"/>
    <mergeCell ref="BE113:BF113"/>
    <mergeCell ref="BB112:BD112"/>
    <mergeCell ref="BE112:BF112"/>
    <mergeCell ref="BG118:BH118"/>
    <mergeCell ref="BG119:BH119"/>
    <mergeCell ref="E114:F114"/>
    <mergeCell ref="E115:F115"/>
    <mergeCell ref="AE118:AF118"/>
    <mergeCell ref="AB115:AD115"/>
    <mergeCell ref="AO115:AQ115"/>
    <mergeCell ref="AE113:AF113"/>
    <mergeCell ref="AE114:AF114"/>
    <mergeCell ref="AE115:AF115"/>
    <mergeCell ref="O112:Q112"/>
    <mergeCell ref="DE127:DJ127"/>
    <mergeCell ref="BO116:BQ116"/>
    <mergeCell ref="DE119:DF119"/>
    <mergeCell ref="DO117:DQ117"/>
    <mergeCell ref="DO113:DQ113"/>
    <mergeCell ref="AE120:AF120"/>
    <mergeCell ref="CR113:CS113"/>
    <mergeCell ref="BE119:BF119"/>
    <mergeCell ref="AR115:AS115"/>
    <mergeCell ref="AO116:AQ116"/>
    <mergeCell ref="AR116:AS116"/>
    <mergeCell ref="AT121:AU121"/>
    <mergeCell ref="DG112:DH112"/>
    <mergeCell ref="BG115:BH115"/>
    <mergeCell ref="BO114:BQ114"/>
    <mergeCell ref="CO117:CQ117"/>
    <mergeCell ref="BT122:BU122"/>
    <mergeCell ref="AO121:AQ121"/>
    <mergeCell ref="AO120:AQ120"/>
    <mergeCell ref="R122:S122"/>
    <mergeCell ref="BR127:BW127"/>
    <mergeCell ref="BB127:BC127"/>
    <mergeCell ref="BR126:BW126"/>
    <mergeCell ref="G118:H118"/>
    <mergeCell ref="G119:H119"/>
    <mergeCell ref="G120:H120"/>
    <mergeCell ref="R110:S110"/>
    <mergeCell ref="AE110:AF110"/>
    <mergeCell ref="AR112:AS112"/>
    <mergeCell ref="G116:H116"/>
    <mergeCell ref="G117:H117"/>
    <mergeCell ref="R118:S118"/>
    <mergeCell ref="R119:S119"/>
    <mergeCell ref="O111:Q111"/>
    <mergeCell ref="G110:H110"/>
    <mergeCell ref="R112:S112"/>
    <mergeCell ref="O113:Q113"/>
    <mergeCell ref="R113:S113"/>
    <mergeCell ref="AE112:AF112"/>
    <mergeCell ref="AB112:AD112"/>
    <mergeCell ref="T113:U113"/>
    <mergeCell ref="T114:U114"/>
    <mergeCell ref="O119:Q119"/>
    <mergeCell ref="AG110:AH110"/>
    <mergeCell ref="T110:U110"/>
    <mergeCell ref="R111:S111"/>
    <mergeCell ref="AB113:AD113"/>
    <mergeCell ref="AO117:AQ117"/>
    <mergeCell ref="AB111:AD111"/>
    <mergeCell ref="AG112:AH112"/>
    <mergeCell ref="AE111:AF111"/>
    <mergeCell ref="T118:U118"/>
    <mergeCell ref="T112:U112"/>
    <mergeCell ref="AO110:AQ110"/>
    <mergeCell ref="AR111:AS111"/>
    <mergeCell ref="E129:J129"/>
    <mergeCell ref="BR129:BW129"/>
    <mergeCell ref="DB116:DD116"/>
    <mergeCell ref="DB113:DD113"/>
    <mergeCell ref="DB112:DD112"/>
    <mergeCell ref="DE112:DF112"/>
    <mergeCell ref="E118:F118"/>
    <mergeCell ref="E119:F119"/>
    <mergeCell ref="B118:D118"/>
    <mergeCell ref="R117:S117"/>
    <mergeCell ref="B117:D117"/>
    <mergeCell ref="AG113:AH113"/>
    <mergeCell ref="O118:Q118"/>
    <mergeCell ref="BR120:BS120"/>
    <mergeCell ref="CR116:CS116"/>
    <mergeCell ref="CO116:CQ116"/>
    <mergeCell ref="CT114:CU114"/>
    <mergeCell ref="CT117:CU117"/>
    <mergeCell ref="BT115:BU115"/>
    <mergeCell ref="BT116:BU116"/>
    <mergeCell ref="BT117:BU117"/>
    <mergeCell ref="BT118:BU118"/>
    <mergeCell ref="BT119:BU119"/>
    <mergeCell ref="BT120:BU120"/>
    <mergeCell ref="DE129:DJ129"/>
    <mergeCell ref="DG120:DH120"/>
    <mergeCell ref="K129:N129"/>
    <mergeCell ref="X129:AA129"/>
    <mergeCell ref="AK129:AN129"/>
    <mergeCell ref="AX129:BA129"/>
    <mergeCell ref="BK129:BN129"/>
    <mergeCell ref="T115:U115"/>
    <mergeCell ref="BE126:BJ126"/>
    <mergeCell ref="CE126:CJ126"/>
    <mergeCell ref="CO111:CQ111"/>
    <mergeCell ref="CR111:CS111"/>
    <mergeCell ref="DB121:DD121"/>
    <mergeCell ref="DG119:DH119"/>
    <mergeCell ref="CO128:CP128"/>
    <mergeCell ref="AE116:AF116"/>
    <mergeCell ref="DB119:DD119"/>
    <mergeCell ref="CT118:CU118"/>
    <mergeCell ref="DE116:DF116"/>
    <mergeCell ref="CO120:CQ120"/>
    <mergeCell ref="CR120:CS120"/>
    <mergeCell ref="DB117:DD117"/>
    <mergeCell ref="DE117:DF117"/>
    <mergeCell ref="DB118:DD118"/>
    <mergeCell ref="CR119:CS119"/>
    <mergeCell ref="CO114:CQ114"/>
    <mergeCell ref="CR114:CS114"/>
    <mergeCell ref="BO120:BQ120"/>
    <mergeCell ref="AR119:AS119"/>
    <mergeCell ref="DB120:DD120"/>
    <mergeCell ref="DE120:DF120"/>
    <mergeCell ref="BB122:BD122"/>
    <mergeCell ref="BE122:BF122"/>
    <mergeCell ref="DG122:DH122"/>
    <mergeCell ref="DE126:DJ126"/>
    <mergeCell ref="DG121:DH121"/>
    <mergeCell ref="DB125:DJ125"/>
    <mergeCell ref="AO113:AQ113"/>
    <mergeCell ref="AT111:AU111"/>
    <mergeCell ref="CO119:CQ119"/>
    <mergeCell ref="ET107:EU107"/>
    <mergeCell ref="ER101:ES101"/>
    <mergeCell ref="FB120:FD120"/>
    <mergeCell ref="FE120:FF120"/>
    <mergeCell ref="ET117:EU117"/>
    <mergeCell ref="EO121:EQ121"/>
    <mergeCell ref="EE100:EF100"/>
    <mergeCell ref="FO120:FQ120"/>
    <mergeCell ref="BG108:BH108"/>
    <mergeCell ref="BO111:BQ111"/>
    <mergeCell ref="BT105:BU105"/>
    <mergeCell ref="BO110:BQ110"/>
    <mergeCell ref="BO109:BQ109"/>
    <mergeCell ref="BR110:BS110"/>
    <mergeCell ref="AO106:AQ106"/>
    <mergeCell ref="ET121:EU121"/>
    <mergeCell ref="ER121:ES121"/>
    <mergeCell ref="FB115:FD115"/>
    <mergeCell ref="EG115:EH115"/>
    <mergeCell ref="EG118:EH118"/>
    <mergeCell ref="EO116:EQ116"/>
    <mergeCell ref="ER116:ES116"/>
    <mergeCell ref="EO117:EQ117"/>
    <mergeCell ref="ER117:ES117"/>
    <mergeCell ref="EO118:EQ118"/>
    <mergeCell ref="ET120:EU120"/>
    <mergeCell ref="FG118:FH118"/>
    <mergeCell ref="EG103:EH103"/>
    <mergeCell ref="EB103:ED103"/>
    <mergeCell ref="EG105:EH105"/>
    <mergeCell ref="BO113:BQ113"/>
    <mergeCell ref="BB116:BD116"/>
    <mergeCell ref="GR101:GS101"/>
    <mergeCell ref="GO102:GQ102"/>
    <mergeCell ref="GR102:GS102"/>
    <mergeCell ref="GO103:GQ103"/>
    <mergeCell ref="GR103:GS103"/>
    <mergeCell ref="FB101:FD101"/>
    <mergeCell ref="FE101:FF101"/>
    <mergeCell ref="FB102:FD102"/>
    <mergeCell ref="FR105:FS105"/>
    <mergeCell ref="FT99:FU99"/>
    <mergeCell ref="FT100:FU100"/>
    <mergeCell ref="JO99:JQ99"/>
    <mergeCell ref="JR99:JS99"/>
    <mergeCell ref="CR106:CS106"/>
    <mergeCell ref="DB99:DD99"/>
    <mergeCell ref="DE99:DF99"/>
    <mergeCell ref="DB100:DD100"/>
    <mergeCell ref="JO100:JQ100"/>
    <mergeCell ref="FT104:FU104"/>
    <mergeCell ref="FT105:FU105"/>
    <mergeCell ref="HT99:HU99"/>
    <mergeCell ref="HT100:HU100"/>
    <mergeCell ref="HT101:HU101"/>
    <mergeCell ref="HG99:HH99"/>
    <mergeCell ref="HG100:HH100"/>
    <mergeCell ref="HG101:HH101"/>
    <mergeCell ref="HR99:HS99"/>
    <mergeCell ref="HR103:HS103"/>
    <mergeCell ref="HR104:HS104"/>
    <mergeCell ref="HT103:HU103"/>
    <mergeCell ref="FO105:FQ105"/>
    <mergeCell ref="FE105:FF105"/>
    <mergeCell ref="DK129:DN129"/>
    <mergeCell ref="EE129:EJ129"/>
    <mergeCell ref="EE119:EF119"/>
    <mergeCell ref="DO128:DP128"/>
    <mergeCell ref="DR128:DW128"/>
    <mergeCell ref="DO125:DW125"/>
    <mergeCell ref="DR126:DW126"/>
    <mergeCell ref="DO127:DP127"/>
    <mergeCell ref="DR127:DW127"/>
    <mergeCell ref="EE120:EF120"/>
    <mergeCell ref="DT122:DU122"/>
    <mergeCell ref="DO121:DQ121"/>
    <mergeCell ref="JR100:JS100"/>
    <mergeCell ref="KB99:KD99"/>
    <mergeCell ref="KB100:KD100"/>
    <mergeCell ref="GB127:GC127"/>
    <mergeCell ref="GE127:GJ127"/>
    <mergeCell ref="HB127:HC127"/>
    <mergeCell ref="HE127:HJ127"/>
    <mergeCell ref="GT113:GU113"/>
    <mergeCell ref="FT112:FU112"/>
    <mergeCell ref="FT113:FU113"/>
    <mergeCell ref="FB112:FD112"/>
    <mergeCell ref="GG100:GH100"/>
    <mergeCell ref="GO111:GQ111"/>
    <mergeCell ref="GR111:GS111"/>
    <mergeCell ref="GG104:GH104"/>
    <mergeCell ref="GO101:GQ101"/>
    <mergeCell ref="IR112:IS112"/>
    <mergeCell ref="FG113:FH113"/>
    <mergeCell ref="FB108:FD108"/>
    <mergeCell ref="FE108:FF108"/>
    <mergeCell ref="FB127:FC127"/>
    <mergeCell ref="FE127:FJ127"/>
    <mergeCell ref="FB119:FD119"/>
    <mergeCell ref="FE116:FF116"/>
    <mergeCell ref="EO128:EP128"/>
    <mergeCell ref="ER128:EW128"/>
    <mergeCell ref="EE128:EJ128"/>
    <mergeCell ref="EG119:EH119"/>
    <mergeCell ref="EG120:EH120"/>
    <mergeCell ref="EG121:EH121"/>
    <mergeCell ref="EB127:EC127"/>
    <mergeCell ref="EE127:EJ127"/>
    <mergeCell ref="DO119:DQ119"/>
    <mergeCell ref="EG122:EH122"/>
    <mergeCell ref="DR120:DS120"/>
    <mergeCell ref="EB125:EJ125"/>
    <mergeCell ref="EE126:EJ126"/>
    <mergeCell ref="EE121:EF121"/>
    <mergeCell ref="EB122:ED122"/>
    <mergeCell ref="EE122:EF122"/>
    <mergeCell ref="DO122:DQ122"/>
    <mergeCell ref="DR122:DS122"/>
    <mergeCell ref="DR119:DS119"/>
    <mergeCell ref="EB128:EC128"/>
    <mergeCell ref="EB120:ED120"/>
    <mergeCell ref="FB118:FD118"/>
    <mergeCell ref="DT117:DU117"/>
    <mergeCell ref="DT116:DU116"/>
    <mergeCell ref="FB116:FD116"/>
    <mergeCell ref="ET119:EU119"/>
    <mergeCell ref="EG116:EH116"/>
    <mergeCell ref="EG117:EH117"/>
    <mergeCell ref="EO125:EW125"/>
    <mergeCell ref="FE117:FF117"/>
    <mergeCell ref="EE118:EF118"/>
    <mergeCell ref="FE122:FF122"/>
    <mergeCell ref="ET118:EU118"/>
    <mergeCell ref="FE118:FF118"/>
    <mergeCell ref="ER119:ES119"/>
    <mergeCell ref="FB117:FD117"/>
    <mergeCell ref="FR129:FW129"/>
    <mergeCell ref="FO115:FQ115"/>
    <mergeCell ref="FR115:FS115"/>
    <mergeCell ref="FO116:FQ116"/>
    <mergeCell ref="FR116:FS116"/>
    <mergeCell ref="FO117:FQ117"/>
    <mergeCell ref="FR117:FS117"/>
    <mergeCell ref="FO118:FQ118"/>
    <mergeCell ref="FT114:FU114"/>
    <mergeCell ref="FT115:FU115"/>
    <mergeCell ref="FT116:FU116"/>
    <mergeCell ref="FT117:FU117"/>
    <mergeCell ref="FO122:FQ122"/>
    <mergeCell ref="FT122:FU122"/>
    <mergeCell ref="FR127:FW127"/>
    <mergeCell ref="FG116:FH116"/>
    <mergeCell ref="FO121:FQ121"/>
    <mergeCell ref="FR120:FS120"/>
    <mergeCell ref="FR121:FS121"/>
    <mergeCell ref="FT120:FU120"/>
    <mergeCell ref="FG114:FH114"/>
    <mergeCell ref="FG115:FH115"/>
    <mergeCell ref="FG119:FH119"/>
    <mergeCell ref="FO114:FQ114"/>
    <mergeCell ref="FO128:FP128"/>
    <mergeCell ref="FR128:FW128"/>
    <mergeCell ref="FO127:FP127"/>
    <mergeCell ref="FE129:FJ129"/>
    <mergeCell ref="FB125:FJ125"/>
    <mergeCell ref="FK129:FN129"/>
    <mergeCell ref="FB128:FC128"/>
    <mergeCell ref="ER113:ES113"/>
    <mergeCell ref="ET106:EU106"/>
    <mergeCell ref="FR111:FS111"/>
    <mergeCell ref="FB109:FD109"/>
    <mergeCell ref="FE109:FF109"/>
    <mergeCell ref="DG113:DH113"/>
    <mergeCell ref="DG110:DH110"/>
    <mergeCell ref="EB107:ED107"/>
    <mergeCell ref="DR107:DS107"/>
    <mergeCell ref="DO108:DQ108"/>
    <mergeCell ref="DR108:DS108"/>
    <mergeCell ref="EB108:ED108"/>
    <mergeCell ref="EE107:EF107"/>
    <mergeCell ref="EE108:EF108"/>
    <mergeCell ref="EO109:EQ109"/>
    <mergeCell ref="ER109:ES109"/>
    <mergeCell ref="EO113:EQ113"/>
    <mergeCell ref="EB112:ED112"/>
    <mergeCell ref="DO110:DQ110"/>
    <mergeCell ref="ET110:EU110"/>
    <mergeCell ref="EG108:EH108"/>
    <mergeCell ref="FG106:FH106"/>
    <mergeCell ref="DR113:DS113"/>
    <mergeCell ref="DO112:DQ112"/>
    <mergeCell ref="FE112:FF112"/>
    <mergeCell ref="EB109:ED109"/>
    <mergeCell ref="FE110:FF110"/>
    <mergeCell ref="FG110:FH110"/>
    <mergeCell ref="FG111:FH111"/>
    <mergeCell ref="CT111:CU111"/>
    <mergeCell ref="DG109:DH109"/>
    <mergeCell ref="CR105:CS105"/>
    <mergeCell ref="CR110:CS110"/>
    <mergeCell ref="CB98:CD98"/>
    <mergeCell ref="CG103:CH103"/>
    <mergeCell ref="CE99:CF99"/>
    <mergeCell ref="CB100:CD100"/>
    <mergeCell ref="CE100:CF100"/>
    <mergeCell ref="CB101:CD101"/>
    <mergeCell ref="CE101:CF101"/>
    <mergeCell ref="CO106:CQ106"/>
    <mergeCell ref="CO100:CQ100"/>
    <mergeCell ref="CR100:CS100"/>
    <mergeCell ref="DG106:DH106"/>
    <mergeCell ref="DG107:DH107"/>
    <mergeCell ref="CE106:CF106"/>
    <mergeCell ref="CB109:CD109"/>
    <mergeCell ref="CG111:CH111"/>
    <mergeCell ref="CG108:CH108"/>
    <mergeCell ref="DE109:DF109"/>
    <mergeCell ref="CG101:CH101"/>
    <mergeCell ref="CG102:CH102"/>
    <mergeCell ref="DB109:DD109"/>
    <mergeCell ref="DE110:DF110"/>
    <mergeCell ref="DB110:DD110"/>
    <mergeCell ref="DE111:DF111"/>
    <mergeCell ref="DG108:DH108"/>
    <mergeCell ref="DE104:DF104"/>
    <mergeCell ref="DB108:DD108"/>
    <mergeCell ref="DE108:DF108"/>
    <mergeCell ref="CE108:CF108"/>
    <mergeCell ref="DT110:DU110"/>
    <mergeCell ref="DO103:DQ103"/>
    <mergeCell ref="DO104:DQ104"/>
    <mergeCell ref="CE109:CF109"/>
    <mergeCell ref="DO107:DQ107"/>
    <mergeCell ref="AO105:AQ105"/>
    <mergeCell ref="AR105:AS105"/>
    <mergeCell ref="CO105:CQ105"/>
    <mergeCell ref="DB104:DD104"/>
    <mergeCell ref="CT110:CU110"/>
    <mergeCell ref="AR106:AS106"/>
    <mergeCell ref="AO107:AQ107"/>
    <mergeCell ref="AR107:AS107"/>
    <mergeCell ref="BR104:BS104"/>
    <mergeCell ref="BE104:BF104"/>
    <mergeCell ref="BB105:BD105"/>
    <mergeCell ref="BG104:BH104"/>
    <mergeCell ref="AT103:AU103"/>
    <mergeCell ref="AO103:AQ103"/>
    <mergeCell ref="AO109:AQ109"/>
    <mergeCell ref="AR108:AS108"/>
    <mergeCell ref="AO108:AQ108"/>
    <mergeCell ref="BO103:BQ103"/>
    <mergeCell ref="BR107:BS107"/>
    <mergeCell ref="BO104:BQ104"/>
    <mergeCell ref="AT107:AU107"/>
    <mergeCell ref="BE106:BF106"/>
    <mergeCell ref="BE105:BF105"/>
    <mergeCell ref="CR104:CS104"/>
    <mergeCell ref="AR104:AS104"/>
    <mergeCell ref="BG105:BH105"/>
    <mergeCell ref="B99:D99"/>
    <mergeCell ref="E99:F99"/>
    <mergeCell ref="R99:S99"/>
    <mergeCell ref="C85:F85"/>
    <mergeCell ref="C84:F84"/>
    <mergeCell ref="CR108:CS108"/>
    <mergeCell ref="CR107:CS107"/>
    <mergeCell ref="DB105:DD105"/>
    <mergeCell ref="DR110:DS110"/>
    <mergeCell ref="BR109:BS109"/>
    <mergeCell ref="AT110:AU110"/>
    <mergeCell ref="BT106:BU106"/>
    <mergeCell ref="BG109:BH109"/>
    <mergeCell ref="BT110:BU110"/>
    <mergeCell ref="AG104:AH104"/>
    <mergeCell ref="BG103:BH103"/>
    <mergeCell ref="BO106:BQ106"/>
    <mergeCell ref="AR103:AS103"/>
    <mergeCell ref="BB107:BD107"/>
    <mergeCell ref="BE107:BF107"/>
    <mergeCell ref="AG106:AH106"/>
    <mergeCell ref="AE107:AF107"/>
    <mergeCell ref="AB107:AD107"/>
    <mergeCell ref="AE109:AF109"/>
    <mergeCell ref="AG105:AH105"/>
    <mergeCell ref="CQ92:CR92"/>
    <mergeCell ref="BP84:BS84"/>
    <mergeCell ref="Q92:R92"/>
    <mergeCell ref="CI84:CL85"/>
    <mergeCell ref="P84:S84"/>
    <mergeCell ref="V84:Y85"/>
    <mergeCell ref="P85:S85"/>
    <mergeCell ref="B100:D100"/>
    <mergeCell ref="O103:Q103"/>
    <mergeCell ref="BO100:BQ100"/>
    <mergeCell ref="BR100:BS100"/>
    <mergeCell ref="AE102:AF102"/>
    <mergeCell ref="B70:F70"/>
    <mergeCell ref="B75:F75"/>
    <mergeCell ref="T97:U97"/>
    <mergeCell ref="T98:U98"/>
    <mergeCell ref="T99:U99"/>
    <mergeCell ref="CD95:CE95"/>
    <mergeCell ref="BQ93:BR93"/>
    <mergeCell ref="CD93:CE93"/>
    <mergeCell ref="BG99:BH99"/>
    <mergeCell ref="AB98:AD98"/>
    <mergeCell ref="BO79:BU79"/>
    <mergeCell ref="BB82:BH82"/>
    <mergeCell ref="P86:S86"/>
    <mergeCell ref="P87:Q87"/>
    <mergeCell ref="C87:D87"/>
    <mergeCell ref="C86:F86"/>
    <mergeCell ref="BD93:BE93"/>
    <mergeCell ref="D92:E92"/>
    <mergeCell ref="AG98:AH98"/>
    <mergeCell ref="AO82:AU82"/>
    <mergeCell ref="AP84:AS84"/>
    <mergeCell ref="AO96:AU96"/>
    <mergeCell ref="AO97:AQ97"/>
    <mergeCell ref="AR97:AS97"/>
    <mergeCell ref="B82:H82"/>
    <mergeCell ref="B95:C95"/>
    <mergeCell ref="D93:E93"/>
    <mergeCell ref="B91:C91"/>
    <mergeCell ref="D91:E91"/>
    <mergeCell ref="BO95:BP95"/>
    <mergeCell ref="B97:D97"/>
    <mergeCell ref="B98:D98"/>
    <mergeCell ref="AE98:AF98"/>
    <mergeCell ref="R98:S98"/>
    <mergeCell ref="E98:F98"/>
    <mergeCell ref="AG97:AH97"/>
    <mergeCell ref="B96:H96"/>
    <mergeCell ref="D95:E95"/>
    <mergeCell ref="Q93:R93"/>
    <mergeCell ref="Q95:R95"/>
    <mergeCell ref="G98:H98"/>
    <mergeCell ref="O97:Q97"/>
    <mergeCell ref="BE98:BF98"/>
    <mergeCell ref="AP85:AS85"/>
    <mergeCell ref="AP86:AS86"/>
    <mergeCell ref="E97:F97"/>
    <mergeCell ref="AQ95:AR95"/>
    <mergeCell ref="O95:P95"/>
    <mergeCell ref="AD95:AE95"/>
    <mergeCell ref="AB95:AC95"/>
    <mergeCell ref="I84:L85"/>
    <mergeCell ref="O91:P91"/>
    <mergeCell ref="G97:H97"/>
    <mergeCell ref="AT98:AU98"/>
    <mergeCell ref="AB91:AC91"/>
    <mergeCell ref="Q91:R91"/>
    <mergeCell ref="BE111:BF111"/>
    <mergeCell ref="AB100:AD100"/>
    <mergeCell ref="AE100:AF100"/>
    <mergeCell ref="BO102:BQ102"/>
    <mergeCell ref="BB102:BD102"/>
    <mergeCell ref="BR102:BS102"/>
    <mergeCell ref="BB99:BD99"/>
    <mergeCell ref="BE99:BF99"/>
    <mergeCell ref="BG100:BH100"/>
    <mergeCell ref="AT99:AU99"/>
    <mergeCell ref="R101:S101"/>
    <mergeCell ref="BG102:BH102"/>
    <mergeCell ref="G109:H109"/>
    <mergeCell ref="G111:H111"/>
    <mergeCell ref="G112:H112"/>
    <mergeCell ref="T106:U106"/>
    <mergeCell ref="O105:Q105"/>
    <mergeCell ref="R100:S100"/>
    <mergeCell ref="T101:U101"/>
    <mergeCell ref="T102:U102"/>
    <mergeCell ref="O104:Q104"/>
    <mergeCell ref="R104:S104"/>
    <mergeCell ref="O100:Q100"/>
    <mergeCell ref="G101:H101"/>
    <mergeCell ref="G102:H102"/>
    <mergeCell ref="R103:S103"/>
    <mergeCell ref="BR112:BS112"/>
    <mergeCell ref="BE110:BF110"/>
    <mergeCell ref="AE105:AF105"/>
    <mergeCell ref="AE101:AF101"/>
    <mergeCell ref="AE104:AF104"/>
    <mergeCell ref="E100:F100"/>
    <mergeCell ref="E104:F104"/>
    <mergeCell ref="T100:U100"/>
    <mergeCell ref="T107:U107"/>
    <mergeCell ref="T103:U103"/>
    <mergeCell ref="T104:U104"/>
    <mergeCell ref="T105:U105"/>
    <mergeCell ref="T111:U111"/>
    <mergeCell ref="G103:H103"/>
    <mergeCell ref="G104:H104"/>
    <mergeCell ref="G105:H105"/>
    <mergeCell ref="G106:H106"/>
    <mergeCell ref="G107:H107"/>
    <mergeCell ref="G108:H108"/>
    <mergeCell ref="E107:F107"/>
    <mergeCell ref="E103:F103"/>
    <mergeCell ref="BB111:BD111"/>
    <mergeCell ref="B105:D105"/>
    <mergeCell ref="O102:Q102"/>
    <mergeCell ref="B103:D103"/>
    <mergeCell ref="B104:D104"/>
    <mergeCell ref="B101:D101"/>
    <mergeCell ref="E111:F111"/>
    <mergeCell ref="B112:D112"/>
    <mergeCell ref="B110:D110"/>
    <mergeCell ref="O101:Q101"/>
    <mergeCell ref="B108:D108"/>
    <mergeCell ref="B109:D109"/>
    <mergeCell ref="O110:Q110"/>
    <mergeCell ref="E110:F110"/>
    <mergeCell ref="B106:D106"/>
    <mergeCell ref="B107:D107"/>
    <mergeCell ref="B102:D102"/>
    <mergeCell ref="AB105:AD105"/>
    <mergeCell ref="R105:S105"/>
    <mergeCell ref="R106:S106"/>
    <mergeCell ref="AB103:AD103"/>
    <mergeCell ref="AB106:AD106"/>
    <mergeCell ref="AB104:AD104"/>
    <mergeCell ref="E112:F112"/>
    <mergeCell ref="AB101:AD101"/>
    <mergeCell ref="E101:F101"/>
    <mergeCell ref="E102:F102"/>
    <mergeCell ref="CT99:CU99"/>
    <mergeCell ref="CT100:CU100"/>
    <mergeCell ref="T108:U108"/>
    <mergeCell ref="CT102:CU102"/>
    <mergeCell ref="CO103:CQ103"/>
    <mergeCell ref="CR103:CS103"/>
    <mergeCell ref="CO104:CQ104"/>
    <mergeCell ref="BB108:BD108"/>
    <mergeCell ref="BE108:BF108"/>
    <mergeCell ref="BR108:BS108"/>
    <mergeCell ref="AE108:AF108"/>
    <mergeCell ref="CO108:CQ108"/>
    <mergeCell ref="O96:U96"/>
    <mergeCell ref="AT100:AU100"/>
    <mergeCell ref="AB108:AD108"/>
    <mergeCell ref="CG97:CH97"/>
    <mergeCell ref="AT97:AU97"/>
    <mergeCell ref="BO97:BQ97"/>
    <mergeCell ref="BB101:BD101"/>
    <mergeCell ref="BG101:BH101"/>
    <mergeCell ref="O106:Q106"/>
    <mergeCell ref="BO96:BU96"/>
    <mergeCell ref="CT108:CU108"/>
    <mergeCell ref="CE105:CF105"/>
    <mergeCell ref="CR102:CS102"/>
    <mergeCell ref="CR97:CS97"/>
    <mergeCell ref="AO99:AQ99"/>
    <mergeCell ref="AR99:AS99"/>
    <mergeCell ref="AO100:AQ100"/>
    <mergeCell ref="AR100:AS100"/>
    <mergeCell ref="AO101:AQ101"/>
    <mergeCell ref="BB103:BD103"/>
    <mergeCell ref="CG110:CH110"/>
    <mergeCell ref="G99:H99"/>
    <mergeCell ref="G100:H100"/>
    <mergeCell ref="DB101:DD101"/>
    <mergeCell ref="R97:S97"/>
    <mergeCell ref="O98:Q98"/>
    <mergeCell ref="BD95:BE95"/>
    <mergeCell ref="BQ95:BR95"/>
    <mergeCell ref="AO95:AP95"/>
    <mergeCell ref="BB95:BC95"/>
    <mergeCell ref="CB96:CH96"/>
    <mergeCell ref="BT97:BU97"/>
    <mergeCell ref="BO98:BQ98"/>
    <mergeCell ref="BR98:BS98"/>
    <mergeCell ref="BO99:BQ99"/>
    <mergeCell ref="BR99:BS99"/>
    <mergeCell ref="CR99:CS99"/>
    <mergeCell ref="CG98:CH98"/>
    <mergeCell ref="CG99:CH99"/>
    <mergeCell ref="BO101:BQ101"/>
    <mergeCell ref="CE98:CF98"/>
    <mergeCell ref="BT98:BU98"/>
    <mergeCell ref="BT99:BU99"/>
    <mergeCell ref="BT100:BU100"/>
    <mergeCell ref="BT101:BU101"/>
    <mergeCell ref="CB99:CD99"/>
    <mergeCell ref="CR101:CS101"/>
    <mergeCell ref="O99:Q99"/>
    <mergeCell ref="R102:S102"/>
    <mergeCell ref="BE100:BF100"/>
    <mergeCell ref="DB97:DD97"/>
    <mergeCell ref="CO97:CQ97"/>
    <mergeCell ref="EB104:ED104"/>
    <mergeCell ref="CT103:CU103"/>
    <mergeCell ref="CT104:CU104"/>
    <mergeCell ref="CT105:CU105"/>
    <mergeCell ref="CT106:CU106"/>
    <mergeCell ref="CT107:CU107"/>
    <mergeCell ref="DT103:DU103"/>
    <mergeCell ref="DT104:DU104"/>
    <mergeCell ref="DT105:DU105"/>
    <mergeCell ref="DG105:DH105"/>
    <mergeCell ref="CG104:CH104"/>
    <mergeCell ref="CG105:CH105"/>
    <mergeCell ref="DB98:DD98"/>
    <mergeCell ref="EO101:EQ101"/>
    <mergeCell ref="DR101:DS101"/>
    <mergeCell ref="T109:U109"/>
    <mergeCell ref="CG109:CH109"/>
    <mergeCell ref="AG103:AH103"/>
    <mergeCell ref="CG100:CH100"/>
    <mergeCell ref="AR101:AS101"/>
    <mergeCell ref="BG106:BH106"/>
    <mergeCell ref="AT108:AU108"/>
    <mergeCell ref="AT101:AU101"/>
    <mergeCell ref="AT102:AU102"/>
    <mergeCell ref="BE101:BF101"/>
    <mergeCell ref="AG101:AH101"/>
    <mergeCell ref="AG102:AH102"/>
    <mergeCell ref="DG98:DH98"/>
    <mergeCell ref="CO101:CQ101"/>
    <mergeCell ref="CT101:CU101"/>
    <mergeCell ref="AB102:AD102"/>
    <mergeCell ref="CO102:CQ102"/>
    <mergeCell ref="FR102:FS102"/>
    <mergeCell ref="DO99:DQ99"/>
    <mergeCell ref="FR107:FS107"/>
    <mergeCell ref="FT107:FU107"/>
    <mergeCell ref="DG102:DH102"/>
    <mergeCell ref="DG103:DH103"/>
    <mergeCell ref="DO101:DQ101"/>
    <mergeCell ref="DO98:DQ98"/>
    <mergeCell ref="EB100:ED100"/>
    <mergeCell ref="DT100:DU100"/>
    <mergeCell ref="CT98:CU98"/>
    <mergeCell ref="ER102:ES102"/>
    <mergeCell ref="DB102:DD102"/>
    <mergeCell ref="FG107:FH107"/>
    <mergeCell ref="FG101:FH101"/>
    <mergeCell ref="DE106:DF106"/>
    <mergeCell ref="DB107:DD107"/>
    <mergeCell ref="DE107:DF107"/>
    <mergeCell ref="EE104:EF104"/>
    <mergeCell ref="EB105:ED105"/>
    <mergeCell ref="EG106:EH106"/>
    <mergeCell ref="DE101:DF101"/>
    <mergeCell ref="DO100:DQ100"/>
    <mergeCell ref="EG107:EH107"/>
    <mergeCell ref="DE100:DF100"/>
    <mergeCell ref="DG100:DH100"/>
    <mergeCell ref="DG101:DH101"/>
    <mergeCell ref="DO102:DQ102"/>
    <mergeCell ref="DE103:DF103"/>
    <mergeCell ref="FB106:FD106"/>
    <mergeCell ref="FB107:FD107"/>
    <mergeCell ref="FG103:FH103"/>
    <mergeCell ref="EQ95:ER95"/>
    <mergeCell ref="DR103:DS103"/>
    <mergeCell ref="FO101:FQ101"/>
    <mergeCell ref="FB96:FH96"/>
    <mergeCell ref="EG97:EH97"/>
    <mergeCell ref="EG98:EH98"/>
    <mergeCell ref="FG102:FH102"/>
    <mergeCell ref="DR99:DS99"/>
    <mergeCell ref="EB99:ED99"/>
    <mergeCell ref="EE99:EF99"/>
    <mergeCell ref="EO97:EQ97"/>
    <mergeCell ref="ER97:ES97"/>
    <mergeCell ref="EO98:EQ98"/>
    <mergeCell ref="ER98:ES98"/>
    <mergeCell ref="EO99:EQ99"/>
    <mergeCell ref="EG102:EH102"/>
    <mergeCell ref="FB99:FD99"/>
    <mergeCell ref="EO96:EU96"/>
    <mergeCell ref="ER99:ES99"/>
    <mergeCell ref="FB98:FD98"/>
    <mergeCell ref="DR100:DS100"/>
    <mergeCell ref="EB102:ED102"/>
    <mergeCell ref="EG99:EH99"/>
    <mergeCell ref="EG100:EH100"/>
    <mergeCell ref="EG101:EH101"/>
    <mergeCell ref="EB96:EH96"/>
    <mergeCell ref="EE97:EF97"/>
    <mergeCell ref="EB101:ED101"/>
    <mergeCell ref="EE102:EF102"/>
    <mergeCell ref="FO99:FQ99"/>
    <mergeCell ref="ET103:EU103"/>
    <mergeCell ref="EQ93:ER93"/>
    <mergeCell ref="FO98:FQ98"/>
    <mergeCell ref="FR98:FS98"/>
    <mergeCell ref="FO103:FQ103"/>
    <mergeCell ref="DO96:DU96"/>
    <mergeCell ref="DO97:DQ97"/>
    <mergeCell ref="DR97:DS97"/>
    <mergeCell ref="EB98:ED98"/>
    <mergeCell ref="EE98:EF98"/>
    <mergeCell ref="FG100:FH100"/>
    <mergeCell ref="DB106:DD106"/>
    <mergeCell ref="FO96:FU96"/>
    <mergeCell ref="FO97:FQ97"/>
    <mergeCell ref="FT97:FU97"/>
    <mergeCell ref="DE97:DF97"/>
    <mergeCell ref="EO103:EQ103"/>
    <mergeCell ref="FR101:FS101"/>
    <mergeCell ref="FE99:FF99"/>
    <mergeCell ref="FE100:FF100"/>
    <mergeCell ref="FB97:FD97"/>
    <mergeCell ref="DE98:DF98"/>
    <mergeCell ref="FE102:FF102"/>
    <mergeCell ref="FB103:FD103"/>
    <mergeCell ref="FE103:FF103"/>
    <mergeCell ref="ET98:EU98"/>
    <mergeCell ref="ET99:EU99"/>
    <mergeCell ref="ER100:ES100"/>
    <mergeCell ref="FQ93:FR93"/>
    <mergeCell ref="FG99:FH99"/>
    <mergeCell ref="FR99:FS99"/>
    <mergeCell ref="FE98:FF98"/>
    <mergeCell ref="FR97:FS97"/>
    <mergeCell ref="ED93:EE93"/>
    <mergeCell ref="FD93:FE93"/>
    <mergeCell ref="F132:J132"/>
    <mergeCell ref="NG119:NH119"/>
    <mergeCell ref="NG120:NH120"/>
    <mergeCell ref="NG121:NH121"/>
    <mergeCell ref="NG122:NH122"/>
    <mergeCell ref="NG117:NH117"/>
    <mergeCell ref="NG118:NH118"/>
    <mergeCell ref="AE106:AF106"/>
    <mergeCell ref="AO104:AQ104"/>
    <mergeCell ref="AT104:AU104"/>
    <mergeCell ref="AT105:AU105"/>
    <mergeCell ref="AT106:AU106"/>
    <mergeCell ref="FO109:FQ109"/>
    <mergeCell ref="AT113:AU113"/>
    <mergeCell ref="AR117:AS117"/>
    <mergeCell ref="AO118:AQ118"/>
    <mergeCell ref="AR109:AS109"/>
    <mergeCell ref="AO114:AQ114"/>
    <mergeCell ref="AR114:AS114"/>
    <mergeCell ref="FO108:FQ108"/>
    <mergeCell ref="FR108:FS108"/>
    <mergeCell ref="CG106:CH106"/>
    <mergeCell ref="CG107:CH107"/>
    <mergeCell ref="BO107:BQ107"/>
    <mergeCell ref="BO108:BQ108"/>
    <mergeCell ref="E105:F105"/>
    <mergeCell ref="R107:S107"/>
    <mergeCell ref="O108:Q108"/>
    <mergeCell ref="E108:F108"/>
    <mergeCell ref="E106:F106"/>
    <mergeCell ref="BX129:CA129"/>
    <mergeCell ref="NT109:NU109"/>
    <mergeCell ref="NT110:NU110"/>
    <mergeCell ref="NR111:NS111"/>
    <mergeCell ref="AR118:AS118"/>
    <mergeCell ref="EB119:ED119"/>
    <mergeCell ref="AR122:AS122"/>
    <mergeCell ref="AT122:AU122"/>
    <mergeCell ref="AG116:AH116"/>
    <mergeCell ref="AG117:AH117"/>
    <mergeCell ref="AG118:AH118"/>
    <mergeCell ref="AT112:AU112"/>
    <mergeCell ref="AO111:AQ111"/>
    <mergeCell ref="AT114:AU114"/>
    <mergeCell ref="FR122:FS122"/>
    <mergeCell ref="FE121:FF121"/>
    <mergeCell ref="FO125:FW125"/>
    <mergeCell ref="FR126:FW126"/>
    <mergeCell ref="BG110:BH110"/>
    <mergeCell ref="CO110:CQ110"/>
    <mergeCell ref="CO109:CQ109"/>
    <mergeCell ref="CR109:CS109"/>
    <mergeCell ref="AG111:AH111"/>
    <mergeCell ref="FE128:FJ128"/>
    <mergeCell ref="ER129:EW129"/>
    <mergeCell ref="DO109:DQ109"/>
    <mergeCell ref="DR109:DS109"/>
    <mergeCell ref="DT111:DU111"/>
    <mergeCell ref="DT112:DU112"/>
    <mergeCell ref="DE113:DF113"/>
    <mergeCell ref="ER127:EW127"/>
    <mergeCell ref="CT109:CU109"/>
    <mergeCell ref="B113:D113"/>
    <mergeCell ref="E113:F113"/>
    <mergeCell ref="E109:F109"/>
    <mergeCell ref="G113:H113"/>
    <mergeCell ref="AR113:AS113"/>
    <mergeCell ref="BG113:BH113"/>
    <mergeCell ref="B111:D111"/>
    <mergeCell ref="ET111:EU111"/>
    <mergeCell ref="KB145:KH145"/>
    <mergeCell ref="IB140:IF140"/>
    <mergeCell ref="IO140:IS140"/>
    <mergeCell ref="JB140:JF140"/>
    <mergeCell ref="JO140:JS140"/>
    <mergeCell ref="KB140:KF140"/>
    <mergeCell ref="KO140:KS140"/>
    <mergeCell ref="LB140:LF140"/>
    <mergeCell ref="LO140:LS140"/>
    <mergeCell ref="JB141:JF141"/>
    <mergeCell ref="B140:F140"/>
    <mergeCell ref="AB140:AF140"/>
    <mergeCell ref="AO140:AS140"/>
    <mergeCell ref="BB140:BF140"/>
    <mergeCell ref="BO140:BS140"/>
    <mergeCell ref="CB140:CF140"/>
    <mergeCell ref="CO140:CS140"/>
    <mergeCell ref="DB140:DF140"/>
    <mergeCell ref="DO140:DS140"/>
    <mergeCell ref="EB140:EF140"/>
    <mergeCell ref="EO140:ES140"/>
    <mergeCell ref="FB140:FF140"/>
    <mergeCell ref="FO140:FS140"/>
    <mergeCell ref="GB140:GF140"/>
    <mergeCell ref="MB140:MF140"/>
    <mergeCell ref="MO140:MS140"/>
    <mergeCell ref="NB140:NF140"/>
    <mergeCell ref="NO140:NS140"/>
    <mergeCell ref="B141:F141"/>
    <mergeCell ref="AB141:AF141"/>
    <mergeCell ref="AO141:AS141"/>
    <mergeCell ref="BB141:BF141"/>
    <mergeCell ref="BO141:BS141"/>
    <mergeCell ref="CB141:CF141"/>
    <mergeCell ref="CO141:CS141"/>
    <mergeCell ref="DB141:DF141"/>
    <mergeCell ref="DO141:DS141"/>
    <mergeCell ref="EB141:EF141"/>
    <mergeCell ref="EO141:ES141"/>
    <mergeCell ref="FB141:FF141"/>
    <mergeCell ref="FO141:FS141"/>
    <mergeCell ref="GB141:GF141"/>
    <mergeCell ref="GO141:GS141"/>
    <mergeCell ref="HB141:HF141"/>
    <mergeCell ref="HO141:HS141"/>
    <mergeCell ref="IB141:IF141"/>
    <mergeCell ref="IO141:IS141"/>
    <mergeCell ref="GO140:GS140"/>
    <mergeCell ref="HB140:HF140"/>
    <mergeCell ref="HO140:HS140"/>
    <mergeCell ref="FC147:FF147"/>
    <mergeCell ref="JO141:JS141"/>
    <mergeCell ref="KB141:KF141"/>
    <mergeCell ref="KO141:KS141"/>
    <mergeCell ref="LB141:LF141"/>
    <mergeCell ref="LO141:LS141"/>
    <mergeCell ref="MB141:MF141"/>
    <mergeCell ref="MO141:MS141"/>
    <mergeCell ref="NB141:NF141"/>
    <mergeCell ref="NO141:NS141"/>
    <mergeCell ref="B145:H145"/>
    <mergeCell ref="O145:U145"/>
    <mergeCell ref="AB145:AH145"/>
    <mergeCell ref="AO145:AU145"/>
    <mergeCell ref="BB145:BH145"/>
    <mergeCell ref="BO145:BU145"/>
    <mergeCell ref="CB145:CH145"/>
    <mergeCell ref="CO145:CU145"/>
    <mergeCell ref="DB145:DH145"/>
    <mergeCell ref="DO145:DU145"/>
    <mergeCell ref="EB145:EH145"/>
    <mergeCell ref="EO145:EU145"/>
    <mergeCell ref="FB145:FH145"/>
    <mergeCell ref="FO145:FU145"/>
    <mergeCell ref="GB145:GH145"/>
    <mergeCell ref="GO145:GU145"/>
    <mergeCell ref="HB145:HH145"/>
    <mergeCell ref="HO145:HU145"/>
    <mergeCell ref="IB145:IH145"/>
    <mergeCell ref="IO145:IU145"/>
    <mergeCell ref="JB145:JH145"/>
    <mergeCell ref="JO145:JU145"/>
    <mergeCell ref="JI147:JL148"/>
    <mergeCell ref="KO145:KU145"/>
    <mergeCell ref="LB145:LH145"/>
    <mergeCell ref="LO145:LU145"/>
    <mergeCell ref="MB145:MH145"/>
    <mergeCell ref="MO145:MU145"/>
    <mergeCell ref="NB145:NH145"/>
    <mergeCell ref="NO145:NU145"/>
    <mergeCell ref="C147:F147"/>
    <mergeCell ref="I147:L148"/>
    <mergeCell ref="P147:S147"/>
    <mergeCell ref="V147:Y148"/>
    <mergeCell ref="AC147:AF147"/>
    <mergeCell ref="AI147:AL148"/>
    <mergeCell ref="AP147:AS147"/>
    <mergeCell ref="AV147:AY148"/>
    <mergeCell ref="BC147:BF147"/>
    <mergeCell ref="BI147:BL148"/>
    <mergeCell ref="BP147:BS147"/>
    <mergeCell ref="BV147:BY148"/>
    <mergeCell ref="CC147:CF147"/>
    <mergeCell ref="CI147:CL148"/>
    <mergeCell ref="CP147:CS147"/>
    <mergeCell ref="CV147:CY148"/>
    <mergeCell ref="DC147:DF147"/>
    <mergeCell ref="DI147:DL148"/>
    <mergeCell ref="DP147:DS147"/>
    <mergeCell ref="DV147:DY148"/>
    <mergeCell ref="EC147:EF147"/>
    <mergeCell ref="EI147:EL148"/>
    <mergeCell ref="EP147:ES147"/>
    <mergeCell ref="EV147:EY148"/>
    <mergeCell ref="JV147:JY148"/>
    <mergeCell ref="KC147:KF147"/>
    <mergeCell ref="KI147:KL148"/>
    <mergeCell ref="KP147:KS147"/>
    <mergeCell ref="KV147:KY148"/>
    <mergeCell ref="LC147:LF147"/>
    <mergeCell ref="LI147:LL148"/>
    <mergeCell ref="LP147:LS147"/>
    <mergeCell ref="LV147:LY148"/>
    <mergeCell ref="MC147:MF147"/>
    <mergeCell ref="MI147:ML148"/>
    <mergeCell ref="MP147:MS147"/>
    <mergeCell ref="MV147:MY148"/>
    <mergeCell ref="NC147:NF147"/>
    <mergeCell ref="NI147:NL148"/>
    <mergeCell ref="NP147:NS147"/>
    <mergeCell ref="FI147:FL148"/>
    <mergeCell ref="FP147:FS147"/>
    <mergeCell ref="FV147:FY148"/>
    <mergeCell ref="GC147:GF147"/>
    <mergeCell ref="GI147:GL148"/>
    <mergeCell ref="GP147:GS147"/>
    <mergeCell ref="GV147:GY148"/>
    <mergeCell ref="HC147:HF147"/>
    <mergeCell ref="HI147:HL148"/>
    <mergeCell ref="HP147:HS147"/>
    <mergeCell ref="HV147:HY148"/>
    <mergeCell ref="IC147:IF147"/>
    <mergeCell ref="II147:IL148"/>
    <mergeCell ref="IP147:IS147"/>
    <mergeCell ref="IV147:IY148"/>
    <mergeCell ref="JC147:JF147"/>
    <mergeCell ref="NV147:NY148"/>
    <mergeCell ref="C148:F148"/>
    <mergeCell ref="P148:S148"/>
    <mergeCell ref="AC148:AF148"/>
    <mergeCell ref="AP148:AS148"/>
    <mergeCell ref="BC148:BF148"/>
    <mergeCell ref="BP148:BS148"/>
    <mergeCell ref="CC148:CF148"/>
    <mergeCell ref="CP148:CS148"/>
    <mergeCell ref="DC148:DF148"/>
    <mergeCell ref="DP148:DS148"/>
    <mergeCell ref="EC148:EF148"/>
    <mergeCell ref="EP148:ES148"/>
    <mergeCell ref="FC148:FF148"/>
    <mergeCell ref="FP148:FS148"/>
    <mergeCell ref="GC148:GF148"/>
    <mergeCell ref="GP148:GS148"/>
    <mergeCell ref="HC148:HF148"/>
    <mergeCell ref="HP148:HS148"/>
    <mergeCell ref="IC148:IF148"/>
    <mergeCell ref="IP148:IS148"/>
    <mergeCell ref="JC148:JF148"/>
    <mergeCell ref="JP148:JS148"/>
    <mergeCell ref="KC148:KF148"/>
    <mergeCell ref="KP148:KS148"/>
    <mergeCell ref="LC148:LF148"/>
    <mergeCell ref="LP148:LS148"/>
    <mergeCell ref="MC148:MF148"/>
    <mergeCell ref="MP148:MS148"/>
    <mergeCell ref="NC148:NF148"/>
    <mergeCell ref="NP148:NS148"/>
    <mergeCell ref="JP147:JS147"/>
    <mergeCell ref="C149:F149"/>
    <mergeCell ref="P149:S149"/>
    <mergeCell ref="AC149:AF149"/>
    <mergeCell ref="AP149:AS149"/>
    <mergeCell ref="BC149:BF149"/>
    <mergeCell ref="BP149:BS149"/>
    <mergeCell ref="CC149:CF149"/>
    <mergeCell ref="CP149:CS149"/>
    <mergeCell ref="DC149:DF149"/>
    <mergeCell ref="DP149:DS149"/>
    <mergeCell ref="EC149:EF149"/>
    <mergeCell ref="EP149:ES149"/>
    <mergeCell ref="FC149:FF149"/>
    <mergeCell ref="FP149:FS149"/>
    <mergeCell ref="GC149:GF149"/>
    <mergeCell ref="GP149:GS149"/>
    <mergeCell ref="HC149:HF149"/>
    <mergeCell ref="HP149:HS149"/>
    <mergeCell ref="IC149:IF149"/>
    <mergeCell ref="IP149:IS149"/>
    <mergeCell ref="JC149:JF149"/>
    <mergeCell ref="JP149:JS149"/>
    <mergeCell ref="KC149:KF149"/>
    <mergeCell ref="KP149:KS149"/>
    <mergeCell ref="LC149:LF149"/>
    <mergeCell ref="LP149:LS149"/>
    <mergeCell ref="MC149:MF149"/>
    <mergeCell ref="MP149:MS149"/>
    <mergeCell ref="NC149:NF149"/>
    <mergeCell ref="NP149:NS149"/>
    <mergeCell ref="C150:D150"/>
    <mergeCell ref="P150:Q150"/>
    <mergeCell ref="AC150:AD150"/>
    <mergeCell ref="AP150:AQ150"/>
    <mergeCell ref="BC150:BD150"/>
    <mergeCell ref="BP150:BQ150"/>
    <mergeCell ref="CC150:CD150"/>
    <mergeCell ref="CP150:CQ150"/>
    <mergeCell ref="DC150:DD150"/>
    <mergeCell ref="DP150:DQ150"/>
    <mergeCell ref="EC150:ED150"/>
    <mergeCell ref="EP150:EQ150"/>
    <mergeCell ref="FC150:FD150"/>
    <mergeCell ref="FP150:FQ150"/>
    <mergeCell ref="GC150:GD150"/>
    <mergeCell ref="GP150:GQ150"/>
    <mergeCell ref="HC150:HD150"/>
    <mergeCell ref="HP150:HQ150"/>
    <mergeCell ref="IC150:ID150"/>
    <mergeCell ref="IP150:IQ150"/>
    <mergeCell ref="JC150:JD150"/>
    <mergeCell ref="JP150:JQ150"/>
    <mergeCell ref="KC150:KD150"/>
    <mergeCell ref="KP150:KQ150"/>
    <mergeCell ref="LC150:LD150"/>
    <mergeCell ref="LP150:LQ150"/>
    <mergeCell ref="MC150:MD150"/>
    <mergeCell ref="MP150:MQ150"/>
    <mergeCell ref="NC150:ND150"/>
    <mergeCell ref="NP150:NQ150"/>
    <mergeCell ref="D153:F153"/>
    <mergeCell ref="Q153:S153"/>
    <mergeCell ref="AD153:AF153"/>
    <mergeCell ref="AQ153:AS153"/>
    <mergeCell ref="BD153:BF153"/>
    <mergeCell ref="BQ153:BS153"/>
    <mergeCell ref="CD153:CF153"/>
    <mergeCell ref="CQ153:CS153"/>
    <mergeCell ref="DD153:DF153"/>
    <mergeCell ref="DQ153:DS153"/>
    <mergeCell ref="ED153:EF153"/>
    <mergeCell ref="EQ153:ES153"/>
    <mergeCell ref="FD153:FF153"/>
    <mergeCell ref="FQ153:FS153"/>
    <mergeCell ref="GD153:GF153"/>
    <mergeCell ref="GQ153:GS153"/>
    <mergeCell ref="HD153:HF153"/>
    <mergeCell ref="HQ153:HS153"/>
    <mergeCell ref="ID153:IF153"/>
    <mergeCell ref="IQ153:IS153"/>
    <mergeCell ref="JD153:JF153"/>
    <mergeCell ref="LQ153:LS153"/>
    <mergeCell ref="MD153:MF153"/>
    <mergeCell ref="MQ153:MS153"/>
    <mergeCell ref="ND153:NF153"/>
    <mergeCell ref="NQ153:NS153"/>
    <mergeCell ref="EB155:EE155"/>
    <mergeCell ref="EO155:ER155"/>
    <mergeCell ref="FB155:FE155"/>
    <mergeCell ref="FO155:FR155"/>
    <mergeCell ref="GB155:GE155"/>
    <mergeCell ref="GO155:GR155"/>
    <mergeCell ref="HB155:HE155"/>
    <mergeCell ref="HO155:HR155"/>
    <mergeCell ref="IB155:IE155"/>
    <mergeCell ref="IO155:IR155"/>
    <mergeCell ref="JB155:JE155"/>
    <mergeCell ref="JO155:JR155"/>
    <mergeCell ref="KB155:KE155"/>
    <mergeCell ref="ED157:EE157"/>
    <mergeCell ref="EQ157:ER157"/>
    <mergeCell ref="FD157:FE157"/>
    <mergeCell ref="FQ157:FR157"/>
    <mergeCell ref="GD157:GE157"/>
    <mergeCell ref="GQ157:GR157"/>
    <mergeCell ref="HD157:HE157"/>
    <mergeCell ref="HQ157:HR157"/>
    <mergeCell ref="ID157:IE157"/>
    <mergeCell ref="IQ157:IR157"/>
    <mergeCell ref="JD157:JE157"/>
    <mergeCell ref="JQ157:JR157"/>
    <mergeCell ref="KD157:KE157"/>
    <mergeCell ref="KQ157:KR157"/>
    <mergeCell ref="LD157:LE157"/>
    <mergeCell ref="JQ153:JS153"/>
    <mergeCell ref="KD153:KF153"/>
    <mergeCell ref="KQ153:KS153"/>
    <mergeCell ref="LD153:LF153"/>
    <mergeCell ref="NO64:NS64"/>
    <mergeCell ref="B66:F66"/>
    <mergeCell ref="O66:S66"/>
    <mergeCell ref="AB66:AF66"/>
    <mergeCell ref="AO66:AS66"/>
    <mergeCell ref="BB66:BF66"/>
    <mergeCell ref="BO66:BS66"/>
    <mergeCell ref="CB66:CF66"/>
    <mergeCell ref="CO66:CS66"/>
    <mergeCell ref="DB66:DF66"/>
    <mergeCell ref="LQ157:LR157"/>
    <mergeCell ref="MD157:ME157"/>
    <mergeCell ref="MQ157:MR157"/>
    <mergeCell ref="ND157:NE157"/>
    <mergeCell ref="NQ157:NR157"/>
    <mergeCell ref="KO155:KR155"/>
    <mergeCell ref="LB155:LE155"/>
    <mergeCell ref="LO155:LR155"/>
    <mergeCell ref="MB155:ME155"/>
    <mergeCell ref="MO155:MR155"/>
    <mergeCell ref="NB155:NE155"/>
    <mergeCell ref="NO155:NR155"/>
    <mergeCell ref="D157:E157"/>
    <mergeCell ref="Q157:R157"/>
    <mergeCell ref="AD157:AE157"/>
    <mergeCell ref="AQ157:AR157"/>
    <mergeCell ref="BD157:BE157"/>
    <mergeCell ref="BQ157:BR157"/>
    <mergeCell ref="CD157:CE157"/>
    <mergeCell ref="CQ157:CR157"/>
    <mergeCell ref="DD157:DE157"/>
    <mergeCell ref="DQ157:DR157"/>
    <mergeCell ref="DO160:DW160"/>
    <mergeCell ref="E161:J161"/>
    <mergeCell ref="R161:W161"/>
    <mergeCell ref="AE161:AJ161"/>
    <mergeCell ref="AR161:AW161"/>
    <mergeCell ref="BE161:BJ161"/>
    <mergeCell ref="BR161:BW161"/>
    <mergeCell ref="CE161:CJ161"/>
    <mergeCell ref="CR161:CW161"/>
    <mergeCell ref="DE161:DJ161"/>
    <mergeCell ref="DR161:DW161"/>
    <mergeCell ref="B73:F73"/>
    <mergeCell ref="MB19:MF19"/>
    <mergeCell ref="MO19:MS19"/>
    <mergeCell ref="NB19:NF19"/>
    <mergeCell ref="NO19:NS19"/>
    <mergeCell ref="B19:F19"/>
    <mergeCell ref="J19:K19"/>
    <mergeCell ref="AB19:AF19"/>
    <mergeCell ref="AO19:AS19"/>
    <mergeCell ref="BB19:BF19"/>
    <mergeCell ref="BO19:BS19"/>
    <mergeCell ref="CB19:CF19"/>
    <mergeCell ref="CO19:CS19"/>
    <mergeCell ref="DB19:DF19"/>
    <mergeCell ref="DO19:DS19"/>
    <mergeCell ref="EB19:EF19"/>
    <mergeCell ref="EO19:ES19"/>
    <mergeCell ref="FB19:FF19"/>
    <mergeCell ref="FO19:FS19"/>
    <mergeCell ref="GB19:GF19"/>
    <mergeCell ref="GO19:GS19"/>
    <mergeCell ref="BO162:BP162"/>
    <mergeCell ref="BR162:BW162"/>
    <mergeCell ref="CB162:CC162"/>
    <mergeCell ref="CE162:CJ162"/>
    <mergeCell ref="CO162:CP162"/>
    <mergeCell ref="CR162:CW162"/>
    <mergeCell ref="DB162:DC162"/>
    <mergeCell ref="B160:J160"/>
    <mergeCell ref="O160:W160"/>
    <mergeCell ref="AB160:AJ160"/>
    <mergeCell ref="AO160:AW160"/>
    <mergeCell ref="BB160:BJ160"/>
    <mergeCell ref="BO160:BW160"/>
    <mergeCell ref="CB160:CJ160"/>
    <mergeCell ref="CO160:CW160"/>
    <mergeCell ref="DB160:DJ160"/>
    <mergeCell ref="DE162:DJ162"/>
    <mergeCell ref="DO162:DP162"/>
    <mergeCell ref="DR162:DW162"/>
    <mergeCell ref="B163:C163"/>
    <mergeCell ref="E163:J163"/>
    <mergeCell ref="O163:P163"/>
    <mergeCell ref="R163:W163"/>
    <mergeCell ref="AB163:AC163"/>
    <mergeCell ref="AE163:AJ163"/>
    <mergeCell ref="AO163:AP163"/>
    <mergeCell ref="AR163:AW163"/>
    <mergeCell ref="BB163:BC163"/>
    <mergeCell ref="BE163:BJ163"/>
    <mergeCell ref="BO163:BP163"/>
    <mergeCell ref="BR163:BW163"/>
    <mergeCell ref="CB163:CC163"/>
    <mergeCell ref="CE163:CJ163"/>
    <mergeCell ref="CO163:CP163"/>
    <mergeCell ref="CR163:CW163"/>
    <mergeCell ref="DB163:DC163"/>
    <mergeCell ref="DE163:DJ163"/>
    <mergeCell ref="DO163:DP163"/>
    <mergeCell ref="DR163:DW163"/>
    <mergeCell ref="B162:C162"/>
    <mergeCell ref="E162:J162"/>
    <mergeCell ref="O162:P162"/>
    <mergeCell ref="R162:W162"/>
    <mergeCell ref="AB162:AC162"/>
    <mergeCell ref="AE162:AJ162"/>
    <mergeCell ref="AO162:AP162"/>
    <mergeCell ref="AR162:AW162"/>
    <mergeCell ref="BB162:BC162"/>
    <mergeCell ref="BE162:BJ162"/>
    <mergeCell ref="B170:O170"/>
    <mergeCell ref="DK164:DN164"/>
    <mergeCell ref="DR164:DW164"/>
    <mergeCell ref="DX164:EA164"/>
    <mergeCell ref="E164:J164"/>
    <mergeCell ref="K164:N164"/>
    <mergeCell ref="R164:W164"/>
    <mergeCell ref="X164:AA164"/>
    <mergeCell ref="AE164:AJ164"/>
    <mergeCell ref="AK164:AN164"/>
    <mergeCell ref="AR164:AW164"/>
    <mergeCell ref="AX164:BA164"/>
    <mergeCell ref="BE164:BJ164"/>
    <mergeCell ref="BK164:BN164"/>
    <mergeCell ref="BR164:BW164"/>
    <mergeCell ref="BX164:CA164"/>
    <mergeCell ref="CE164:CJ164"/>
    <mergeCell ref="CK164:CN164"/>
    <mergeCell ref="CR164:CW164"/>
    <mergeCell ref="CX164:DA164"/>
    <mergeCell ref="DE164:DJ164"/>
    <mergeCell ref="B167:G167"/>
  </mergeCells>
  <conditionalFormatting sqref="B41">
    <cfRule type="expression" dxfId="3050" priority="16048">
      <formula>AND($H$12&gt;=1, $H$12&lt;&gt;"Please Select")</formula>
    </cfRule>
  </conditionalFormatting>
  <conditionalFormatting sqref="B44:B48">
    <cfRule type="expression" dxfId="3049" priority="5467">
      <formula>AND($H$12&gt;=1, $H$12&lt;&gt;"Please Select")</formula>
    </cfRule>
  </conditionalFormatting>
  <conditionalFormatting sqref="B96">
    <cfRule type="expression" dxfId="3048" priority="2946">
      <formula>AND($H$64&gt;=1, $H$64&lt;&gt;"Please Select")</formula>
    </cfRule>
  </conditionalFormatting>
  <conditionalFormatting sqref="B98:D122">
    <cfRule type="expression" dxfId="3047" priority="2948">
      <formula>AND($H$64&gt;=1, $H$64&lt;&gt;"Please Select")</formula>
    </cfRule>
  </conditionalFormatting>
  <conditionalFormatting sqref="B43:E43">
    <cfRule type="expression" dxfId="3046" priority="14274">
      <formula>AND($H$12&gt;=1, $H$12&lt;&gt;"Please Select")</formula>
    </cfRule>
  </conditionalFormatting>
  <conditionalFormatting sqref="B39:F40">
    <cfRule type="expression" dxfId="3045" priority="16049">
      <formula>AND($H$12&gt;=1, $H$12&lt;&gt;"Please Select")</formula>
    </cfRule>
  </conditionalFormatting>
  <conditionalFormatting sqref="B97:F97">
    <cfRule type="expression" dxfId="3044" priority="2949">
      <formula>AND($H$64&gt;=1, $H$64&lt;&gt;"Please Select")</formula>
    </cfRule>
  </conditionalFormatting>
  <conditionalFormatting sqref="B141:F141">
    <cfRule type="expression" dxfId="3043" priority="539">
      <formula>$H$140="No"</formula>
    </cfRule>
  </conditionalFormatting>
  <conditionalFormatting sqref="B25:H25">
    <cfRule type="expression" dxfId="3042" priority="16065">
      <formula>AND($H$12&gt;=1, $H$12&lt;&gt;"Please Select")</formula>
    </cfRule>
  </conditionalFormatting>
  <conditionalFormatting sqref="B82:H82">
    <cfRule type="expression" dxfId="3041" priority="5461">
      <formula>AND($H$64&gt;=1, $H$64&lt;&gt;"Please Select")</formula>
    </cfRule>
  </conditionalFormatting>
  <conditionalFormatting sqref="B145:H145">
    <cfRule type="expression" dxfId="3040" priority="536">
      <formula>$B$145&lt;&gt;""</formula>
    </cfRule>
  </conditionalFormatting>
  <conditionalFormatting sqref="B51:J51">
    <cfRule type="expression" dxfId="3039" priority="14273">
      <formula>AND($H$12&gt;=1, $H$12&lt;&gt;"Please Select")</formula>
    </cfRule>
  </conditionalFormatting>
  <conditionalFormatting sqref="B125:J125">
    <cfRule type="expression" dxfId="3038" priority="5450">
      <formula>AND($H$64&gt;=1, $H$64&lt;&gt;"Please Select")</formula>
    </cfRule>
  </conditionalFormatting>
  <conditionalFormatting sqref="B160:J160">
    <cfRule type="expression" dxfId="3037" priority="106">
      <formula>$B$160&lt;&gt;""</formula>
    </cfRule>
  </conditionalFormatting>
  <conditionalFormatting sqref="B4:O4">
    <cfRule type="expression" dxfId="3036" priority="1">
      <formula>$B$4="Paramedic"</formula>
    </cfRule>
    <cfRule type="expression" dxfId="3035" priority="4">
      <formula>$B$4="AEMT"</formula>
    </cfRule>
  </conditionalFormatting>
  <conditionalFormatting sqref="B170:O170">
    <cfRule type="expression" dxfId="3034" priority="2">
      <formula>$B$170="Paramedic"</formula>
    </cfRule>
    <cfRule type="expression" dxfId="3033" priority="3">
      <formula>$B$170="AEMT"</formula>
    </cfRule>
  </conditionalFormatting>
  <conditionalFormatting sqref="C23">
    <cfRule type="expression" dxfId="3032" priority="16092">
      <formula>#REF!&lt;&gt;0</formula>
    </cfRule>
  </conditionalFormatting>
  <conditionalFormatting sqref="C79">
    <cfRule type="expression" dxfId="3031" priority="671">
      <formula>#REF!&lt;&gt;0</formula>
    </cfRule>
  </conditionalFormatting>
  <conditionalFormatting sqref="C30:D30">
    <cfRule type="expression" dxfId="3030" priority="16061">
      <formula>AND($H$12&gt;=1, $H$12&lt;&gt;"Please Select")</formula>
    </cfRule>
  </conditionalFormatting>
  <conditionalFormatting sqref="C87:D87">
    <cfRule type="expression" dxfId="3029" priority="5459">
      <formula>AND($H$64&gt;=1, $H$64&lt;&gt;"Please Select")</formula>
    </cfRule>
  </conditionalFormatting>
  <conditionalFormatting sqref="C150:D150">
    <cfRule type="expression" dxfId="3028" priority="207">
      <formula>$B$145&lt;&gt;""</formula>
    </cfRule>
  </conditionalFormatting>
  <conditionalFormatting sqref="C44:E48">
    <cfRule type="expression" dxfId="3027" priority="5465">
      <formula>AND($H$12&gt;=1, $H$12&lt;&gt;"Please Select")</formula>
    </cfRule>
  </conditionalFormatting>
  <conditionalFormatting sqref="C27:F29">
    <cfRule type="expression" dxfId="3026" priority="16062">
      <formula>AND($H$12&gt;=1, $H$12&lt;&gt;"Please Select")</formula>
    </cfRule>
  </conditionalFormatting>
  <conditionalFormatting sqref="C41:F41">
    <cfRule type="expression" dxfId="3025" priority="16040">
      <formula>AND($H$12&gt;=1, $H$12&lt;&gt;"Please Select")</formula>
    </cfRule>
  </conditionalFormatting>
  <conditionalFormatting sqref="C84:F86">
    <cfRule type="expression" dxfId="3024" priority="5460">
      <formula>AND($H$64&gt;=1, $H$64&lt;&gt;"Please Select")</formula>
    </cfRule>
  </conditionalFormatting>
  <conditionalFormatting sqref="C147:F149">
    <cfRule type="expression" dxfId="3023" priority="535">
      <formula>$B$145&lt;&gt;""</formula>
    </cfRule>
  </conditionalFormatting>
  <conditionalFormatting sqref="D23">
    <cfRule type="expression" dxfId="3022" priority="16091">
      <formula>I16&lt;&gt;0</formula>
    </cfRule>
  </conditionalFormatting>
  <conditionalFormatting sqref="D31">
    <cfRule type="expression" dxfId="3021" priority="16058">
      <formula>AND($H$12&gt;=1, $H$12&lt;&gt;"Please Select")</formula>
    </cfRule>
  </conditionalFormatting>
  <conditionalFormatting sqref="D79">
    <cfRule type="expression" dxfId="3020" priority="670">
      <formula>I75&lt;&gt;0</formula>
    </cfRule>
  </conditionalFormatting>
  <conditionalFormatting sqref="D88">
    <cfRule type="expression" dxfId="3019" priority="5457">
      <formula>AND($H$64&gt;=1, $H$64&lt;&gt;"Please Select")</formula>
    </cfRule>
  </conditionalFormatting>
  <conditionalFormatting sqref="D151">
    <cfRule type="expression" dxfId="3018" priority="532">
      <formula>$B$145&lt;&gt;""</formula>
    </cfRule>
  </conditionalFormatting>
  <conditionalFormatting sqref="D91:E91">
    <cfRule type="expression" dxfId="3017" priority="176">
      <formula>$D$91="No"</formula>
    </cfRule>
    <cfRule type="expression" dxfId="3016" priority="546">
      <formula>AND($H$64&gt;=1, $H$64&lt;&gt;"Please Select")</formula>
    </cfRule>
  </conditionalFormatting>
  <conditionalFormatting sqref="D92:E92">
    <cfRule type="expression" dxfId="3015" priority="3532">
      <formula>AND($H$64&gt;=1, $H$64&lt;&gt;"Please Select")</formula>
    </cfRule>
  </conditionalFormatting>
  <conditionalFormatting sqref="D95:E95">
    <cfRule type="expression" dxfId="3014" priority="668">
      <formula>AND($H$64&gt;=1, $H$64&lt;&gt;"Please Select")</formula>
    </cfRule>
  </conditionalFormatting>
  <conditionalFormatting sqref="D157:E157">
    <cfRule type="expression" dxfId="3013" priority="237">
      <formula>$B$145&lt;&gt;""</formula>
    </cfRule>
  </conditionalFormatting>
  <conditionalFormatting sqref="D33:F33">
    <cfRule type="expression" dxfId="3012" priority="16057">
      <formula>AND($H$12&gt;=1, $H$12&lt;&gt;"Please Select")</formula>
    </cfRule>
  </conditionalFormatting>
  <conditionalFormatting sqref="D153:F153">
    <cfRule type="expression" dxfId="3011" priority="531">
      <formula>$B$145&lt;&gt;""</formula>
    </cfRule>
  </conditionalFormatting>
  <conditionalFormatting sqref="E98">
    <cfRule type="expression" dxfId="3010" priority="2318">
      <formula>E$98="Pending"</formula>
    </cfRule>
  </conditionalFormatting>
  <conditionalFormatting sqref="E98:F122">
    <cfRule type="expression" dxfId="3009" priority="2947">
      <formula>AND($H$64&gt;=1, $H$64&lt;&gt;"Please Select")</formula>
    </cfRule>
  </conditionalFormatting>
  <conditionalFormatting sqref="E99:F99">
    <cfRule type="expression" dxfId="3008" priority="2316">
      <formula>E$99="Pending"</formula>
    </cfRule>
  </conditionalFormatting>
  <conditionalFormatting sqref="E100:F100">
    <cfRule type="expression" dxfId="3007" priority="2314">
      <formula>E$100="Pending"</formula>
    </cfRule>
  </conditionalFormatting>
  <conditionalFormatting sqref="E101:F101">
    <cfRule type="expression" dxfId="3006" priority="2312">
      <formula>E$101="Pending"</formula>
    </cfRule>
  </conditionalFormatting>
  <conditionalFormatting sqref="E102:F102">
    <cfRule type="expression" dxfId="3005" priority="2310">
      <formula>E$102="Pending"</formula>
    </cfRule>
  </conditionalFormatting>
  <conditionalFormatting sqref="E103:F103">
    <cfRule type="expression" dxfId="3004" priority="2308">
      <formula>E$103="Pending"</formula>
    </cfRule>
  </conditionalFormatting>
  <conditionalFormatting sqref="E104:F104">
    <cfRule type="expression" dxfId="3003" priority="2306">
      <formula>E$104="Pending"</formula>
    </cfRule>
  </conditionalFormatting>
  <conditionalFormatting sqref="E105:F105">
    <cfRule type="expression" dxfId="3002" priority="2304">
      <formula>E$105="Pending"</formula>
    </cfRule>
  </conditionalFormatting>
  <conditionalFormatting sqref="E106:F106">
    <cfRule type="expression" dxfId="3001" priority="2302">
      <formula>E$106="Pending"</formula>
    </cfRule>
  </conditionalFormatting>
  <conditionalFormatting sqref="E107:F107">
    <cfRule type="expression" dxfId="3000" priority="2300">
      <formula>E$107="Pending"</formula>
    </cfRule>
  </conditionalFormatting>
  <conditionalFormatting sqref="E108:F108">
    <cfRule type="expression" dxfId="2999" priority="2298">
      <formula>E$108="Pending"</formula>
    </cfRule>
  </conditionalFormatting>
  <conditionalFormatting sqref="E109:F109">
    <cfRule type="expression" dxfId="2998" priority="2296">
      <formula>E$109="Pending"</formula>
    </cfRule>
  </conditionalFormatting>
  <conditionalFormatting sqref="E110:F110">
    <cfRule type="expression" dxfId="2997" priority="2294">
      <formula>E$110="Pending"</formula>
    </cfRule>
  </conditionalFormatting>
  <conditionalFormatting sqref="E111:F111">
    <cfRule type="expression" dxfId="2996" priority="2292">
      <formula>E$111="Pending"</formula>
    </cfRule>
  </conditionalFormatting>
  <conditionalFormatting sqref="E112:F112">
    <cfRule type="expression" dxfId="2995" priority="2290">
      <formula>E$112="Pending"</formula>
    </cfRule>
  </conditionalFormatting>
  <conditionalFormatting sqref="E113:F113">
    <cfRule type="expression" dxfId="2994" priority="2288">
      <formula>E$113="Pending"</formula>
    </cfRule>
  </conditionalFormatting>
  <conditionalFormatting sqref="E114:F114">
    <cfRule type="expression" dxfId="2993" priority="2286">
      <formula>E$114="Pending"</formula>
    </cfRule>
  </conditionalFormatting>
  <conditionalFormatting sqref="E115:F115">
    <cfRule type="expression" dxfId="2992" priority="2284">
      <formula>E$115="Pending"</formula>
    </cfRule>
  </conditionalFormatting>
  <conditionalFormatting sqref="E116:F116">
    <cfRule type="expression" dxfId="2991" priority="2282">
      <formula>E$116="Pending"</formula>
    </cfRule>
  </conditionalFormatting>
  <conditionalFormatting sqref="E117:F117">
    <cfRule type="expression" dxfId="2990" priority="2280">
      <formula>E$117="Pending"</formula>
    </cfRule>
  </conditionalFormatting>
  <conditionalFormatting sqref="E118:F118">
    <cfRule type="expression" dxfId="2989" priority="2278">
      <formula>E$118="Pending"</formula>
    </cfRule>
  </conditionalFormatting>
  <conditionalFormatting sqref="E119:F119">
    <cfRule type="expression" dxfId="2988" priority="2276">
      <formula>E$119="Pending"</formula>
    </cfRule>
  </conditionalFormatting>
  <conditionalFormatting sqref="E120:F120">
    <cfRule type="expression" dxfId="2987" priority="2274">
      <formula>E$120="Pending"</formula>
    </cfRule>
  </conditionalFormatting>
  <conditionalFormatting sqref="E121:F121">
    <cfRule type="expression" dxfId="2986" priority="2272">
      <formula>E$121="Pending"</formula>
    </cfRule>
  </conditionalFormatting>
  <conditionalFormatting sqref="E122:F122">
    <cfRule type="expression" dxfId="2985" priority="2270">
      <formula>E$122="Pending"</formula>
    </cfRule>
  </conditionalFormatting>
  <conditionalFormatting sqref="E23:I23 B23">
    <cfRule type="expression" dxfId="2984" priority="672">
      <formula>H16&lt;&gt;0</formula>
    </cfRule>
  </conditionalFormatting>
  <conditionalFormatting sqref="E79:I79 B79">
    <cfRule type="expression" dxfId="2983" priority="669">
      <formula>H75&lt;&gt;0</formula>
    </cfRule>
  </conditionalFormatting>
  <conditionalFormatting sqref="E52:J52 E55:J55">
    <cfRule type="expression" dxfId="2982" priority="14110">
      <formula>AND($H$12&gt;=1, $H$12&lt;&gt;"Please Select")</formula>
    </cfRule>
  </conditionalFormatting>
  <conditionalFormatting sqref="E53:J54">
    <cfRule type="expression" dxfId="2981" priority="65">
      <formula>$E$53&lt;&gt;""</formula>
    </cfRule>
  </conditionalFormatting>
  <conditionalFormatting sqref="E126:J126 E129:J129">
    <cfRule type="expression" dxfId="2980" priority="5448">
      <formula>AND($H$64&gt;=1, $H$64&lt;&gt;"Please Select")</formula>
    </cfRule>
  </conditionalFormatting>
  <conditionalFormatting sqref="E127:J128">
    <cfRule type="expression" dxfId="2979" priority="6">
      <formula>$E$127&lt;&gt;""</formula>
    </cfRule>
  </conditionalFormatting>
  <conditionalFormatting sqref="E161:J164">
    <cfRule type="expression" dxfId="2978" priority="105">
      <formula>$E$161&lt;&gt;""</formula>
    </cfRule>
  </conditionalFormatting>
  <conditionalFormatting sqref="F30">
    <cfRule type="expression" dxfId="2977" priority="16060">
      <formula>AND($H$12&gt;=1, $H$12&lt;&gt;"Please Select")</formula>
    </cfRule>
  </conditionalFormatting>
  <conditionalFormatting sqref="F34">
    <cfRule type="expression" dxfId="2976" priority="16055">
      <formula>AND($H$12&gt;=1, $H$12&lt;&gt;"Please Select")</formula>
    </cfRule>
    <cfRule type="expression" dxfId="2975" priority="206">
      <formula>$F$34="Pending"</formula>
    </cfRule>
  </conditionalFormatting>
  <conditionalFormatting sqref="F35">
    <cfRule type="expression" dxfId="2974" priority="14272">
      <formula>$F$34&lt;&gt;""</formula>
    </cfRule>
  </conditionalFormatting>
  <conditionalFormatting sqref="F87">
    <cfRule type="expression" dxfId="2973" priority="5458">
      <formula>AND($H$64&gt;=1, $H$64&lt;&gt;"Please Select")</formula>
    </cfRule>
  </conditionalFormatting>
  <conditionalFormatting sqref="F150">
    <cfRule type="expression" dxfId="2972" priority="533">
      <formula>$B$145&lt;&gt;""</formula>
    </cfRule>
  </conditionalFormatting>
  <conditionalFormatting sqref="F154">
    <cfRule type="expression" dxfId="2971" priority="118">
      <formula>$F$154="Pending"</formula>
    </cfRule>
    <cfRule type="expression" dxfId="2970" priority="530">
      <formula>$B$145&lt;&gt;""</formula>
    </cfRule>
  </conditionalFormatting>
  <conditionalFormatting sqref="F155">
    <cfRule type="expression" dxfId="2969" priority="529">
      <formula>F$154&lt;&gt;""</formula>
    </cfRule>
  </conditionalFormatting>
  <conditionalFormatting sqref="G97:H97">
    <cfRule type="expression" dxfId="2968" priority="2321">
      <formula>G$97&lt;&gt;""</formula>
    </cfRule>
  </conditionalFormatting>
  <conditionalFormatting sqref="G98:H98">
    <cfRule type="expression" dxfId="2967" priority="2317">
      <formula>E$98="Pending"</formula>
    </cfRule>
  </conditionalFormatting>
  <conditionalFormatting sqref="G99:H99">
    <cfRule type="expression" dxfId="2966" priority="2315">
      <formula>E$99="Pending"</formula>
    </cfRule>
  </conditionalFormatting>
  <conditionalFormatting sqref="G100:H100">
    <cfRule type="expression" dxfId="2965" priority="2313">
      <formula>E$100="Pending"</formula>
    </cfRule>
  </conditionalFormatting>
  <conditionalFormatting sqref="G101:H101">
    <cfRule type="expression" dxfId="2964" priority="2311">
      <formula>E$101="Pending"</formula>
    </cfRule>
  </conditionalFormatting>
  <conditionalFormatting sqref="G102:H102">
    <cfRule type="expression" dxfId="2963" priority="2309">
      <formula>E$102="Pending"</formula>
    </cfRule>
  </conditionalFormatting>
  <conditionalFormatting sqref="G103:H103">
    <cfRule type="expression" dxfId="2962" priority="2307">
      <formula>E$103="Pending"</formula>
    </cfRule>
  </conditionalFormatting>
  <conditionalFormatting sqref="G104:H104">
    <cfRule type="expression" dxfId="2961" priority="2305">
      <formula>E$104="Pending"</formula>
    </cfRule>
  </conditionalFormatting>
  <conditionalFormatting sqref="G105:H105">
    <cfRule type="expression" dxfId="2960" priority="2303">
      <formula>E$105="Pending"</formula>
    </cfRule>
  </conditionalFormatting>
  <conditionalFormatting sqref="G106:H106">
    <cfRule type="expression" dxfId="2959" priority="2301">
      <formula>E$106="Pending"</formula>
    </cfRule>
  </conditionalFormatting>
  <conditionalFormatting sqref="G107:H107">
    <cfRule type="expression" dxfId="2958" priority="2299">
      <formula>E$107="Pending"</formula>
    </cfRule>
  </conditionalFormatting>
  <conditionalFormatting sqref="G108:H108">
    <cfRule type="expression" dxfId="2957" priority="2297">
      <formula>E$108="Pending"</formula>
    </cfRule>
  </conditionalFormatting>
  <conditionalFormatting sqref="G109:H109">
    <cfRule type="expression" dxfId="2956" priority="2295">
      <formula>E$109="Pending"</formula>
    </cfRule>
  </conditionalFormatting>
  <conditionalFormatting sqref="G110:H110">
    <cfRule type="expression" dxfId="2955" priority="2293">
      <formula>E$110="Pending"</formula>
    </cfRule>
  </conditionalFormatting>
  <conditionalFormatting sqref="G111:H111">
    <cfRule type="expression" dxfId="2954" priority="2291">
      <formula>E$111="Pending"</formula>
    </cfRule>
  </conditionalFormatting>
  <conditionalFormatting sqref="G112:H112">
    <cfRule type="expression" dxfId="2953" priority="2289">
      <formula>E$112="Pending"</formula>
    </cfRule>
  </conditionalFormatting>
  <conditionalFormatting sqref="G113:H113">
    <cfRule type="expression" dxfId="2952" priority="2287">
      <formula>E$113="Pending"</formula>
    </cfRule>
  </conditionalFormatting>
  <conditionalFormatting sqref="G114:H114">
    <cfRule type="expression" dxfId="2951" priority="2285">
      <formula>E$114="Pending"</formula>
    </cfRule>
  </conditionalFormatting>
  <conditionalFormatting sqref="G115:H115">
    <cfRule type="expression" dxfId="2950" priority="2283">
      <formula>E$115="Pending"</formula>
    </cfRule>
  </conditionalFormatting>
  <conditionalFormatting sqref="G116:H116">
    <cfRule type="expression" dxfId="2949" priority="2281">
      <formula>E$116="Pending"</formula>
    </cfRule>
  </conditionalFormatting>
  <conditionalFormatting sqref="G117:H117">
    <cfRule type="expression" dxfId="2948" priority="2279">
      <formula>E$117="Pending"</formula>
    </cfRule>
  </conditionalFormatting>
  <conditionalFormatting sqref="G118:H118">
    <cfRule type="expression" dxfId="2947" priority="2277">
      <formula>E$118="Pending"</formula>
    </cfRule>
  </conditionalFormatting>
  <conditionalFormatting sqref="G119:H119">
    <cfRule type="expression" dxfId="2946" priority="2275">
      <formula>E$119="Pending"</formula>
    </cfRule>
  </conditionalFormatting>
  <conditionalFormatting sqref="G120:H120">
    <cfRule type="expression" dxfId="2945" priority="2273">
      <formula>E$120="Pending"</formula>
    </cfRule>
  </conditionalFormatting>
  <conditionalFormatting sqref="G121:H121">
    <cfRule type="expression" dxfId="2944" priority="2271">
      <formula>E$121="Pending"</formula>
    </cfRule>
  </conditionalFormatting>
  <conditionalFormatting sqref="G122:H122">
    <cfRule type="expression" dxfId="2943" priority="2269">
      <formula>E$122="Pending"</formula>
    </cfRule>
  </conditionalFormatting>
  <conditionalFormatting sqref="H141">
    <cfRule type="expression" dxfId="2942" priority="538">
      <formula>$H$140="Yes"</formula>
    </cfRule>
  </conditionalFormatting>
  <conditionalFormatting sqref="H143">
    <cfRule type="expression" dxfId="2941" priority="5">
      <formula>$H$140="Yes"</formula>
    </cfRule>
  </conditionalFormatting>
  <conditionalFormatting sqref="I27:L28">
    <cfRule type="expression" dxfId="2940" priority="16081">
      <formula>$I$27&lt;&gt;""</formula>
    </cfRule>
  </conditionalFormatting>
  <conditionalFormatting sqref="I84:L85">
    <cfRule type="expression" dxfId="2939" priority="5462">
      <formula>$I$84&lt;&gt;""</formula>
    </cfRule>
  </conditionalFormatting>
  <conditionalFormatting sqref="I147:L148">
    <cfRule type="expression" dxfId="2938" priority="537">
      <formula>I147&lt;&gt;""</formula>
    </cfRule>
  </conditionalFormatting>
  <conditionalFormatting sqref="K55:N55">
    <cfRule type="expression" dxfId="2937" priority="607">
      <formula>K55&lt;&gt;""</formula>
    </cfRule>
  </conditionalFormatting>
  <conditionalFormatting sqref="K129:N129">
    <cfRule type="expression" dxfId="2936" priority="604">
      <formula>K129&lt;&gt;""</formula>
    </cfRule>
  </conditionalFormatting>
  <conditionalFormatting sqref="K164:N164">
    <cfRule type="expression" dxfId="2935" priority="75">
      <formula>K164&lt;&gt;""</formula>
    </cfRule>
  </conditionalFormatting>
  <conditionalFormatting sqref="O41">
    <cfRule type="expression" dxfId="2934" priority="13355">
      <formula>AND($H$12&gt;=2, $H$12&lt;&gt;"Please Select")</formula>
    </cfRule>
  </conditionalFormatting>
  <conditionalFormatting sqref="O44:O48">
    <cfRule type="expression" dxfId="2933" priority="5470">
      <formula>AND($H$12&gt;=2, $H$12&lt;&gt;"Please Select")</formula>
    </cfRule>
  </conditionalFormatting>
  <conditionalFormatting sqref="O96">
    <cfRule type="expression" dxfId="2932" priority="2265">
      <formula>AND($H$64&gt;=2, $H$64&lt;&gt;"Please Select")</formula>
    </cfRule>
  </conditionalFormatting>
  <conditionalFormatting sqref="O98:Q122">
    <cfRule type="expression" dxfId="2931" priority="2267">
      <formula>AND($H$64&gt;=2, $H$64&lt;&gt;"Please Select")</formula>
    </cfRule>
  </conditionalFormatting>
  <conditionalFormatting sqref="O43:R43">
    <cfRule type="expression" dxfId="2930" priority="13342">
      <formula>AND($H$12&gt;=2, $H$12&lt;&gt;"Please Select")</formula>
    </cfRule>
  </conditionalFormatting>
  <conditionalFormatting sqref="O39:S40">
    <cfRule type="expression" dxfId="2929" priority="13356">
      <formula>AND($H$12&gt;=2, $H$12&lt;&gt;"Please Select")</formula>
    </cfRule>
  </conditionalFormatting>
  <conditionalFormatting sqref="O97:S97">
    <cfRule type="expression" dxfId="2928" priority="2268">
      <formula>AND($H$64&gt;=2, $H$64&lt;&gt;"Please Select")</formula>
    </cfRule>
  </conditionalFormatting>
  <conditionalFormatting sqref="O25:U25">
    <cfRule type="expression" dxfId="2927" priority="13368">
      <formula>AND($H$12&gt;=2, $H$12&lt;&gt;"Please Select")</formula>
    </cfRule>
  </conditionalFormatting>
  <conditionalFormatting sqref="O82:U82">
    <cfRule type="expression" dxfId="2926" priority="2944">
      <formula>AND($H$64&gt;=2, $H$64&lt;&gt;"Please Select")</formula>
    </cfRule>
  </conditionalFormatting>
  <conditionalFormatting sqref="O145:U145">
    <cfRule type="expression" dxfId="2925" priority="527">
      <formula>$O$145&lt;&gt;""</formula>
    </cfRule>
  </conditionalFormatting>
  <conditionalFormatting sqref="O51:W51">
    <cfRule type="expression" dxfId="2924" priority="5577">
      <formula>AND($H$12&gt;=2, $H$12&lt;&gt;"Please Select")</formula>
    </cfRule>
  </conditionalFormatting>
  <conditionalFormatting sqref="O125:W125">
    <cfRule type="expression" dxfId="2923" priority="2938">
      <formula>AND($H$64&gt;=2, $H$64&lt;&gt;"Please Select")</formula>
    </cfRule>
  </conditionalFormatting>
  <conditionalFormatting sqref="O160:W160">
    <cfRule type="expression" dxfId="2922" priority="103">
      <formula>$O$160&lt;&gt;""</formula>
    </cfRule>
  </conditionalFormatting>
  <conditionalFormatting sqref="P30:Q30">
    <cfRule type="expression" dxfId="2921" priority="13364">
      <formula>AND($H$12&gt;=2, $H$12&lt;&gt;"Please Select")</formula>
    </cfRule>
  </conditionalFormatting>
  <conditionalFormatting sqref="P87:Q87">
    <cfRule type="expression" dxfId="2920" priority="2942">
      <formula>AND($H$64&gt;=2, $H$64&lt;&gt;"Please Select")</formula>
    </cfRule>
  </conditionalFormatting>
  <conditionalFormatting sqref="P150:Q150">
    <cfRule type="expression" dxfId="2919" priority="526">
      <formula>$O$145&lt;&gt;""</formula>
    </cfRule>
  </conditionalFormatting>
  <conditionalFormatting sqref="P44:R48">
    <cfRule type="expression" dxfId="2918" priority="5468">
      <formula>AND($H$12&gt;=2, $H$12&lt;&gt;"Please Select")</formula>
    </cfRule>
  </conditionalFormatting>
  <conditionalFormatting sqref="P27:S29">
    <cfRule type="expression" dxfId="2917" priority="5472">
      <formula>AND($H$12&gt;=2, $H$12&lt;&gt;"Please Select")</formula>
    </cfRule>
  </conditionalFormatting>
  <conditionalFormatting sqref="P41:S41">
    <cfRule type="expression" dxfId="2916" priority="5471">
      <formula>AND($H$12&gt;=2, $H$12&lt;&gt;"Please Select")</formula>
    </cfRule>
  </conditionalFormatting>
  <conditionalFormatting sqref="P84:S86">
    <cfRule type="expression" dxfId="2915" priority="2943">
      <formula>AND($H$64&gt;=2, $H$64&lt;&gt;"Please Select")</formula>
    </cfRule>
  </conditionalFormatting>
  <conditionalFormatting sqref="P147:S149">
    <cfRule type="expression" dxfId="2914" priority="238">
      <formula>$O$145&lt;&gt;""</formula>
    </cfRule>
  </conditionalFormatting>
  <conditionalFormatting sqref="Q31">
    <cfRule type="expression" dxfId="2913" priority="13362">
      <formula>AND($H$12&gt;=2, $H$12&lt;&gt;"Please Select")</formula>
    </cfRule>
  </conditionalFormatting>
  <conditionalFormatting sqref="Q88">
    <cfRule type="expression" dxfId="2912" priority="2940">
      <formula>AND($H$64&gt;=2, $H$64&lt;&gt;"Please Select")</formula>
    </cfRule>
  </conditionalFormatting>
  <conditionalFormatting sqref="Q151">
    <cfRule type="expression" dxfId="2911" priority="524">
      <formula>$O$145&lt;&gt;""</formula>
    </cfRule>
  </conditionalFormatting>
  <conditionalFormatting sqref="Q91:R91">
    <cfRule type="expression" dxfId="2910" priority="545">
      <formula>AND($H$64&gt;=2, $H$64&lt;&gt;"Please Select")</formula>
    </cfRule>
    <cfRule type="expression" dxfId="2909" priority="175">
      <formula>$Q$91="No"</formula>
    </cfRule>
  </conditionalFormatting>
  <conditionalFormatting sqref="Q92:R92">
    <cfRule type="expression" dxfId="2908" priority="2909">
      <formula>AND($H$64&gt;=2, $H$64&lt;&gt;"Please Select")</formula>
    </cfRule>
  </conditionalFormatting>
  <conditionalFormatting sqref="Q95:R95">
    <cfRule type="expression" dxfId="2907" priority="638">
      <formula>AND($H$64&gt;=2, $H$64&lt;&gt;"Please Select")</formula>
    </cfRule>
  </conditionalFormatting>
  <conditionalFormatting sqref="Q157:R157">
    <cfRule type="expression" dxfId="2906" priority="236">
      <formula>$O$145&lt;&gt;""</formula>
    </cfRule>
  </conditionalFormatting>
  <conditionalFormatting sqref="Q33:S33">
    <cfRule type="expression" dxfId="2905" priority="13361">
      <formula>AND($H$12&gt;=2, $H$12&lt;&gt;"Please Select")</formula>
    </cfRule>
  </conditionalFormatting>
  <conditionalFormatting sqref="Q153:S153">
    <cfRule type="expression" dxfId="2904" priority="523">
      <formula>$O$145&lt;&gt;""</formula>
    </cfRule>
  </conditionalFormatting>
  <conditionalFormatting sqref="R98">
    <cfRule type="expression" dxfId="2903" priority="2263">
      <formula>R$98="Pending"</formula>
    </cfRule>
  </conditionalFormatting>
  <conditionalFormatting sqref="R98:S122">
    <cfRule type="expression" dxfId="2902" priority="2266">
      <formula>AND($H$64&gt;=2, $H$64&lt;&gt;"Please Select")</formula>
    </cfRule>
  </conditionalFormatting>
  <conditionalFormatting sqref="R99:S99">
    <cfRule type="expression" dxfId="2901" priority="2261">
      <formula>R$99="Pending"</formula>
    </cfRule>
  </conditionalFormatting>
  <conditionalFormatting sqref="R100:S100">
    <cfRule type="expression" dxfId="2900" priority="2259">
      <formula>R$100="Pending"</formula>
    </cfRule>
  </conditionalFormatting>
  <conditionalFormatting sqref="R101:S101">
    <cfRule type="expression" dxfId="2899" priority="2257">
      <formula>R$101="Pending"</formula>
    </cfRule>
  </conditionalFormatting>
  <conditionalFormatting sqref="R102:S102">
    <cfRule type="expression" dxfId="2898" priority="2255">
      <formula>R$102="Pending"</formula>
    </cfRule>
  </conditionalFormatting>
  <conditionalFormatting sqref="R103:S103">
    <cfRule type="expression" dxfId="2897" priority="2253">
      <formula>R$103="Pending"</formula>
    </cfRule>
  </conditionalFormatting>
  <conditionalFormatting sqref="R104:S104">
    <cfRule type="expression" dxfId="2896" priority="2251">
      <formula>R$104="Pending"</formula>
    </cfRule>
  </conditionalFormatting>
  <conditionalFormatting sqref="R105:S105">
    <cfRule type="expression" dxfId="2895" priority="2249">
      <formula>R$105="Pending"</formula>
    </cfRule>
  </conditionalFormatting>
  <conditionalFormatting sqref="R106:S106">
    <cfRule type="expression" dxfId="2894" priority="2247">
      <formula>R$106="Pending"</formula>
    </cfRule>
  </conditionalFormatting>
  <conditionalFormatting sqref="R107:S107">
    <cfRule type="expression" dxfId="2893" priority="2245">
      <formula>R$107="Pending"</formula>
    </cfRule>
  </conditionalFormatting>
  <conditionalFormatting sqref="R108:S108">
    <cfRule type="expression" dxfId="2892" priority="2243">
      <formula>R$108="Pending"</formula>
    </cfRule>
  </conditionalFormatting>
  <conditionalFormatting sqref="R109:S109">
    <cfRule type="expression" dxfId="2891" priority="2241">
      <formula>R$109="Pending"</formula>
    </cfRule>
  </conditionalFormatting>
  <conditionalFormatting sqref="R110:S110">
    <cfRule type="expression" dxfId="2890" priority="2239">
      <formula>R$110="Pending"</formula>
    </cfRule>
  </conditionalFormatting>
  <conditionalFormatting sqref="R111:S111">
    <cfRule type="expression" dxfId="2889" priority="2237">
      <formula>R$111="Pending"</formula>
    </cfRule>
  </conditionalFormatting>
  <conditionalFormatting sqref="R112:S112">
    <cfRule type="expression" dxfId="2888" priority="2235">
      <formula>R$112="Pending"</formula>
    </cfRule>
  </conditionalFormatting>
  <conditionalFormatting sqref="R113:S113">
    <cfRule type="expression" dxfId="2887" priority="2233">
      <formula>R$113="Pending"</formula>
    </cfRule>
  </conditionalFormatting>
  <conditionalFormatting sqref="R114:S114">
    <cfRule type="expression" dxfId="2886" priority="2231">
      <formula>R$114="Pending"</formula>
    </cfRule>
  </conditionalFormatting>
  <conditionalFormatting sqref="R115:S115">
    <cfRule type="expression" dxfId="2885" priority="2229">
      <formula>R$115="Pending"</formula>
    </cfRule>
  </conditionalFormatting>
  <conditionalFormatting sqref="R116:S116">
    <cfRule type="expression" dxfId="2884" priority="2227">
      <formula>R$116="Pending"</formula>
    </cfRule>
  </conditionalFormatting>
  <conditionalFormatting sqref="R117:S117">
    <cfRule type="expression" dxfId="2883" priority="2225">
      <formula>R$117="Pending"</formula>
    </cfRule>
  </conditionalFormatting>
  <conditionalFormatting sqref="R118:S118">
    <cfRule type="expression" dxfId="2882" priority="2223">
      <formula>R$118="Pending"</formula>
    </cfRule>
  </conditionalFormatting>
  <conditionalFormatting sqref="R119:S119">
    <cfRule type="expression" dxfId="2881" priority="2221">
      <formula>R$119="Pending"</formula>
    </cfRule>
  </conditionalFormatting>
  <conditionalFormatting sqref="R120:S120">
    <cfRule type="expression" dxfId="2880" priority="2219">
      <formula>R$120="Pending"</formula>
    </cfRule>
  </conditionalFormatting>
  <conditionalFormatting sqref="R121:S121">
    <cfRule type="expression" dxfId="2879" priority="2217">
      <formula>R$121="Pending"</formula>
    </cfRule>
  </conditionalFormatting>
  <conditionalFormatting sqref="R122:S122">
    <cfRule type="expression" dxfId="2878" priority="2215">
      <formula>R$122="Pending"</formula>
    </cfRule>
  </conditionalFormatting>
  <conditionalFormatting sqref="R52:W52 R55:W55">
    <cfRule type="expression" dxfId="2877" priority="13315">
      <formula>AND($H$12&gt;=2, $H$12&lt;&gt;"Please Select")</formula>
    </cfRule>
  </conditionalFormatting>
  <conditionalFormatting sqref="R53:W54">
    <cfRule type="expression" dxfId="2876" priority="36">
      <formula>$R$53&lt;&gt;""</formula>
    </cfRule>
  </conditionalFormatting>
  <conditionalFormatting sqref="R126:W126 R129:W129">
    <cfRule type="expression" dxfId="2875" priority="2937">
      <formula>AND($H$64&gt;=2, $H$64&lt;&gt;"Please Select")</formula>
    </cfRule>
  </conditionalFormatting>
  <conditionalFormatting sqref="R127:W128">
    <cfRule type="expression" dxfId="2874" priority="7">
      <formula>$R$127&lt;&gt;""</formula>
    </cfRule>
  </conditionalFormatting>
  <conditionalFormatting sqref="R161:W164">
    <cfRule type="expression" dxfId="2873" priority="102">
      <formula>$R$161&lt;&gt;""</formula>
    </cfRule>
  </conditionalFormatting>
  <conditionalFormatting sqref="S30">
    <cfRule type="expression" dxfId="2872" priority="13363">
      <formula>AND($H$12&gt;=2, $H$12&lt;&gt;"Please Select")</formula>
    </cfRule>
  </conditionalFormatting>
  <conditionalFormatting sqref="S34">
    <cfRule type="expression" dxfId="2871" priority="205">
      <formula>$S$34="Pending"</formula>
    </cfRule>
    <cfRule type="expression" dxfId="2870" priority="13360">
      <formula>AND($H$12&gt;=2, $H$12&lt;&gt;"Please Select")</formula>
    </cfRule>
  </conditionalFormatting>
  <conditionalFormatting sqref="S35">
    <cfRule type="expression" dxfId="2869" priority="13340">
      <formula>S$34&lt;&gt;""</formula>
    </cfRule>
  </conditionalFormatting>
  <conditionalFormatting sqref="S87">
    <cfRule type="expression" dxfId="2868" priority="2941">
      <formula>AND($H$64&gt;=2, $H$64&lt;&gt;"Please Select")</formula>
    </cfRule>
  </conditionalFormatting>
  <conditionalFormatting sqref="S150">
    <cfRule type="expression" dxfId="2867" priority="525">
      <formula>$O$145&lt;&gt;""</formula>
    </cfRule>
  </conditionalFormatting>
  <conditionalFormatting sqref="S154">
    <cfRule type="expression" dxfId="2866" priority="522">
      <formula>$O$145&lt;&gt;""</formula>
    </cfRule>
    <cfRule type="expression" dxfId="2865" priority="117">
      <formula>$S$154="Pending"</formula>
    </cfRule>
  </conditionalFormatting>
  <conditionalFormatting sqref="S155">
    <cfRule type="expression" dxfId="2864" priority="521">
      <formula>$S$154&lt;&gt;""</formula>
    </cfRule>
  </conditionalFormatting>
  <conditionalFormatting sqref="T97:U97">
    <cfRule type="expression" dxfId="2863" priority="2264">
      <formula>T$97&lt;&gt;""</formula>
    </cfRule>
  </conditionalFormatting>
  <conditionalFormatting sqref="T98:U98">
    <cfRule type="expression" dxfId="2862" priority="2262">
      <formula>R$98="Pending"</formula>
    </cfRule>
  </conditionalFormatting>
  <conditionalFormatting sqref="T99:U99">
    <cfRule type="expression" dxfId="2861" priority="2260">
      <formula>R$99="Pending"</formula>
    </cfRule>
  </conditionalFormatting>
  <conditionalFormatting sqref="T100:U100">
    <cfRule type="expression" dxfId="2860" priority="2258">
      <formula>R$100="Pending"</formula>
    </cfRule>
  </conditionalFormatting>
  <conditionalFormatting sqref="T101:U101">
    <cfRule type="expression" dxfId="2859" priority="2256">
      <formula>R$101="Pending"</formula>
    </cfRule>
  </conditionalFormatting>
  <conditionalFormatting sqref="T102:U102">
    <cfRule type="expression" dxfId="2858" priority="2254">
      <formula>R$102="Pending"</formula>
    </cfRule>
  </conditionalFormatting>
  <conditionalFormatting sqref="T103:U103">
    <cfRule type="expression" dxfId="2857" priority="2252">
      <formula>R$103="Pending"</formula>
    </cfRule>
  </conditionalFormatting>
  <conditionalFormatting sqref="T104:U104">
    <cfRule type="expression" dxfId="2856" priority="2250">
      <formula>R$104="Pending"</formula>
    </cfRule>
  </conditionalFormatting>
  <conditionalFormatting sqref="T105:U105">
    <cfRule type="expression" dxfId="2855" priority="2248">
      <formula>R$105="Pending"</formula>
    </cfRule>
  </conditionalFormatting>
  <conditionalFormatting sqref="T106:U106">
    <cfRule type="expression" dxfId="2854" priority="2246">
      <formula>R$106="Pending"</formula>
    </cfRule>
  </conditionalFormatting>
  <conditionalFormatting sqref="T107:U107">
    <cfRule type="expression" dxfId="2853" priority="2244">
      <formula>R$107="Pending"</formula>
    </cfRule>
  </conditionalFormatting>
  <conditionalFormatting sqref="T108:U108">
    <cfRule type="expression" dxfId="2852" priority="2242">
      <formula>R$108="Pending"</formula>
    </cfRule>
  </conditionalFormatting>
  <conditionalFormatting sqref="T109:U109">
    <cfRule type="expression" dxfId="2851" priority="2240">
      <formula>R$109="Pending"</formula>
    </cfRule>
  </conditionalFormatting>
  <conditionalFormatting sqref="T110:U110">
    <cfRule type="expression" dxfId="2850" priority="2238">
      <formula>R$110="Pending"</formula>
    </cfRule>
  </conditionalFormatting>
  <conditionalFormatting sqref="T111:U111">
    <cfRule type="expression" dxfId="2849" priority="2236">
      <formula>R$111="Pending"</formula>
    </cfRule>
  </conditionalFormatting>
  <conditionalFormatting sqref="T112:U112">
    <cfRule type="expression" dxfId="2848" priority="2234">
      <formula>R$112="Pending"</formula>
    </cfRule>
  </conditionalFormatting>
  <conditionalFormatting sqref="T113:U113">
    <cfRule type="expression" dxfId="2847" priority="2232">
      <formula>R$113="Pending"</formula>
    </cfRule>
  </conditionalFormatting>
  <conditionalFormatting sqref="T114:U114">
    <cfRule type="expression" dxfId="2846" priority="2230">
      <formula>R$114="Pending"</formula>
    </cfRule>
  </conditionalFormatting>
  <conditionalFormatting sqref="T115:U115">
    <cfRule type="expression" dxfId="2845" priority="2228">
      <formula>R$115="Pending"</formula>
    </cfRule>
  </conditionalFormatting>
  <conditionalFormatting sqref="T116:U116">
    <cfRule type="expression" dxfId="2844" priority="2226">
      <formula>R$116="Pending"</formula>
    </cfRule>
  </conditionalFormatting>
  <conditionalFormatting sqref="T117:U117">
    <cfRule type="expression" dxfId="2843" priority="2224">
      <formula>R$117="Pending"</formula>
    </cfRule>
  </conditionalFormatting>
  <conditionalFormatting sqref="T118:U118">
    <cfRule type="expression" dxfId="2842" priority="2222">
      <formula>R$118="Pending"</formula>
    </cfRule>
  </conditionalFormatting>
  <conditionalFormatting sqref="T119:U119">
    <cfRule type="expression" dxfId="2841" priority="2220">
      <formula>R$119="Pending"</formula>
    </cfRule>
  </conditionalFormatting>
  <conditionalFormatting sqref="T120:U120">
    <cfRule type="expression" dxfId="2840" priority="2218">
      <formula>R$120="Pending"</formula>
    </cfRule>
  </conditionalFormatting>
  <conditionalFormatting sqref="T121:U121">
    <cfRule type="expression" dxfId="2839" priority="2216">
      <formula>R$121="Pending"</formula>
    </cfRule>
  </conditionalFormatting>
  <conditionalFormatting sqref="T122:U122">
    <cfRule type="expression" dxfId="2838" priority="2214">
      <formula>R$122="Pending"</formula>
    </cfRule>
  </conditionalFormatting>
  <conditionalFormatting sqref="V27:Y28">
    <cfRule type="expression" dxfId="2837" priority="13370">
      <formula>V27&lt;&gt;""</formula>
    </cfRule>
  </conditionalFormatting>
  <conditionalFormatting sqref="V84:Y85">
    <cfRule type="expression" dxfId="2836" priority="2945">
      <formula>V$84&lt;&gt;""</formula>
    </cfRule>
  </conditionalFormatting>
  <conditionalFormatting sqref="V147:Y148">
    <cfRule type="expression" dxfId="2835" priority="528">
      <formula>V147&lt;&gt;""</formula>
    </cfRule>
  </conditionalFormatting>
  <conditionalFormatting sqref="X55:AA55">
    <cfRule type="expression" dxfId="2834" priority="609">
      <formula>X55&lt;&gt;""</formula>
    </cfRule>
  </conditionalFormatting>
  <conditionalFormatting sqref="X129:AA129">
    <cfRule type="expression" dxfId="2833" priority="606">
      <formula>X129&lt;&gt;""</formula>
    </cfRule>
  </conditionalFormatting>
  <conditionalFormatting sqref="X164:AA164">
    <cfRule type="expression" dxfId="2832" priority="76">
      <formula>X164&lt;&gt;""</formula>
    </cfRule>
  </conditionalFormatting>
  <conditionalFormatting sqref="AB41">
    <cfRule type="expression" dxfId="2831" priority="13083">
      <formula>AND($H$12&gt;=3, $H$12&lt;&gt;"Please Select")</formula>
    </cfRule>
  </conditionalFormatting>
  <conditionalFormatting sqref="AB44:AB48">
    <cfRule type="expression" dxfId="2830" priority="5475">
      <formula>AND($H$12&gt;=3, $H$12&lt;&gt;"Please Select")</formula>
    </cfRule>
  </conditionalFormatting>
  <conditionalFormatting sqref="AB96">
    <cfRule type="expression" dxfId="2829" priority="2210">
      <formula>AND($H$64&gt;=3, $H$64&lt;&gt;"Please Select")</formula>
    </cfRule>
  </conditionalFormatting>
  <conditionalFormatting sqref="AB98:AD122">
    <cfRule type="expression" dxfId="2828" priority="2212">
      <formula>AND($H$64&gt;=3, $H$64&lt;&gt;"Please Select")</formula>
    </cfRule>
  </conditionalFormatting>
  <conditionalFormatting sqref="AB43:AE43">
    <cfRule type="expression" dxfId="2827" priority="13070">
      <formula>AND($H$12&gt;=3, $H$12&lt;&gt;"Please Select")</formula>
    </cfRule>
  </conditionalFormatting>
  <conditionalFormatting sqref="AB39:AF40">
    <cfRule type="expression" dxfId="2826" priority="13087">
      <formula>AND($H$12&gt;=3, $H$12&lt;&gt;"Please Select")</formula>
    </cfRule>
  </conditionalFormatting>
  <conditionalFormatting sqref="AB97:AF97">
    <cfRule type="expression" dxfId="2825" priority="2213">
      <formula>AND($H$64&gt;=3, $H$64&lt;&gt;"Please Select")</formula>
    </cfRule>
  </conditionalFormatting>
  <conditionalFormatting sqref="AB25:AH25">
    <cfRule type="expression" dxfId="2824" priority="13096">
      <formula>AND($H$12&gt;=3, $H$12&lt;&gt;"Please Select")</formula>
    </cfRule>
  </conditionalFormatting>
  <conditionalFormatting sqref="AB82:AH82">
    <cfRule type="expression" dxfId="2823" priority="2903">
      <formula>AND($H$64&gt;=3, $H$64&lt;&gt;"Please Select")</formula>
    </cfRule>
  </conditionalFormatting>
  <conditionalFormatting sqref="AB145:AH145">
    <cfRule type="expression" dxfId="2822" priority="520">
      <formula>$AB$145&lt;&gt;""</formula>
    </cfRule>
  </conditionalFormatting>
  <conditionalFormatting sqref="AB51:AJ51">
    <cfRule type="expression" dxfId="2821" priority="13069">
      <formula>AND($H$12&gt;=3, $H$12&lt;&gt;"Please Select")</formula>
    </cfRule>
  </conditionalFormatting>
  <conditionalFormatting sqref="AB125:AJ125">
    <cfRule type="expression" dxfId="2820" priority="2898">
      <formula>AND($H$64&gt;=3, $H$64&lt;&gt;"Please Select")</formula>
    </cfRule>
  </conditionalFormatting>
  <conditionalFormatting sqref="AB160:AJ160">
    <cfRule type="expression" dxfId="2819" priority="100">
      <formula>$AB$160&lt;&gt;""</formula>
    </cfRule>
  </conditionalFormatting>
  <conditionalFormatting sqref="AC30:AD30">
    <cfRule type="expression" dxfId="2818" priority="13092">
      <formula>AND($H$12&gt;=3, $H$12&lt;&gt;"Please Select")</formula>
    </cfRule>
  </conditionalFormatting>
  <conditionalFormatting sqref="AC87:AD87">
    <cfRule type="expression" dxfId="2817" priority="2901">
      <formula>AND($H$64&gt;=3, $H$64&lt;&gt;"Please Select")</formula>
    </cfRule>
  </conditionalFormatting>
  <conditionalFormatting sqref="AC150:AD150">
    <cfRule type="expression" dxfId="2816" priority="519">
      <formula>$AB$145&lt;&gt;""</formula>
    </cfRule>
  </conditionalFormatting>
  <conditionalFormatting sqref="AC44:AE48">
    <cfRule type="expression" dxfId="2815" priority="5473">
      <formula>AND($H$12&gt;=3, $H$12&lt;&gt;"Please Select")</formula>
    </cfRule>
  </conditionalFormatting>
  <conditionalFormatting sqref="AC27:AF29">
    <cfRule type="expression" dxfId="2814" priority="5477">
      <formula>AND($H$12&gt;=3, $H$12&lt;&gt;"Please Select")</formula>
    </cfRule>
  </conditionalFormatting>
  <conditionalFormatting sqref="AC41:AF41">
    <cfRule type="expression" dxfId="2813" priority="5476">
      <formula>AND($H$12&gt;=3, $H$12&lt;&gt;"Please Select")</formula>
    </cfRule>
  </conditionalFormatting>
  <conditionalFormatting sqref="AC84:AF86">
    <cfRule type="expression" dxfId="2812" priority="2902">
      <formula>AND($H$64&gt;=3, $H$64&lt;&gt;"Please Select")</formula>
    </cfRule>
  </conditionalFormatting>
  <conditionalFormatting sqref="AC147:AF149">
    <cfRule type="expression" dxfId="2811" priority="239">
      <formula>$AB$145&lt;&gt;""</formula>
    </cfRule>
  </conditionalFormatting>
  <conditionalFormatting sqref="AD31">
    <cfRule type="expression" dxfId="2810" priority="13090">
      <formula>AND($H$12&gt;=3, $H$12&lt;&gt;"Please Select")</formula>
    </cfRule>
  </conditionalFormatting>
  <conditionalFormatting sqref="AD88">
    <cfRule type="expression" dxfId="2809" priority="2899">
      <formula>AND($H$64&gt;=3, $H$64&lt;&gt;"Please Select")</formula>
    </cfRule>
  </conditionalFormatting>
  <conditionalFormatting sqref="AD151">
    <cfRule type="expression" dxfId="2808" priority="517">
      <formula>$AB$145&lt;&gt;""</formula>
    </cfRule>
  </conditionalFormatting>
  <conditionalFormatting sqref="AD91:AE91">
    <cfRule type="expression" dxfId="2807" priority="173">
      <formula>$AD$91="No"</formula>
    </cfRule>
    <cfRule type="expression" dxfId="2806" priority="174">
      <formula>AND($H$64&gt;=3,$H$64&lt;&gt;"Please Select")</formula>
    </cfRule>
  </conditionalFormatting>
  <conditionalFormatting sqref="AD92:AE92">
    <cfRule type="expression" dxfId="2805" priority="2889">
      <formula>AND($H$64&gt;=3, $H$64&lt;&gt;"Please Select")</formula>
    </cfRule>
  </conditionalFormatting>
  <conditionalFormatting sqref="AD95:AE95">
    <cfRule type="expression" dxfId="2804" priority="666">
      <formula>AND($H$64&gt;=3, $H$64&lt;&gt;"Please Select")</formula>
    </cfRule>
  </conditionalFormatting>
  <conditionalFormatting sqref="AD157:AE157">
    <cfRule type="expression" dxfId="2803" priority="235">
      <formula>$AB$145&lt;&gt;""</formula>
    </cfRule>
  </conditionalFormatting>
  <conditionalFormatting sqref="AD33:AF33">
    <cfRule type="expression" dxfId="2802" priority="13089">
      <formula>AND($H$12&gt;=3, $H$12&lt;&gt;"Please Select")</formula>
    </cfRule>
  </conditionalFormatting>
  <conditionalFormatting sqref="AD153:AF153">
    <cfRule type="expression" dxfId="2801" priority="516">
      <formula>$AB$145&lt;&gt;""</formula>
    </cfRule>
  </conditionalFormatting>
  <conditionalFormatting sqref="AE98">
    <cfRule type="expression" dxfId="2800" priority="2208">
      <formula>AE$98="Pending"</formula>
    </cfRule>
  </conditionalFormatting>
  <conditionalFormatting sqref="AE98:AF122">
    <cfRule type="expression" dxfId="2799" priority="2211">
      <formula>AND($H$64&gt;=3, $H$64&lt;&gt;"Please Select")</formula>
    </cfRule>
  </conditionalFormatting>
  <conditionalFormatting sqref="AE99:AF99">
    <cfRule type="expression" dxfId="2798" priority="2206">
      <formula>AE$99="Pending"</formula>
    </cfRule>
  </conditionalFormatting>
  <conditionalFormatting sqref="AE100:AF100">
    <cfRule type="expression" dxfId="2797" priority="2204">
      <formula>AE$100="Pending"</formula>
    </cfRule>
  </conditionalFormatting>
  <conditionalFormatting sqref="AE101:AF101">
    <cfRule type="expression" dxfId="2796" priority="2202">
      <formula>AE$101="Pending"</formula>
    </cfRule>
  </conditionalFormatting>
  <conditionalFormatting sqref="AE102:AF102">
    <cfRule type="expression" dxfId="2795" priority="2200">
      <formula>AE$102="Pending"</formula>
    </cfRule>
  </conditionalFormatting>
  <conditionalFormatting sqref="AE103:AF103">
    <cfRule type="expression" dxfId="2794" priority="2198">
      <formula>AE$103="Pending"</formula>
    </cfRule>
  </conditionalFormatting>
  <conditionalFormatting sqref="AE104:AF104">
    <cfRule type="expression" dxfId="2793" priority="2196">
      <formula>AE$104="Pending"</formula>
    </cfRule>
  </conditionalFormatting>
  <conditionalFormatting sqref="AE105:AF105">
    <cfRule type="expression" dxfId="2792" priority="2194">
      <formula>AE$105="Pending"</formula>
    </cfRule>
  </conditionalFormatting>
  <conditionalFormatting sqref="AE106:AF106">
    <cfRule type="expression" dxfId="2791" priority="2192">
      <formula>AE$106="Pending"</formula>
    </cfRule>
  </conditionalFormatting>
  <conditionalFormatting sqref="AE107:AF107">
    <cfRule type="expression" dxfId="2790" priority="2190">
      <formula>AE$107="Pending"</formula>
    </cfRule>
  </conditionalFormatting>
  <conditionalFormatting sqref="AE108:AF108">
    <cfRule type="expression" dxfId="2789" priority="2188">
      <formula>AE$108="Pending"</formula>
    </cfRule>
  </conditionalFormatting>
  <conditionalFormatting sqref="AE109:AF109">
    <cfRule type="expression" dxfId="2788" priority="2186">
      <formula>AE$109="Pending"</formula>
    </cfRule>
  </conditionalFormatting>
  <conditionalFormatting sqref="AE110:AF110">
    <cfRule type="expression" dxfId="2787" priority="2184">
      <formula>AE$110="Pending"</formula>
    </cfRule>
  </conditionalFormatting>
  <conditionalFormatting sqref="AE111:AF111">
    <cfRule type="expression" dxfId="2786" priority="2182">
      <formula>AE$111="Pending"</formula>
    </cfRule>
  </conditionalFormatting>
  <conditionalFormatting sqref="AE112:AF112">
    <cfRule type="expression" dxfId="2785" priority="2180">
      <formula>AE$112="Pending"</formula>
    </cfRule>
  </conditionalFormatting>
  <conditionalFormatting sqref="AE113:AF113">
    <cfRule type="expression" dxfId="2784" priority="2178">
      <formula>AE$113="Pending"</formula>
    </cfRule>
  </conditionalFormatting>
  <conditionalFormatting sqref="AE114:AF114">
    <cfRule type="expression" dxfId="2783" priority="2176">
      <formula>AE$114="Pending"</formula>
    </cfRule>
  </conditionalFormatting>
  <conditionalFormatting sqref="AE115:AF115">
    <cfRule type="expression" dxfId="2782" priority="2174">
      <formula>AE$115="Pending"</formula>
    </cfRule>
  </conditionalFormatting>
  <conditionalFormatting sqref="AE116:AF116">
    <cfRule type="expression" dxfId="2781" priority="2172">
      <formula>AE$116="Pending"</formula>
    </cfRule>
  </conditionalFormatting>
  <conditionalFormatting sqref="AE117:AF117">
    <cfRule type="expression" dxfId="2780" priority="2170">
      <formula>AE$117="Pending"</formula>
    </cfRule>
  </conditionalFormatting>
  <conditionalFormatting sqref="AE118:AF118">
    <cfRule type="expression" dxfId="2779" priority="2168">
      <formula>AE$118="Pending"</formula>
    </cfRule>
  </conditionalFormatting>
  <conditionalFormatting sqref="AE119:AF119">
    <cfRule type="expression" dxfId="2778" priority="2166">
      <formula>AE$119="Pending"</formula>
    </cfRule>
  </conditionalFormatting>
  <conditionalFormatting sqref="AE120:AF120">
    <cfRule type="expression" dxfId="2777" priority="2164">
      <formula>AE$120="Pending"</formula>
    </cfRule>
  </conditionalFormatting>
  <conditionalFormatting sqref="AE121:AF121">
    <cfRule type="expression" dxfId="2776" priority="2162">
      <formula>AE$121="Pending"</formula>
    </cfRule>
  </conditionalFormatting>
  <conditionalFormatting sqref="AE122:AF122">
    <cfRule type="expression" dxfId="2775" priority="2160">
      <formula>AE$122="Pending"</formula>
    </cfRule>
  </conditionalFormatting>
  <conditionalFormatting sqref="AE52:AJ52 AE55:AJ55">
    <cfRule type="expression" dxfId="2774" priority="13043">
      <formula>AND($H$12&gt;=3, $H$12&lt;&gt;"Please Select")</formula>
    </cfRule>
  </conditionalFormatting>
  <conditionalFormatting sqref="AE53:AJ54">
    <cfRule type="expression" dxfId="2773" priority="37">
      <formula>$AE$53&lt;&gt;""</formula>
    </cfRule>
  </conditionalFormatting>
  <conditionalFormatting sqref="AE126:AJ126 AE129:AJ129">
    <cfRule type="expression" dxfId="2772" priority="2897">
      <formula>AND($H$64&gt;=3, $H$64&lt;&gt;"Please Select")</formula>
    </cfRule>
  </conditionalFormatting>
  <conditionalFormatting sqref="AE127:AJ128">
    <cfRule type="expression" dxfId="2771" priority="8">
      <formula>$AE$127&lt;&gt;""</formula>
    </cfRule>
  </conditionalFormatting>
  <conditionalFormatting sqref="AE161:AJ164">
    <cfRule type="expression" dxfId="2770" priority="99">
      <formula>$AE$161&lt;&gt;""</formula>
    </cfRule>
  </conditionalFormatting>
  <conditionalFormatting sqref="AF30">
    <cfRule type="expression" dxfId="2769" priority="13091">
      <formula>AND($H$12&gt;=3, $H$12&lt;&gt;"Please Select")</formula>
    </cfRule>
  </conditionalFormatting>
  <conditionalFormatting sqref="AF34">
    <cfRule type="expression" dxfId="2768" priority="13088">
      <formula>AND($H$12&gt;=3, $H$12&lt;&gt;"Please Select")</formula>
    </cfRule>
    <cfRule type="expression" dxfId="2767" priority="177">
      <formula>$AF$34="Pending"</formula>
    </cfRule>
  </conditionalFormatting>
  <conditionalFormatting sqref="AF35">
    <cfRule type="expression" dxfId="2766" priority="13068">
      <formula>$AF$34&lt;&gt;""</formula>
    </cfRule>
  </conditionalFormatting>
  <conditionalFormatting sqref="AF87">
    <cfRule type="expression" dxfId="2765" priority="2900">
      <formula>AND($H$64&gt;=3, $H$64&lt;&gt;"Please Select")</formula>
    </cfRule>
  </conditionalFormatting>
  <conditionalFormatting sqref="AF150">
    <cfRule type="expression" dxfId="2764" priority="518">
      <formula>$AB$145&lt;&gt;""</formula>
    </cfRule>
  </conditionalFormatting>
  <conditionalFormatting sqref="AF154">
    <cfRule type="expression" dxfId="2763" priority="116">
      <formula>$AF$154="Pending"</formula>
    </cfRule>
    <cfRule type="expression" dxfId="2762" priority="515">
      <formula>$AB$145&lt;&gt;""</formula>
    </cfRule>
  </conditionalFormatting>
  <conditionalFormatting sqref="AF155">
    <cfRule type="expression" dxfId="2761" priority="514">
      <formula>$AF$154&lt;&gt;""</formula>
    </cfRule>
  </conditionalFormatting>
  <conditionalFormatting sqref="AG97:AH97">
    <cfRule type="expression" dxfId="2760" priority="2209">
      <formula>AG$97&lt;&gt;""</formula>
    </cfRule>
  </conditionalFormatting>
  <conditionalFormatting sqref="AG98:AH98">
    <cfRule type="expression" dxfId="2759" priority="2207">
      <formula>AE$98="Pending"</formula>
    </cfRule>
  </conditionalFormatting>
  <conditionalFormatting sqref="AG99:AH99">
    <cfRule type="expression" dxfId="2758" priority="2205">
      <formula>AE$99="Pending"</formula>
    </cfRule>
  </conditionalFormatting>
  <conditionalFormatting sqref="AG100:AH100">
    <cfRule type="expression" dxfId="2757" priority="2203">
      <formula>AE$100="Pending"</formula>
    </cfRule>
  </conditionalFormatting>
  <conditionalFormatting sqref="AG101:AH101">
    <cfRule type="expression" dxfId="2756" priority="2201">
      <formula>AE$101="Pending"</formula>
    </cfRule>
  </conditionalFormatting>
  <conditionalFormatting sqref="AG102:AH102">
    <cfRule type="expression" dxfId="2755" priority="2199">
      <formula>AE$102="Pending"</formula>
    </cfRule>
  </conditionalFormatting>
  <conditionalFormatting sqref="AG103:AH103">
    <cfRule type="expression" dxfId="2754" priority="2197">
      <formula>AE$103="Pending"</formula>
    </cfRule>
  </conditionalFormatting>
  <conditionalFormatting sqref="AG104:AH104">
    <cfRule type="expression" dxfId="2753" priority="2195">
      <formula>AE$104="Pending"</formula>
    </cfRule>
  </conditionalFormatting>
  <conditionalFormatting sqref="AG105:AH105">
    <cfRule type="expression" dxfId="2752" priority="2193">
      <formula>AE$105="Pending"</formula>
    </cfRule>
  </conditionalFormatting>
  <conditionalFormatting sqref="AG106:AH106">
    <cfRule type="expression" dxfId="2751" priority="2191">
      <formula>AE$106="Pending"</formula>
    </cfRule>
  </conditionalFormatting>
  <conditionalFormatting sqref="AG107:AH107">
    <cfRule type="expression" dxfId="2750" priority="2189">
      <formula>AE$107="Pending"</formula>
    </cfRule>
  </conditionalFormatting>
  <conditionalFormatting sqref="AG108:AH108">
    <cfRule type="expression" dxfId="2749" priority="2187">
      <formula>AE$108="Pending"</formula>
    </cfRule>
  </conditionalFormatting>
  <conditionalFormatting sqref="AG109:AH109">
    <cfRule type="expression" dxfId="2748" priority="2185">
      <formula>AE$109="Pending"</formula>
    </cfRule>
  </conditionalFormatting>
  <conditionalFormatting sqref="AG110:AH110">
    <cfRule type="expression" dxfId="2747" priority="2183">
      <formula>AE$110="Pending"</formula>
    </cfRule>
  </conditionalFormatting>
  <conditionalFormatting sqref="AG111:AH111">
    <cfRule type="expression" dxfId="2746" priority="2181">
      <formula>AE$111="Pending"</formula>
    </cfRule>
  </conditionalFormatting>
  <conditionalFormatting sqref="AG112:AH112">
    <cfRule type="expression" dxfId="2745" priority="2179">
      <formula>AE$112="Pending"</formula>
    </cfRule>
  </conditionalFormatting>
  <conditionalFormatting sqref="AG113:AH113">
    <cfRule type="expression" dxfId="2744" priority="2177">
      <formula>AE$113="Pending"</formula>
    </cfRule>
  </conditionalFormatting>
  <conditionalFormatting sqref="AG114:AH114">
    <cfRule type="expression" dxfId="2743" priority="2175">
      <formula>AE$114="Pending"</formula>
    </cfRule>
  </conditionalFormatting>
  <conditionalFormatting sqref="AG115:AH115">
    <cfRule type="expression" dxfId="2742" priority="2173">
      <formula>AE$115="Pending"</formula>
    </cfRule>
  </conditionalFormatting>
  <conditionalFormatting sqref="AG116:AH116">
    <cfRule type="expression" dxfId="2741" priority="2171">
      <formula>AE$116="Pending"</formula>
    </cfRule>
  </conditionalFormatting>
  <conditionalFormatting sqref="AG117:AH117">
    <cfRule type="expression" dxfId="2740" priority="2169">
      <formula>AE$117="Pending"</formula>
    </cfRule>
  </conditionalFormatting>
  <conditionalFormatting sqref="AG118:AH118">
    <cfRule type="expression" dxfId="2739" priority="2167">
      <formula>AE$118="Pending"</formula>
    </cfRule>
  </conditionalFormatting>
  <conditionalFormatting sqref="AG119:AH119">
    <cfRule type="expression" dxfId="2738" priority="2165">
      <formula>AE$119="Pending"</formula>
    </cfRule>
  </conditionalFormatting>
  <conditionalFormatting sqref="AG120:AH120">
    <cfRule type="expression" dxfId="2737" priority="2163">
      <formula>AE$120="Pending"</formula>
    </cfRule>
  </conditionalFormatting>
  <conditionalFormatting sqref="AG121:AH121">
    <cfRule type="expression" dxfId="2736" priority="2161">
      <formula>AE$121="Pending"</formula>
    </cfRule>
  </conditionalFormatting>
  <conditionalFormatting sqref="AG122:AH122">
    <cfRule type="expression" dxfId="2735" priority="2159">
      <formula>AE$122="Pending"</formula>
    </cfRule>
  </conditionalFormatting>
  <conditionalFormatting sqref="AI27:AL28">
    <cfRule type="expression" dxfId="2734" priority="5606">
      <formula>AI$27&lt;&gt;""</formula>
    </cfRule>
  </conditionalFormatting>
  <conditionalFormatting sqref="AI84:AL85">
    <cfRule type="expression" dxfId="2733" priority="2904">
      <formula>AI$84&lt;&gt;""</formula>
    </cfRule>
  </conditionalFormatting>
  <conditionalFormatting sqref="AI147:AL148">
    <cfRule type="expression" dxfId="2732" priority="278">
      <formula>AI$147&lt;&gt;""</formula>
    </cfRule>
  </conditionalFormatting>
  <conditionalFormatting sqref="AK55:AN55">
    <cfRule type="expression" dxfId="2731" priority="610">
      <formula>AK55&lt;&gt;""</formula>
    </cfRule>
  </conditionalFormatting>
  <conditionalFormatting sqref="AK129:AN129">
    <cfRule type="expression" dxfId="2730" priority="603">
      <formula>AK129&lt;&gt;""</formula>
    </cfRule>
  </conditionalFormatting>
  <conditionalFormatting sqref="AK164:AN164">
    <cfRule type="expression" dxfId="2729" priority="74">
      <formula>AK164&lt;&gt;""</formula>
    </cfRule>
  </conditionalFormatting>
  <conditionalFormatting sqref="AO41">
    <cfRule type="expression" dxfId="2728" priority="12811">
      <formula>AND($H$12&gt;=4, $H$12&lt;&gt;"Please Select")</formula>
    </cfRule>
  </conditionalFormatting>
  <conditionalFormatting sqref="AO44:AO48">
    <cfRule type="expression" dxfId="2727" priority="5478">
      <formula>AND($H$12&gt;=4, $H$12&lt;&gt;"Please Select")</formula>
    </cfRule>
  </conditionalFormatting>
  <conditionalFormatting sqref="AO96">
    <cfRule type="expression" dxfId="2726" priority="2155">
      <formula>AND($H$64&gt;=4, $H$64&lt;&gt;"Please Select")</formula>
    </cfRule>
  </conditionalFormatting>
  <conditionalFormatting sqref="AO98:AQ122">
    <cfRule type="expression" dxfId="2725" priority="2157">
      <formula>AND($H$64&gt;=4, $H$64&lt;&gt;"Please Select")</formula>
    </cfRule>
  </conditionalFormatting>
  <conditionalFormatting sqref="AO43:AR43">
    <cfRule type="expression" dxfId="2724" priority="5479">
      <formula>AND($H$12&gt;=4, $H$12&lt;&gt;"Please Select")</formula>
    </cfRule>
  </conditionalFormatting>
  <conditionalFormatting sqref="AO39:AS40">
    <cfRule type="expression" dxfId="2723" priority="5481">
      <formula>AND($H$12&gt;=4, $H$12&lt;&gt;"Please Select")</formula>
    </cfRule>
  </conditionalFormatting>
  <conditionalFormatting sqref="AO97:AS97">
    <cfRule type="expression" dxfId="2722" priority="2158">
      <formula>AND($H$64&gt;=4, $H$64&lt;&gt;"Please Select")</formula>
    </cfRule>
  </conditionalFormatting>
  <conditionalFormatting sqref="AO25:AU25">
    <cfRule type="expression" dxfId="2721" priority="12824">
      <formula>AND($H$12&gt;=4, $H$12&lt;&gt;"Please Select")</formula>
    </cfRule>
  </conditionalFormatting>
  <conditionalFormatting sqref="AO82:AU82">
    <cfRule type="expression" dxfId="2720" priority="2883">
      <formula>AND($H$64&gt;=4, $H$64&lt;&gt;"Please Select")</formula>
    </cfRule>
  </conditionalFormatting>
  <conditionalFormatting sqref="AO145:AU145">
    <cfRule type="expression" dxfId="2719" priority="513">
      <formula>$AO$145&lt;&gt;""</formula>
    </cfRule>
  </conditionalFormatting>
  <conditionalFormatting sqref="AO51:AW51">
    <cfRule type="expression" dxfId="2718" priority="12797">
      <formula>AND($H$12&gt;=4, $H$12&lt;&gt;"Please Select")</formula>
    </cfRule>
  </conditionalFormatting>
  <conditionalFormatting sqref="AO125:AW125">
    <cfRule type="expression" dxfId="2717" priority="2878">
      <formula>AND($H$64&gt;=4, $H$64&lt;&gt;"Please Select")</formula>
    </cfRule>
  </conditionalFormatting>
  <conditionalFormatting sqref="AO160:AW160">
    <cfRule type="expression" dxfId="2716" priority="97">
      <formula>$AO$160&lt;&gt;""</formula>
    </cfRule>
  </conditionalFormatting>
  <conditionalFormatting sqref="AP30:AQ30">
    <cfRule type="expression" dxfId="2715" priority="12820">
      <formula>AND($H$12&gt;=4, $H$12&lt;&gt;"Please Select")</formula>
    </cfRule>
  </conditionalFormatting>
  <conditionalFormatting sqref="AP87:AQ87">
    <cfRule type="expression" dxfId="2714" priority="2881">
      <formula>AND($H$64&gt;=4, $H$64&lt;&gt;"Please Select")</formula>
    </cfRule>
  </conditionalFormatting>
  <conditionalFormatting sqref="AP150:AQ150">
    <cfRule type="expression" dxfId="2713" priority="512">
      <formula>$AO$145&lt;&gt;""</formula>
    </cfRule>
  </conditionalFormatting>
  <conditionalFormatting sqref="AP44:AR48">
    <cfRule type="expression" dxfId="2712" priority="12804">
      <formula>AND($H$12&gt;=4, $H$12&lt;&gt;"Please Select")</formula>
    </cfRule>
  </conditionalFormatting>
  <conditionalFormatting sqref="AP27:AS29">
    <cfRule type="expression" dxfId="2711" priority="5482">
      <formula>AND($H$12&gt;=4, $H$12&lt;&gt;"Please Select")</formula>
    </cfRule>
  </conditionalFormatting>
  <conditionalFormatting sqref="AP41:AS41">
    <cfRule type="expression" dxfId="2710" priority="5480">
      <formula>AND($H$12&gt;=4, $H$12&lt;&gt;"Please Select")</formula>
    </cfRule>
  </conditionalFormatting>
  <conditionalFormatting sqref="AP84:AS86">
    <cfRule type="expression" dxfId="2709" priority="2882">
      <formula>AND($H$64&gt;=4, $H$64&lt;&gt;"Please Select")</formula>
    </cfRule>
  </conditionalFormatting>
  <conditionalFormatting sqref="AP147:AS149">
    <cfRule type="expression" dxfId="2708" priority="240">
      <formula>$AO$145&lt;&gt;""</formula>
    </cfRule>
  </conditionalFormatting>
  <conditionalFormatting sqref="AQ31">
    <cfRule type="expression" dxfId="2707" priority="12818">
      <formula>AND($H$12&gt;=4, $H$12&lt;&gt;"Please Select")</formula>
    </cfRule>
  </conditionalFormatting>
  <conditionalFormatting sqref="AQ88">
    <cfRule type="expression" dxfId="2706" priority="2879">
      <formula>AND($H$64&gt;=4, $H$64&lt;&gt;"Please Select")</formula>
    </cfRule>
  </conditionalFormatting>
  <conditionalFormatting sqref="AQ151">
    <cfRule type="expression" dxfId="2705" priority="510">
      <formula>$AO$145&lt;&gt;""</formula>
    </cfRule>
  </conditionalFormatting>
  <conditionalFormatting sqref="AQ91:AR91">
    <cfRule type="expression" dxfId="2704" priority="172">
      <formula>AND($H$64&gt;=4, $H$64&lt;&gt;"Please Select")</formula>
    </cfRule>
    <cfRule type="expression" dxfId="2703" priority="171">
      <formula>$AQ$91="No"</formula>
    </cfRule>
  </conditionalFormatting>
  <conditionalFormatting sqref="AQ92:AR92">
    <cfRule type="expression" dxfId="2702" priority="2869">
      <formula>AND($H$64&gt;=4, $H$64&lt;&gt;"Please Select")</formula>
    </cfRule>
  </conditionalFormatting>
  <conditionalFormatting sqref="AQ95:AR95">
    <cfRule type="expression" dxfId="2701" priority="665">
      <formula>AND($H$64&gt;=4, $H$64&lt;&gt;"Please Select")</formula>
    </cfRule>
  </conditionalFormatting>
  <conditionalFormatting sqref="AQ157:AR157">
    <cfRule type="expression" dxfId="2700" priority="234">
      <formula>$AO$145&lt;&gt;""</formula>
    </cfRule>
  </conditionalFormatting>
  <conditionalFormatting sqref="AQ33:AS33">
    <cfRule type="expression" dxfId="2699" priority="12817">
      <formula>AND($H$12&gt;=4, $H$12&lt;&gt;"Please Select")</formula>
    </cfRule>
  </conditionalFormatting>
  <conditionalFormatting sqref="AQ153:AS153">
    <cfRule type="expression" dxfId="2698" priority="509">
      <formula>$AO$145&lt;&gt;""</formula>
    </cfRule>
  </conditionalFormatting>
  <conditionalFormatting sqref="AR98">
    <cfRule type="expression" dxfId="2697" priority="2153">
      <formula>AR$98="Pending"</formula>
    </cfRule>
  </conditionalFormatting>
  <conditionalFormatting sqref="AR98:AS122">
    <cfRule type="expression" dxfId="2696" priority="2156">
      <formula>AND($H$64&gt;=4, $H$64&lt;&gt;"Please Select")</formula>
    </cfRule>
  </conditionalFormatting>
  <conditionalFormatting sqref="AR99:AS99">
    <cfRule type="expression" dxfId="2695" priority="2151">
      <formula>AR$99="Pending"</formula>
    </cfRule>
  </conditionalFormatting>
  <conditionalFormatting sqref="AR100:AS100">
    <cfRule type="expression" dxfId="2694" priority="2149">
      <formula>AR$100="Pending"</formula>
    </cfRule>
  </conditionalFormatting>
  <conditionalFormatting sqref="AR101:AS101">
    <cfRule type="expression" dxfId="2693" priority="2147">
      <formula>AR$101="Pending"</formula>
    </cfRule>
  </conditionalFormatting>
  <conditionalFormatting sqref="AR102:AS102">
    <cfRule type="expression" dxfId="2692" priority="2145">
      <formula>AR$102="Pending"</formula>
    </cfRule>
  </conditionalFormatting>
  <conditionalFormatting sqref="AR103:AS103">
    <cfRule type="expression" dxfId="2691" priority="2143">
      <formula>AR$103="Pending"</formula>
    </cfRule>
  </conditionalFormatting>
  <conditionalFormatting sqref="AR104:AS104">
    <cfRule type="expression" dxfId="2690" priority="2141">
      <formula>AR$104="Pending"</formula>
    </cfRule>
  </conditionalFormatting>
  <conditionalFormatting sqref="AR105:AS105">
    <cfRule type="expression" dxfId="2689" priority="2139">
      <formula>AR$105="Pending"</formula>
    </cfRule>
  </conditionalFormatting>
  <conditionalFormatting sqref="AR106:AS106">
    <cfRule type="expression" dxfId="2688" priority="2137">
      <formula>AR$106="Pending"</formula>
    </cfRule>
  </conditionalFormatting>
  <conditionalFormatting sqref="AR107:AS107">
    <cfRule type="expression" dxfId="2687" priority="2135">
      <formula>AR$107="Pending"</formula>
    </cfRule>
  </conditionalFormatting>
  <conditionalFormatting sqref="AR108:AS108">
    <cfRule type="expression" dxfId="2686" priority="2133">
      <formula>AR$108="Pending"</formula>
    </cfRule>
  </conditionalFormatting>
  <conditionalFormatting sqref="AR109:AS109">
    <cfRule type="expression" dxfId="2685" priority="2131">
      <formula>AR$109="Pending"</formula>
    </cfRule>
  </conditionalFormatting>
  <conditionalFormatting sqref="AR110:AS110">
    <cfRule type="expression" dxfId="2684" priority="2129">
      <formula>AR$110="Pending"</formula>
    </cfRule>
  </conditionalFormatting>
  <conditionalFormatting sqref="AR111:AS111">
    <cfRule type="expression" dxfId="2683" priority="2127">
      <formula>AR$111="Pending"</formula>
    </cfRule>
  </conditionalFormatting>
  <conditionalFormatting sqref="AR112:AS112">
    <cfRule type="expression" dxfId="2682" priority="2125">
      <formula>AR$112="Pending"</formula>
    </cfRule>
  </conditionalFormatting>
  <conditionalFormatting sqref="AR113:AS113">
    <cfRule type="expression" dxfId="2681" priority="2123">
      <formula>AR$113="Pending"</formula>
    </cfRule>
  </conditionalFormatting>
  <conditionalFormatting sqref="AR114:AS114">
    <cfRule type="expression" dxfId="2680" priority="2121">
      <formula>AR$114="Pending"</formula>
    </cfRule>
  </conditionalFormatting>
  <conditionalFormatting sqref="AR115:AS115">
    <cfRule type="expression" dxfId="2679" priority="2119">
      <formula>AR$115="Pending"</formula>
    </cfRule>
  </conditionalFormatting>
  <conditionalFormatting sqref="AR116:AS116">
    <cfRule type="expression" dxfId="2678" priority="2117">
      <formula>AR$116="Pending"</formula>
    </cfRule>
  </conditionalFormatting>
  <conditionalFormatting sqref="AR117:AS117">
    <cfRule type="expression" dxfId="2677" priority="2115">
      <formula>AR$117="Pending"</formula>
    </cfRule>
  </conditionalFormatting>
  <conditionalFormatting sqref="AR118:AS118">
    <cfRule type="expression" dxfId="2676" priority="2113">
      <formula>AR$118="Pending"</formula>
    </cfRule>
  </conditionalFormatting>
  <conditionalFormatting sqref="AR119:AS119">
    <cfRule type="expression" dxfId="2675" priority="2111">
      <formula>AR$119="Pending"</formula>
    </cfRule>
  </conditionalFormatting>
  <conditionalFormatting sqref="AR120:AS120">
    <cfRule type="expression" dxfId="2674" priority="2109">
      <formula>AR$120="Pending"</formula>
    </cfRule>
  </conditionalFormatting>
  <conditionalFormatting sqref="AR121:AS121">
    <cfRule type="expression" dxfId="2673" priority="2107">
      <formula>AR$121="Pending"</formula>
    </cfRule>
  </conditionalFormatting>
  <conditionalFormatting sqref="AR122:AS122">
    <cfRule type="expression" dxfId="2672" priority="2105">
      <formula>AR$122="Pending"</formula>
    </cfRule>
  </conditionalFormatting>
  <conditionalFormatting sqref="AR52:AW52 AR55:AW55">
    <cfRule type="expression" dxfId="2671" priority="12771">
      <formula>AND($H$12&gt;=4, $H$12&lt;&gt;"Please Select")</formula>
    </cfRule>
  </conditionalFormatting>
  <conditionalFormatting sqref="AR53:AW54">
    <cfRule type="expression" dxfId="2670" priority="38">
      <formula>$AR$53&lt;&gt;""</formula>
    </cfRule>
  </conditionalFormatting>
  <conditionalFormatting sqref="AR126:AW126 AR129:AW129">
    <cfRule type="expression" dxfId="2669" priority="2877">
      <formula>AND($H$64&gt;=4, $H$64&lt;&gt;"Please Select")</formula>
    </cfRule>
  </conditionalFormatting>
  <conditionalFormatting sqref="AR127:AW128">
    <cfRule type="expression" dxfId="2668" priority="9">
      <formula>$AR$127&lt;&gt;""</formula>
    </cfRule>
  </conditionalFormatting>
  <conditionalFormatting sqref="AR161:AW164">
    <cfRule type="expression" dxfId="2667" priority="96">
      <formula>$AR$161&lt;&gt;""</formula>
    </cfRule>
  </conditionalFormatting>
  <conditionalFormatting sqref="AS30">
    <cfRule type="expression" dxfId="2666" priority="12819">
      <formula>AND($H$12&gt;=4, $H$12&lt;&gt;"Please Select")</formula>
    </cfRule>
  </conditionalFormatting>
  <conditionalFormatting sqref="AS34">
    <cfRule type="expression" dxfId="2665" priority="12816">
      <formula>AND($H$12&gt;=4, $H$12&lt;&gt;"Please Select")</formula>
    </cfRule>
    <cfRule type="expression" dxfId="2664" priority="178">
      <formula>$AS$34="Pending"</formula>
    </cfRule>
  </conditionalFormatting>
  <conditionalFormatting sqref="AS35">
    <cfRule type="expression" dxfId="2663" priority="12796">
      <formula>AS$34&lt;&gt;""</formula>
    </cfRule>
  </conditionalFormatting>
  <conditionalFormatting sqref="AS87">
    <cfRule type="expression" dxfId="2662" priority="2880">
      <formula>AND($H$64&gt;=4, $H$64&lt;&gt;"Please Select")</formula>
    </cfRule>
  </conditionalFormatting>
  <conditionalFormatting sqref="AS150">
    <cfRule type="expression" dxfId="2661" priority="511">
      <formula>$AO$145&lt;&gt;""</formula>
    </cfRule>
  </conditionalFormatting>
  <conditionalFormatting sqref="AS154">
    <cfRule type="expression" dxfId="2660" priority="508">
      <formula>$AO$145&lt;&gt;""</formula>
    </cfRule>
    <cfRule type="expression" dxfId="2659" priority="115">
      <formula>$AS$154="Pending"</formula>
    </cfRule>
  </conditionalFormatting>
  <conditionalFormatting sqref="AS155">
    <cfRule type="expression" dxfId="2658" priority="507">
      <formula>$AS$154&lt;&gt;""</formula>
    </cfRule>
  </conditionalFormatting>
  <conditionalFormatting sqref="AT97:AU97">
    <cfRule type="expression" dxfId="2657" priority="2154">
      <formula>AT$97&lt;&gt;""</formula>
    </cfRule>
  </conditionalFormatting>
  <conditionalFormatting sqref="AT98:AU98">
    <cfRule type="expression" dxfId="2656" priority="2152">
      <formula>AR$98="Pending"</formula>
    </cfRule>
  </conditionalFormatting>
  <conditionalFormatting sqref="AT99:AU99">
    <cfRule type="expression" dxfId="2655" priority="2150">
      <formula>AR$99="Pending"</formula>
    </cfRule>
  </conditionalFormatting>
  <conditionalFormatting sqref="AT100:AU100">
    <cfRule type="expression" dxfId="2654" priority="2148">
      <formula>AR$100="Pending"</formula>
    </cfRule>
  </conditionalFormatting>
  <conditionalFormatting sqref="AT101:AU101">
    <cfRule type="expression" dxfId="2653" priority="2146">
      <formula>AR$101="Pending"</formula>
    </cfRule>
  </conditionalFormatting>
  <conditionalFormatting sqref="AT102:AU102">
    <cfRule type="expression" dxfId="2652" priority="2144">
      <formula>AR$102="Pending"</formula>
    </cfRule>
  </conditionalFormatting>
  <conditionalFormatting sqref="AT103:AU103">
    <cfRule type="expression" dxfId="2651" priority="2142">
      <formula>AR$103="Pending"</formula>
    </cfRule>
  </conditionalFormatting>
  <conditionalFormatting sqref="AT104:AU104">
    <cfRule type="expression" dxfId="2650" priority="2140">
      <formula>AR$104="Pending"</formula>
    </cfRule>
  </conditionalFormatting>
  <conditionalFormatting sqref="AT105:AU105">
    <cfRule type="expression" dxfId="2649" priority="2138">
      <formula>AR$105="Pending"</formula>
    </cfRule>
  </conditionalFormatting>
  <conditionalFormatting sqref="AT106:AU106">
    <cfRule type="expression" dxfId="2648" priority="2136">
      <formula>AR$106="Pending"</formula>
    </cfRule>
  </conditionalFormatting>
  <conditionalFormatting sqref="AT107:AU107">
    <cfRule type="expression" dxfId="2647" priority="2134">
      <formula>AR$107="Pending"</formula>
    </cfRule>
  </conditionalFormatting>
  <conditionalFormatting sqref="AT108:AU108">
    <cfRule type="expression" dxfId="2646" priority="2132">
      <formula>AR$108="Pending"</formula>
    </cfRule>
  </conditionalFormatting>
  <conditionalFormatting sqref="AT109:AU109">
    <cfRule type="expression" dxfId="2645" priority="2130">
      <formula>AR$109="Pending"</formula>
    </cfRule>
  </conditionalFormatting>
  <conditionalFormatting sqref="AT110:AU110">
    <cfRule type="expression" dxfId="2644" priority="2128">
      <formula>AR$110="Pending"</formula>
    </cfRule>
  </conditionalFormatting>
  <conditionalFormatting sqref="AT111:AU111">
    <cfRule type="expression" dxfId="2643" priority="2126">
      <formula>AR$111="Pending"</formula>
    </cfRule>
  </conditionalFormatting>
  <conditionalFormatting sqref="AT112:AU112">
    <cfRule type="expression" dxfId="2642" priority="2124">
      <formula>AR$112="Pending"</formula>
    </cfRule>
  </conditionalFormatting>
  <conditionalFormatting sqref="AT113:AU113">
    <cfRule type="expression" dxfId="2641" priority="2122">
      <formula>AR$113="Pending"</formula>
    </cfRule>
  </conditionalFormatting>
  <conditionalFormatting sqref="AT114:AU114">
    <cfRule type="expression" dxfId="2640" priority="2120">
      <formula>AR$114="Pending"</formula>
    </cfRule>
  </conditionalFormatting>
  <conditionalFormatting sqref="AT115:AU115">
    <cfRule type="expression" dxfId="2639" priority="2118">
      <formula>AR$115="Pending"</formula>
    </cfRule>
  </conditionalFormatting>
  <conditionalFormatting sqref="AT116:AU116">
    <cfRule type="expression" dxfId="2638" priority="2116">
      <formula>AR$116="Pending"</formula>
    </cfRule>
  </conditionalFormatting>
  <conditionalFormatting sqref="AT117:AU117">
    <cfRule type="expression" dxfId="2637" priority="2114">
      <formula>AR$117="Pending"</formula>
    </cfRule>
  </conditionalFormatting>
  <conditionalFormatting sqref="AT118:AU118">
    <cfRule type="expression" dxfId="2636" priority="2112">
      <formula>AR$118="Pending"</formula>
    </cfRule>
  </conditionalFormatting>
  <conditionalFormatting sqref="AT119:AU119">
    <cfRule type="expression" dxfId="2635" priority="2110">
      <formula>AR$119="Pending"</formula>
    </cfRule>
  </conditionalFormatting>
  <conditionalFormatting sqref="AT120:AU120">
    <cfRule type="expression" dxfId="2634" priority="2108">
      <formula>AR$120="Pending"</formula>
    </cfRule>
  </conditionalFormatting>
  <conditionalFormatting sqref="AT121:AU121">
    <cfRule type="expression" dxfId="2633" priority="2106">
      <formula>AR$121="Pending"</formula>
    </cfRule>
  </conditionalFormatting>
  <conditionalFormatting sqref="AT122:AU122">
    <cfRule type="expression" dxfId="2632" priority="2104">
      <formula>AR$122="Pending"</formula>
    </cfRule>
  </conditionalFormatting>
  <conditionalFormatting sqref="AV27:AY28">
    <cfRule type="expression" dxfId="2631" priority="5605">
      <formula>AV$27&lt;&gt;""</formula>
    </cfRule>
  </conditionalFormatting>
  <conditionalFormatting sqref="AV84:AY85">
    <cfRule type="expression" dxfId="2630" priority="2884">
      <formula>AV$84&lt;&gt;""</formula>
    </cfRule>
  </conditionalFormatting>
  <conditionalFormatting sqref="AV147:AY148">
    <cfRule type="expression" dxfId="2629" priority="277">
      <formula>AV$147&lt;&gt;""</formula>
    </cfRule>
  </conditionalFormatting>
  <conditionalFormatting sqref="AX55:BA55">
    <cfRule type="expression" dxfId="2628" priority="611">
      <formula>AX55&lt;&gt;""</formula>
    </cfRule>
  </conditionalFormatting>
  <conditionalFormatting sqref="AX129:BA129">
    <cfRule type="expression" dxfId="2627" priority="602">
      <formula>AX129&lt;&gt;""</formula>
    </cfRule>
  </conditionalFormatting>
  <conditionalFormatting sqref="AX164:BA164">
    <cfRule type="expression" dxfId="2626" priority="73">
      <formula>AX164&lt;&gt;""</formula>
    </cfRule>
  </conditionalFormatting>
  <conditionalFormatting sqref="BB41">
    <cfRule type="expression" dxfId="2625" priority="12539">
      <formula>AND($H$12&gt;=5, $H$12&lt;&gt;"Please Select")</formula>
    </cfRule>
  </conditionalFormatting>
  <conditionalFormatting sqref="BB44:BB48">
    <cfRule type="expression" dxfId="2624" priority="5483">
      <formula>AND($H$12&gt;=5, $H$12&lt;&gt;"Please Select")</formula>
    </cfRule>
  </conditionalFormatting>
  <conditionalFormatting sqref="BB96">
    <cfRule type="expression" dxfId="2623" priority="2100">
      <formula>AND($H$64&gt;=5, $H$64&lt;&gt;"Please Select")</formula>
    </cfRule>
  </conditionalFormatting>
  <conditionalFormatting sqref="BB98:BD122">
    <cfRule type="expression" dxfId="2622" priority="2102">
      <formula>AND($H$64&gt;=5, $H$64&lt;&gt;"Please Select")</formula>
    </cfRule>
  </conditionalFormatting>
  <conditionalFormatting sqref="BB43:BE43">
    <cfRule type="expression" dxfId="2621" priority="5484">
      <formula>AND($H$12&gt;=5, $H$12&lt;&gt;"Please Select")</formula>
    </cfRule>
  </conditionalFormatting>
  <conditionalFormatting sqref="BB39:BF40">
    <cfRule type="expression" dxfId="2620" priority="5486">
      <formula>AND($H$12&gt;=5, $H$12&lt;&gt;"Please Select")</formula>
    </cfRule>
  </conditionalFormatting>
  <conditionalFormatting sqref="BB97:BF97">
    <cfRule type="expression" dxfId="2619" priority="2103">
      <formula>AND($H$64&gt;=5, $H$64&lt;&gt;"Please Select")</formula>
    </cfRule>
  </conditionalFormatting>
  <conditionalFormatting sqref="BB25:BH25">
    <cfRule type="expression" dxfId="2618" priority="12552">
      <formula>AND($H$12&gt;=5, $H$12&lt;&gt;"Please Select")</formula>
    </cfRule>
  </conditionalFormatting>
  <conditionalFormatting sqref="BB82:BH82">
    <cfRule type="expression" dxfId="2617" priority="2863">
      <formula>AND($H$64&gt;=5, $H$64&lt;&gt;"Please Select")</formula>
    </cfRule>
  </conditionalFormatting>
  <conditionalFormatting sqref="BB145:BH145">
    <cfRule type="expression" dxfId="2616" priority="506">
      <formula>$BB$145&lt;&gt;""</formula>
    </cfRule>
  </conditionalFormatting>
  <conditionalFormatting sqref="BB51:BJ51">
    <cfRule type="expression" dxfId="2615" priority="12525">
      <formula>AND($H$12&gt;=5, $H$12&lt;&gt;"Please Select")</formula>
    </cfRule>
  </conditionalFormatting>
  <conditionalFormatting sqref="BB125:BJ125">
    <cfRule type="expression" dxfId="2614" priority="2858">
      <formula>AND($H$64&gt;=5, $H$64&lt;&gt;"Please Select")</formula>
    </cfRule>
  </conditionalFormatting>
  <conditionalFormatting sqref="BB160:BJ160">
    <cfRule type="expression" dxfId="2613" priority="94">
      <formula>$BB$160&lt;&gt;""</formula>
    </cfRule>
  </conditionalFormatting>
  <conditionalFormatting sqref="BC30:BD30">
    <cfRule type="expression" dxfId="2612" priority="12548">
      <formula>AND($H$12&gt;=5, $H$12&lt;&gt;"Please Select")</formula>
    </cfRule>
  </conditionalFormatting>
  <conditionalFormatting sqref="BC87:BD87">
    <cfRule type="expression" dxfId="2611" priority="2861">
      <formula>AND($H$64&gt;=5, $H$64&lt;&gt;"Please Select")</formula>
    </cfRule>
  </conditionalFormatting>
  <conditionalFormatting sqref="BC150:BD150">
    <cfRule type="expression" dxfId="2610" priority="505">
      <formula>$BB$145&lt;&gt;""</formula>
    </cfRule>
  </conditionalFormatting>
  <conditionalFormatting sqref="BC44:BE48">
    <cfRule type="expression" dxfId="2609" priority="12532">
      <formula>AND($H$12&gt;=5, $H$12&lt;&gt;"Please Select")</formula>
    </cfRule>
  </conditionalFormatting>
  <conditionalFormatting sqref="BC27:BF29">
    <cfRule type="expression" dxfId="2608" priority="5487">
      <formula>AND($H$12&gt;=5, $H$12&lt;&gt;"Please Select")</formula>
    </cfRule>
  </conditionalFormatting>
  <conditionalFormatting sqref="BC41:BF41">
    <cfRule type="expression" dxfId="2607" priority="5485">
      <formula>AND($H$12&gt;=5, $H$12&lt;&gt;"Please Select")</formula>
    </cfRule>
  </conditionalFormatting>
  <conditionalFormatting sqref="BC84:BF86">
    <cfRule type="expression" dxfId="2606" priority="2862">
      <formula>AND($H$64&gt;=5, $H$64&lt;&gt;"Please Select")</formula>
    </cfRule>
  </conditionalFormatting>
  <conditionalFormatting sqref="BC147:BF149">
    <cfRule type="expression" dxfId="2605" priority="241">
      <formula>$BB$145&lt;&gt;""</formula>
    </cfRule>
  </conditionalFormatting>
  <conditionalFormatting sqref="BD31">
    <cfRule type="expression" dxfId="2604" priority="12546">
      <formula>AND($H$12&gt;=5, $H$12&lt;&gt;"Please Select")</formula>
    </cfRule>
  </conditionalFormatting>
  <conditionalFormatting sqref="BD88">
    <cfRule type="expression" dxfId="2603" priority="2859">
      <formula>AND($H$64&gt;=5, $H$64&lt;&gt;"Please Select")</formula>
    </cfRule>
  </conditionalFormatting>
  <conditionalFormatting sqref="BD151">
    <cfRule type="expression" dxfId="2602" priority="503">
      <formula>$BB$145&lt;&gt;""</formula>
    </cfRule>
  </conditionalFormatting>
  <conditionalFormatting sqref="BD91:BE91">
    <cfRule type="expression" dxfId="2601" priority="170">
      <formula>AND($H$64&gt;=5, $H$64&lt;&gt;"Please Select")</formula>
    </cfRule>
    <cfRule type="expression" dxfId="2600" priority="169">
      <formula>$BD$91="No"</formula>
    </cfRule>
  </conditionalFormatting>
  <conditionalFormatting sqref="BD92:BE92">
    <cfRule type="expression" dxfId="2599" priority="2849">
      <formula>AND($H$64&gt;=5, $H$64&lt;&gt;"Please Select")</formula>
    </cfRule>
  </conditionalFormatting>
  <conditionalFormatting sqref="BD95:BE95">
    <cfRule type="expression" dxfId="2598" priority="664">
      <formula>AND($H$64&gt;=5, $H$64&lt;&gt;"Please Select")</formula>
    </cfRule>
  </conditionalFormatting>
  <conditionalFormatting sqref="BD157:BE157">
    <cfRule type="expression" dxfId="2597" priority="233">
      <formula>$BB$145&lt;&gt;""</formula>
    </cfRule>
  </conditionalFormatting>
  <conditionalFormatting sqref="BD33:BF33">
    <cfRule type="expression" dxfId="2596" priority="12545">
      <formula>AND($H$12&gt;=5, $H$12&lt;&gt;"Please Select")</formula>
    </cfRule>
  </conditionalFormatting>
  <conditionalFormatting sqref="BD153:BF153">
    <cfRule type="expression" dxfId="2595" priority="502">
      <formula>$BB$145&lt;&gt;""</formula>
    </cfRule>
  </conditionalFormatting>
  <conditionalFormatting sqref="BE98">
    <cfRule type="expression" dxfId="2594" priority="2098">
      <formula>BE$98="Pending"</formula>
    </cfRule>
  </conditionalFormatting>
  <conditionalFormatting sqref="BE98:BF122">
    <cfRule type="expression" dxfId="2593" priority="2101">
      <formula>AND($H$64&gt;=5, $H$64&lt;&gt;"Please Select")</formula>
    </cfRule>
  </conditionalFormatting>
  <conditionalFormatting sqref="BE99:BF99">
    <cfRule type="expression" dxfId="2592" priority="2096">
      <formula>BE$99="Pending"</formula>
    </cfRule>
  </conditionalFormatting>
  <conditionalFormatting sqref="BE100:BF100">
    <cfRule type="expression" dxfId="2591" priority="2094">
      <formula>BE$100="Pending"</formula>
    </cfRule>
  </conditionalFormatting>
  <conditionalFormatting sqref="BE101:BF101">
    <cfRule type="expression" dxfId="2590" priority="2092">
      <formula>BE$101="Pending"</formula>
    </cfRule>
  </conditionalFormatting>
  <conditionalFormatting sqref="BE102:BF102">
    <cfRule type="expression" dxfId="2589" priority="2090">
      <formula>BE$102="Pending"</formula>
    </cfRule>
  </conditionalFormatting>
  <conditionalFormatting sqref="BE103:BF103">
    <cfRule type="expression" dxfId="2588" priority="2088">
      <formula>BE$103="Pending"</formula>
    </cfRule>
  </conditionalFormatting>
  <conditionalFormatting sqref="BE104:BF104">
    <cfRule type="expression" dxfId="2587" priority="2086">
      <formula>BE$104="Pending"</formula>
    </cfRule>
  </conditionalFormatting>
  <conditionalFormatting sqref="BE105:BF105">
    <cfRule type="expression" dxfId="2586" priority="2084">
      <formula>BE$105="Pending"</formula>
    </cfRule>
  </conditionalFormatting>
  <conditionalFormatting sqref="BE106:BF106">
    <cfRule type="expression" dxfId="2585" priority="2082">
      <formula>BE$106="Pending"</formula>
    </cfRule>
  </conditionalFormatting>
  <conditionalFormatting sqref="BE107:BF107">
    <cfRule type="expression" dxfId="2584" priority="2080">
      <formula>BE$107="Pending"</formula>
    </cfRule>
  </conditionalFormatting>
  <conditionalFormatting sqref="BE108:BF108">
    <cfRule type="expression" dxfId="2583" priority="2078">
      <formula>BE$108="Pending"</formula>
    </cfRule>
  </conditionalFormatting>
  <conditionalFormatting sqref="BE109:BF109">
    <cfRule type="expression" dxfId="2582" priority="2076">
      <formula>BE$109="Pending"</formula>
    </cfRule>
  </conditionalFormatting>
  <conditionalFormatting sqref="BE110:BF110">
    <cfRule type="expression" dxfId="2581" priority="2074">
      <formula>BE$110="Pending"</formula>
    </cfRule>
  </conditionalFormatting>
  <conditionalFormatting sqref="BE111:BF111">
    <cfRule type="expression" dxfId="2580" priority="2072">
      <formula>BE$111="Pending"</formula>
    </cfRule>
  </conditionalFormatting>
  <conditionalFormatting sqref="BE112:BF112">
    <cfRule type="expression" dxfId="2579" priority="2070">
      <formula>BE$112="Pending"</formula>
    </cfRule>
  </conditionalFormatting>
  <conditionalFormatting sqref="BE113:BF113">
    <cfRule type="expression" dxfId="2578" priority="2068">
      <formula>BE$113="Pending"</formula>
    </cfRule>
  </conditionalFormatting>
  <conditionalFormatting sqref="BE114:BF114">
    <cfRule type="expression" dxfId="2577" priority="2066">
      <formula>BE$114="Pending"</formula>
    </cfRule>
  </conditionalFormatting>
  <conditionalFormatting sqref="BE115:BF115">
    <cfRule type="expression" dxfId="2576" priority="2064">
      <formula>BE$115="Pending"</formula>
    </cfRule>
  </conditionalFormatting>
  <conditionalFormatting sqref="BE116:BF116">
    <cfRule type="expression" dxfId="2575" priority="2062">
      <formula>BE$116="Pending"</formula>
    </cfRule>
  </conditionalFormatting>
  <conditionalFormatting sqref="BE117:BF117">
    <cfRule type="expression" dxfId="2574" priority="2060">
      <formula>BE$117="Pending"</formula>
    </cfRule>
  </conditionalFormatting>
  <conditionalFormatting sqref="BE118:BF118">
    <cfRule type="expression" dxfId="2573" priority="2058">
      <formula>BE$118="Pending"</formula>
    </cfRule>
  </conditionalFormatting>
  <conditionalFormatting sqref="BE119:BF119">
    <cfRule type="expression" dxfId="2572" priority="2056">
      <formula>BE$119="Pending"</formula>
    </cfRule>
  </conditionalFormatting>
  <conditionalFormatting sqref="BE120:BF120">
    <cfRule type="expression" dxfId="2571" priority="2054">
      <formula>BE$120="Pending"</formula>
    </cfRule>
  </conditionalFormatting>
  <conditionalFormatting sqref="BE121:BF121">
    <cfRule type="expression" dxfId="2570" priority="2052">
      <formula>BE$121="Pending"</formula>
    </cfRule>
  </conditionalFormatting>
  <conditionalFormatting sqref="BE122:BF122">
    <cfRule type="expression" dxfId="2569" priority="2050">
      <formula>BE$122="Pending"</formula>
    </cfRule>
  </conditionalFormatting>
  <conditionalFormatting sqref="BE52:BJ52 BE55:BJ55">
    <cfRule type="expression" dxfId="2568" priority="12499">
      <formula>AND($H$12&gt;=5, $H$12&lt;&gt;"Please Select")</formula>
    </cfRule>
  </conditionalFormatting>
  <conditionalFormatting sqref="BE53:BJ54">
    <cfRule type="expression" dxfId="2567" priority="39">
      <formula>$BE$53&lt;&gt;""</formula>
    </cfRule>
  </conditionalFormatting>
  <conditionalFormatting sqref="BE126:BJ126 BE129:BJ129">
    <cfRule type="expression" dxfId="2566" priority="2857">
      <formula>AND($H$64&gt;=5, $H$64&lt;&gt;"Please Select")</formula>
    </cfRule>
  </conditionalFormatting>
  <conditionalFormatting sqref="BE127:BJ128">
    <cfRule type="expression" dxfId="2565" priority="10">
      <formula>$BE$127&lt;&gt;""</formula>
    </cfRule>
  </conditionalFormatting>
  <conditionalFormatting sqref="BE161:BJ164">
    <cfRule type="expression" dxfId="2564" priority="93">
      <formula>$BE$161&lt;&gt;""</formula>
    </cfRule>
  </conditionalFormatting>
  <conditionalFormatting sqref="BF30">
    <cfRule type="expression" dxfId="2563" priority="12547">
      <formula>AND($H$12&gt;=5, $H$12&lt;&gt;"Please Select")</formula>
    </cfRule>
  </conditionalFormatting>
  <conditionalFormatting sqref="BF34">
    <cfRule type="expression" dxfId="2562" priority="12544">
      <formula>AND($H$12&gt;=5, $H$12&lt;&gt;"Please Select")</formula>
    </cfRule>
    <cfRule type="expression" dxfId="2561" priority="179">
      <formula>$BF$34="Pending"</formula>
    </cfRule>
  </conditionalFormatting>
  <conditionalFormatting sqref="BF35">
    <cfRule type="expression" dxfId="2560" priority="12524">
      <formula>BF$34&lt;&gt;""</formula>
    </cfRule>
  </conditionalFormatting>
  <conditionalFormatting sqref="BF87">
    <cfRule type="expression" dxfId="2559" priority="2860">
      <formula>AND($H$64&gt;=5, $H$64&lt;&gt;"Please Select")</formula>
    </cfRule>
  </conditionalFormatting>
  <conditionalFormatting sqref="BF150">
    <cfRule type="expression" dxfId="2558" priority="504">
      <formula>$BB$145&lt;&gt;""</formula>
    </cfRule>
  </conditionalFormatting>
  <conditionalFormatting sqref="BF154">
    <cfRule type="expression" dxfId="2557" priority="114">
      <formula>$BF$154="Pending"</formula>
    </cfRule>
    <cfRule type="expression" dxfId="2556" priority="501">
      <formula>$BB$145&lt;&gt;""</formula>
    </cfRule>
  </conditionalFormatting>
  <conditionalFormatting sqref="BF155">
    <cfRule type="expression" dxfId="2555" priority="500">
      <formula>$BF$154&lt;&gt;""</formula>
    </cfRule>
  </conditionalFormatting>
  <conditionalFormatting sqref="BG97:BH97">
    <cfRule type="expression" dxfId="2554" priority="2099">
      <formula>BG$97&lt;&gt;""</formula>
    </cfRule>
  </conditionalFormatting>
  <conditionalFormatting sqref="BG98:BH98">
    <cfRule type="expression" dxfId="2553" priority="2097">
      <formula>BE$98="Pending"</formula>
    </cfRule>
  </conditionalFormatting>
  <conditionalFormatting sqref="BG99:BH99">
    <cfRule type="expression" dxfId="2552" priority="2095">
      <formula>BE$99="Pending"</formula>
    </cfRule>
  </conditionalFormatting>
  <conditionalFormatting sqref="BG100:BH100">
    <cfRule type="expression" dxfId="2551" priority="2093">
      <formula>BE$100="Pending"</formula>
    </cfRule>
  </conditionalFormatting>
  <conditionalFormatting sqref="BG101:BH101">
    <cfRule type="expression" dxfId="2550" priority="2091">
      <formula>BE$101="Pending"</formula>
    </cfRule>
  </conditionalFormatting>
  <conditionalFormatting sqref="BG102:BH102">
    <cfRule type="expression" dxfId="2549" priority="2089">
      <formula>BE$102="Pending"</formula>
    </cfRule>
  </conditionalFormatting>
  <conditionalFormatting sqref="BG103:BH103">
    <cfRule type="expression" dxfId="2548" priority="2087">
      <formula>BE$103="Pending"</formula>
    </cfRule>
  </conditionalFormatting>
  <conditionalFormatting sqref="BG104:BH104">
    <cfRule type="expression" dxfId="2547" priority="2085">
      <formula>BE$104="Pending"</formula>
    </cfRule>
  </conditionalFormatting>
  <conditionalFormatting sqref="BG105:BH105">
    <cfRule type="expression" dxfId="2546" priority="2083">
      <formula>BE$105="Pending"</formula>
    </cfRule>
  </conditionalFormatting>
  <conditionalFormatting sqref="BG106:BH106">
    <cfRule type="expression" dxfId="2545" priority="2081">
      <formula>BE$106="Pending"</formula>
    </cfRule>
  </conditionalFormatting>
  <conditionalFormatting sqref="BG107:BH107">
    <cfRule type="expression" dxfId="2544" priority="2079">
      <formula>BE$107="Pending"</formula>
    </cfRule>
  </conditionalFormatting>
  <conditionalFormatting sqref="BG108:BH108">
    <cfRule type="expression" dxfId="2543" priority="2077">
      <formula>BE$108="Pending"</formula>
    </cfRule>
  </conditionalFormatting>
  <conditionalFormatting sqref="BG109:BH109">
    <cfRule type="expression" dxfId="2542" priority="2075">
      <formula>BE$109="Pending"</formula>
    </cfRule>
  </conditionalFormatting>
  <conditionalFormatting sqref="BG110:BH110">
    <cfRule type="expression" dxfId="2541" priority="2073">
      <formula>BE$110="Pending"</formula>
    </cfRule>
  </conditionalFormatting>
  <conditionalFormatting sqref="BG111:BH111">
    <cfRule type="expression" dxfId="2540" priority="2071">
      <formula>BE$111="Pending"</formula>
    </cfRule>
  </conditionalFormatting>
  <conditionalFormatting sqref="BG112:BH112">
    <cfRule type="expression" dxfId="2539" priority="2069">
      <formula>BE$112="Pending"</formula>
    </cfRule>
  </conditionalFormatting>
  <conditionalFormatting sqref="BG113:BH113">
    <cfRule type="expression" dxfId="2538" priority="2067">
      <formula>BE$113="Pending"</formula>
    </cfRule>
  </conditionalFormatting>
  <conditionalFormatting sqref="BG114:BH114">
    <cfRule type="expression" dxfId="2537" priority="2065">
      <formula>BE$114="Pending"</formula>
    </cfRule>
  </conditionalFormatting>
  <conditionalFormatting sqref="BG115:BH115">
    <cfRule type="expression" dxfId="2536" priority="2063">
      <formula>BE$115="Pending"</formula>
    </cfRule>
  </conditionalFormatting>
  <conditionalFormatting sqref="BG116:BH116">
    <cfRule type="expression" dxfId="2535" priority="2061">
      <formula>BE$116="Pending"</formula>
    </cfRule>
  </conditionalFormatting>
  <conditionalFormatting sqref="BG117:BH117">
    <cfRule type="expression" dxfId="2534" priority="2059">
      <formula>BE$117="Pending"</formula>
    </cfRule>
  </conditionalFormatting>
  <conditionalFormatting sqref="BG118:BH118">
    <cfRule type="expression" dxfId="2533" priority="2057">
      <formula>BE$118="Pending"</formula>
    </cfRule>
  </conditionalFormatting>
  <conditionalFormatting sqref="BG119:BH119">
    <cfRule type="expression" dxfId="2532" priority="2055">
      <formula>BE$119="Pending"</formula>
    </cfRule>
  </conditionalFormatting>
  <conditionalFormatting sqref="BG120:BH120">
    <cfRule type="expression" dxfId="2531" priority="2053">
      <formula>BE$120="Pending"</formula>
    </cfRule>
  </conditionalFormatting>
  <conditionalFormatting sqref="BG121:BH121">
    <cfRule type="expression" dxfId="2530" priority="2051">
      <formula>BE$121="Pending"</formula>
    </cfRule>
  </conditionalFormatting>
  <conditionalFormatting sqref="BG122:BH122">
    <cfRule type="expression" dxfId="2529" priority="2049">
      <formula>BE$122="Pending"</formula>
    </cfRule>
  </conditionalFormatting>
  <conditionalFormatting sqref="BI27:BL28">
    <cfRule type="expression" dxfId="2528" priority="5604">
      <formula>BI$27&lt;&gt;""</formula>
    </cfRule>
  </conditionalFormatting>
  <conditionalFormatting sqref="BI84:BL85">
    <cfRule type="expression" dxfId="2527" priority="2864">
      <formula>BI$84&lt;&gt;""</formula>
    </cfRule>
  </conditionalFormatting>
  <conditionalFormatting sqref="BI147:BL148">
    <cfRule type="expression" dxfId="2526" priority="276">
      <formula>BI$147&lt;&gt;""</formula>
    </cfRule>
  </conditionalFormatting>
  <conditionalFormatting sqref="BK55:BN55">
    <cfRule type="expression" dxfId="2525" priority="612">
      <formula>BK55&lt;&gt;""</formula>
    </cfRule>
  </conditionalFormatting>
  <conditionalFormatting sqref="BK129:BN129">
    <cfRule type="expression" dxfId="2524" priority="601">
      <formula>BK129&lt;&gt;""</formula>
    </cfRule>
  </conditionalFormatting>
  <conditionalFormatting sqref="BK164:BN164">
    <cfRule type="expression" dxfId="2523" priority="72">
      <formula>BK164&lt;&gt;""</formula>
    </cfRule>
  </conditionalFormatting>
  <conditionalFormatting sqref="BO41">
    <cfRule type="expression" dxfId="2522" priority="12267">
      <formula>AND($H$12&gt;=6, $H$12&lt;&gt;"Please Select")</formula>
    </cfRule>
  </conditionalFormatting>
  <conditionalFormatting sqref="BO44:BO48">
    <cfRule type="expression" dxfId="2521" priority="5488">
      <formula>AND($H$12&gt;=6, $H$12&lt;&gt;"Please Select")</formula>
    </cfRule>
  </conditionalFormatting>
  <conditionalFormatting sqref="BO96">
    <cfRule type="expression" dxfId="2520" priority="2045">
      <formula>AND($H$64&gt;=6, $H$64&lt;&gt;"Please Select")</formula>
    </cfRule>
  </conditionalFormatting>
  <conditionalFormatting sqref="BO98:BQ122">
    <cfRule type="expression" dxfId="2519" priority="2047">
      <formula>AND($H$64&gt;=6, $H$64&lt;&gt;"Please Select")</formula>
    </cfRule>
  </conditionalFormatting>
  <conditionalFormatting sqref="BO43:BR43">
    <cfRule type="expression" dxfId="2518" priority="5489">
      <formula>AND($H$12&gt;=6, $H$12&lt;&gt;"Please Select")</formula>
    </cfRule>
  </conditionalFormatting>
  <conditionalFormatting sqref="BO39:BS40">
    <cfRule type="expression" dxfId="2517" priority="5491">
      <formula>AND($H$12&gt;=6, $H$12&lt;&gt;"Please Select")</formula>
    </cfRule>
  </conditionalFormatting>
  <conditionalFormatting sqref="BO97:BS97">
    <cfRule type="expression" dxfId="2516" priority="2048">
      <formula>AND($H$64&gt;=6, $H$64&lt;&gt;"Please Select")</formula>
    </cfRule>
  </conditionalFormatting>
  <conditionalFormatting sqref="BO25:BU25">
    <cfRule type="expression" dxfId="2515" priority="12280">
      <formula>AND($H$12&gt;=6, $H$12&lt;&gt;"Please Select")</formula>
    </cfRule>
  </conditionalFormatting>
  <conditionalFormatting sqref="BO82:BU82">
    <cfRule type="expression" dxfId="2514" priority="2843">
      <formula>AND($H$64&gt;=6, $H$64&lt;&gt;"Please Select")</formula>
    </cfRule>
  </conditionalFormatting>
  <conditionalFormatting sqref="BO145:BU145">
    <cfRule type="expression" dxfId="2513" priority="499">
      <formula>$BO$145&lt;&gt;""</formula>
    </cfRule>
  </conditionalFormatting>
  <conditionalFormatting sqref="BO51:BW51">
    <cfRule type="expression" dxfId="2512" priority="12253">
      <formula>AND($H$12&gt;=6, $H$12&lt;&gt;"Please Select")</formula>
    </cfRule>
  </conditionalFormatting>
  <conditionalFormatting sqref="BO125:BW125">
    <cfRule type="expression" dxfId="2511" priority="2838">
      <formula>AND($H$64&gt;=6, $H$64&lt;&gt;"Please Select")</formula>
    </cfRule>
  </conditionalFormatting>
  <conditionalFormatting sqref="BO160:BW160">
    <cfRule type="expression" dxfId="2510" priority="91">
      <formula>$BO$160&lt;&gt;""</formula>
    </cfRule>
  </conditionalFormatting>
  <conditionalFormatting sqref="BP30:BQ30">
    <cfRule type="expression" dxfId="2509" priority="12276">
      <formula>AND($H$12&gt;=6, $H$12&lt;&gt;"Please Select")</formula>
    </cfRule>
  </conditionalFormatting>
  <conditionalFormatting sqref="BP87:BQ87">
    <cfRule type="expression" dxfId="2508" priority="2841">
      <formula>AND($H$64&gt;=6, $H$64&lt;&gt;"Please Select")</formula>
    </cfRule>
  </conditionalFormatting>
  <conditionalFormatting sqref="BP150:BQ150">
    <cfRule type="expression" dxfId="2507" priority="498">
      <formula>$BO$145&lt;&gt;""</formula>
    </cfRule>
  </conditionalFormatting>
  <conditionalFormatting sqref="BP44:BR48">
    <cfRule type="expression" dxfId="2506" priority="12260">
      <formula>AND($H$12&gt;=6, $H$12&lt;&gt;"Please Select")</formula>
    </cfRule>
  </conditionalFormatting>
  <conditionalFormatting sqref="BP27:BS29">
    <cfRule type="expression" dxfId="2505" priority="5492">
      <formula>AND($H$12&gt;=6, $H$12&lt;&gt;"Please Select")</formula>
    </cfRule>
  </conditionalFormatting>
  <conditionalFormatting sqref="BP41:BS41">
    <cfRule type="expression" dxfId="2504" priority="5490">
      <formula>AND($H$12&gt;=6, $H$12&lt;&gt;"Please Select")</formula>
    </cfRule>
  </conditionalFormatting>
  <conditionalFormatting sqref="BP84:BS86">
    <cfRule type="expression" dxfId="2503" priority="2842">
      <formula>AND($H$64&gt;=6, $H$64&lt;&gt;"Please Select")</formula>
    </cfRule>
  </conditionalFormatting>
  <conditionalFormatting sqref="BP147:BS149">
    <cfRule type="expression" dxfId="2502" priority="242">
      <formula>$BO$145&lt;&gt;""</formula>
    </cfRule>
  </conditionalFormatting>
  <conditionalFormatting sqref="BQ31">
    <cfRule type="expression" dxfId="2501" priority="12274">
      <formula>AND($H$12&gt;=6, $H$12&lt;&gt;"Please Select")</formula>
    </cfRule>
  </conditionalFormatting>
  <conditionalFormatting sqref="BQ88">
    <cfRule type="expression" dxfId="2500" priority="2839">
      <formula>AND($H$64&gt;=6, $H$64&lt;&gt;"Please Select")</formula>
    </cfRule>
  </conditionalFormatting>
  <conditionalFormatting sqref="BQ151">
    <cfRule type="expression" dxfId="2499" priority="496">
      <formula>$BO$145&lt;&gt;""</formula>
    </cfRule>
  </conditionalFormatting>
  <conditionalFormatting sqref="BQ91:BR91">
    <cfRule type="expression" dxfId="2498" priority="168">
      <formula>AND($H$64&gt;=6, $H$64&lt;&gt;"Please Select")</formula>
    </cfRule>
    <cfRule type="expression" dxfId="2497" priority="167">
      <formula>$BQ$91="No"</formula>
    </cfRule>
  </conditionalFormatting>
  <conditionalFormatting sqref="BQ92:BR92">
    <cfRule type="expression" dxfId="2496" priority="2829">
      <formula>AND($H$64&gt;=6, $H$64&lt;&gt;"Please Select")</formula>
    </cfRule>
  </conditionalFormatting>
  <conditionalFormatting sqref="BQ95:BR95">
    <cfRule type="expression" dxfId="2495" priority="663">
      <formula>AND($H$64&gt;=6, $H$64&lt;&gt;"Please Select")</formula>
    </cfRule>
  </conditionalFormatting>
  <conditionalFormatting sqref="BQ157:BR157">
    <cfRule type="expression" dxfId="2494" priority="232">
      <formula>$BO$145&lt;&gt;""</formula>
    </cfRule>
  </conditionalFormatting>
  <conditionalFormatting sqref="BQ33:BS33">
    <cfRule type="expression" dxfId="2493" priority="12273">
      <formula>AND($H$12&gt;=6, $H$12&lt;&gt;"Please Select")</formula>
    </cfRule>
  </conditionalFormatting>
  <conditionalFormatting sqref="BQ153:BS153">
    <cfRule type="expression" dxfId="2492" priority="495">
      <formula>$BO$145&lt;&gt;""</formula>
    </cfRule>
  </conditionalFormatting>
  <conditionalFormatting sqref="BR98">
    <cfRule type="expression" dxfId="2491" priority="2043">
      <formula>BR$98="Pending"</formula>
    </cfRule>
  </conditionalFormatting>
  <conditionalFormatting sqref="BR98:BS122">
    <cfRule type="expression" dxfId="2490" priority="2046">
      <formula>AND($H$64&gt;=6, $H$64&lt;&gt;"Please Select")</formula>
    </cfRule>
  </conditionalFormatting>
  <conditionalFormatting sqref="BR99:BS99">
    <cfRule type="expression" dxfId="2489" priority="2041">
      <formula>BR$99="Pending"</formula>
    </cfRule>
  </conditionalFormatting>
  <conditionalFormatting sqref="BR100:BS100">
    <cfRule type="expression" dxfId="2488" priority="2039">
      <formula>BR$100="Pending"</formula>
    </cfRule>
  </conditionalFormatting>
  <conditionalFormatting sqref="BR101:BS101">
    <cfRule type="expression" dxfId="2487" priority="2037">
      <formula>BR$101="Pending"</formula>
    </cfRule>
  </conditionalFormatting>
  <conditionalFormatting sqref="BR102:BS102">
    <cfRule type="expression" dxfId="2486" priority="2035">
      <formula>BR$102="Pending"</formula>
    </cfRule>
  </conditionalFormatting>
  <conditionalFormatting sqref="BR103:BS103">
    <cfRule type="expression" dxfId="2485" priority="2033">
      <formula>BR$103="Pending"</formula>
    </cfRule>
  </conditionalFormatting>
  <conditionalFormatting sqref="BR104:BS104">
    <cfRule type="expression" dxfId="2484" priority="2031">
      <formula>BR$104="Pending"</formula>
    </cfRule>
  </conditionalFormatting>
  <conditionalFormatting sqref="BR105:BS105">
    <cfRule type="expression" dxfId="2483" priority="2029">
      <formula>BR$105="Pending"</formula>
    </cfRule>
  </conditionalFormatting>
  <conditionalFormatting sqref="BR106:BS106">
    <cfRule type="expression" dxfId="2482" priority="2027">
      <formula>BR$106="Pending"</formula>
    </cfRule>
  </conditionalFormatting>
  <conditionalFormatting sqref="BR107:BS107">
    <cfRule type="expression" dxfId="2481" priority="2025">
      <formula>BR$107="Pending"</formula>
    </cfRule>
  </conditionalFormatting>
  <conditionalFormatting sqref="BR108:BS108">
    <cfRule type="expression" dxfId="2480" priority="2023">
      <formula>BR$108="Pending"</formula>
    </cfRule>
  </conditionalFormatting>
  <conditionalFormatting sqref="BR109:BS109">
    <cfRule type="expression" dxfId="2479" priority="2021">
      <formula>BR$109="Pending"</formula>
    </cfRule>
  </conditionalFormatting>
  <conditionalFormatting sqref="BR110:BS110">
    <cfRule type="expression" dxfId="2478" priority="2019">
      <formula>BR$110="Pending"</formula>
    </cfRule>
  </conditionalFormatting>
  <conditionalFormatting sqref="BR111:BS111">
    <cfRule type="expression" dxfId="2477" priority="2017">
      <formula>BR$111="Pending"</formula>
    </cfRule>
  </conditionalFormatting>
  <conditionalFormatting sqref="BR112:BS112">
    <cfRule type="expression" dxfId="2476" priority="2015">
      <formula>BR$112="Pending"</formula>
    </cfRule>
  </conditionalFormatting>
  <conditionalFormatting sqref="BR113:BS113">
    <cfRule type="expression" dxfId="2475" priority="2013">
      <formula>BR$113="Pending"</formula>
    </cfRule>
  </conditionalFormatting>
  <conditionalFormatting sqref="BR114:BS114">
    <cfRule type="expression" dxfId="2474" priority="2011">
      <formula>BR$114="Pending"</formula>
    </cfRule>
  </conditionalFormatting>
  <conditionalFormatting sqref="BR115:BS115">
    <cfRule type="expression" dxfId="2473" priority="2009">
      <formula>BR$115="Pending"</formula>
    </cfRule>
  </conditionalFormatting>
  <conditionalFormatting sqref="BR116:BS116">
    <cfRule type="expression" dxfId="2472" priority="2007">
      <formula>BR$116="Pending"</formula>
    </cfRule>
  </conditionalFormatting>
  <conditionalFormatting sqref="BR117:BS117">
    <cfRule type="expression" dxfId="2471" priority="2005">
      <formula>BR$117="Pending"</formula>
    </cfRule>
  </conditionalFormatting>
  <conditionalFormatting sqref="BR118:BS118">
    <cfRule type="expression" dxfId="2470" priority="2003">
      <formula>BR$118="Pending"</formula>
    </cfRule>
  </conditionalFormatting>
  <conditionalFormatting sqref="BR119:BS119">
    <cfRule type="expression" dxfId="2469" priority="2001">
      <formula>BR$119="Pending"</formula>
    </cfRule>
  </conditionalFormatting>
  <conditionalFormatting sqref="BR120:BS120">
    <cfRule type="expression" dxfId="2468" priority="1999">
      <formula>BR$120="Pending"</formula>
    </cfRule>
  </conditionalFormatting>
  <conditionalFormatting sqref="BR121:BS121">
    <cfRule type="expression" dxfId="2467" priority="1997">
      <formula>BR$121="Pending"</formula>
    </cfRule>
  </conditionalFormatting>
  <conditionalFormatting sqref="BR122:BS122">
    <cfRule type="expression" dxfId="2466" priority="1995">
      <formula>BR$122="Pending"</formula>
    </cfRule>
  </conditionalFormatting>
  <conditionalFormatting sqref="BR52:BW52 BR55:BW55">
    <cfRule type="expression" dxfId="2465" priority="12227">
      <formula>AND($H$12&gt;=6, $H$12&lt;&gt;"Please Select")</formula>
    </cfRule>
  </conditionalFormatting>
  <conditionalFormatting sqref="BR53:BW54">
    <cfRule type="expression" dxfId="2464" priority="40">
      <formula>$BR$53&lt;&gt;""</formula>
    </cfRule>
  </conditionalFormatting>
  <conditionalFormatting sqref="BR126:BW126 BR129:BW129">
    <cfRule type="expression" dxfId="2463" priority="2837">
      <formula>AND($H$64&gt;=6, $H$64&lt;&gt;"Please Select")</formula>
    </cfRule>
  </conditionalFormatting>
  <conditionalFormatting sqref="BR127:BW128">
    <cfRule type="expression" dxfId="2462" priority="11">
      <formula>$BR$127&lt;&gt;""</formula>
    </cfRule>
  </conditionalFormatting>
  <conditionalFormatting sqref="BR161:BW164">
    <cfRule type="expression" dxfId="2461" priority="90">
      <formula>$BR$161&lt;&gt;""</formula>
    </cfRule>
  </conditionalFormatting>
  <conditionalFormatting sqref="BS30">
    <cfRule type="expression" dxfId="2460" priority="12275">
      <formula>AND($H$12&gt;=6, $H$12&lt;&gt;"Please Select")</formula>
    </cfRule>
  </conditionalFormatting>
  <conditionalFormatting sqref="BS34">
    <cfRule type="expression" dxfId="2459" priority="12272">
      <formula>AND($H$12&gt;=6, $H$12&lt;&gt;"Please Select")</formula>
    </cfRule>
    <cfRule type="expression" dxfId="2458" priority="180">
      <formula>$BS$34="Pending"</formula>
    </cfRule>
  </conditionalFormatting>
  <conditionalFormatting sqref="BS35">
    <cfRule type="expression" dxfId="2457" priority="12252">
      <formula>BS$34&lt;&gt;""</formula>
    </cfRule>
  </conditionalFormatting>
  <conditionalFormatting sqref="BS87">
    <cfRule type="expression" dxfId="2456" priority="2840">
      <formula>AND($H$64&gt;=6, $H$64&lt;&gt;"Please Select")</formula>
    </cfRule>
  </conditionalFormatting>
  <conditionalFormatting sqref="BS150">
    <cfRule type="expression" dxfId="2455" priority="497">
      <formula>$BO$145&lt;&gt;""</formula>
    </cfRule>
  </conditionalFormatting>
  <conditionalFormatting sqref="BS154">
    <cfRule type="expression" dxfId="2454" priority="494">
      <formula>$BO$145&lt;&gt;""</formula>
    </cfRule>
    <cfRule type="expression" dxfId="2453" priority="113">
      <formula>$BS$154="Pending"</formula>
    </cfRule>
  </conditionalFormatting>
  <conditionalFormatting sqref="BS155">
    <cfRule type="expression" dxfId="2452" priority="493">
      <formula>$BS$154&lt;&gt;""</formula>
    </cfRule>
  </conditionalFormatting>
  <conditionalFormatting sqref="BT97:BU97">
    <cfRule type="expression" dxfId="2451" priority="2044">
      <formula>BT$97&lt;&gt;""</formula>
    </cfRule>
  </conditionalFormatting>
  <conditionalFormatting sqref="BT98:BU98">
    <cfRule type="expression" dxfId="2450" priority="2042">
      <formula>BR$98="Pending"</formula>
    </cfRule>
  </conditionalFormatting>
  <conditionalFormatting sqref="BT99:BU99">
    <cfRule type="expression" dxfId="2449" priority="2040">
      <formula>BR$99="Pending"</formula>
    </cfRule>
  </conditionalFormatting>
  <conditionalFormatting sqref="BT100:BU100">
    <cfRule type="expression" dxfId="2448" priority="2038">
      <formula>BR$100="Pending"</formula>
    </cfRule>
  </conditionalFormatting>
  <conditionalFormatting sqref="BT101:BU101">
    <cfRule type="expression" dxfId="2447" priority="2036">
      <formula>BR$101="Pending"</formula>
    </cfRule>
  </conditionalFormatting>
  <conditionalFormatting sqref="BT102:BU102">
    <cfRule type="expression" dxfId="2446" priority="2034">
      <formula>BR$102="Pending"</formula>
    </cfRule>
  </conditionalFormatting>
  <conditionalFormatting sqref="BT103:BU103">
    <cfRule type="expression" dxfId="2445" priority="2032">
      <formula>BR$103="Pending"</formula>
    </cfRule>
  </conditionalFormatting>
  <conditionalFormatting sqref="BT104:BU104">
    <cfRule type="expression" dxfId="2444" priority="2030">
      <formula>BR$104="Pending"</formula>
    </cfRule>
  </conditionalFormatting>
  <conditionalFormatting sqref="BT105:BU105">
    <cfRule type="expression" dxfId="2443" priority="2028">
      <formula>BR$105="Pending"</formula>
    </cfRule>
  </conditionalFormatting>
  <conditionalFormatting sqref="BT106:BU106">
    <cfRule type="expression" dxfId="2442" priority="2026">
      <formula>BR$106="Pending"</formula>
    </cfRule>
  </conditionalFormatting>
  <conditionalFormatting sqref="BT107:BU107">
    <cfRule type="expression" dxfId="2441" priority="2024">
      <formula>BR$107="Pending"</formula>
    </cfRule>
  </conditionalFormatting>
  <conditionalFormatting sqref="BT108:BU108">
    <cfRule type="expression" dxfId="2440" priority="2022">
      <formula>BR$108="Pending"</formula>
    </cfRule>
  </conditionalFormatting>
  <conditionalFormatting sqref="BT109:BU109">
    <cfRule type="expression" dxfId="2439" priority="2020">
      <formula>BR$109="Pending"</formula>
    </cfRule>
  </conditionalFormatting>
  <conditionalFormatting sqref="BT110:BU110">
    <cfRule type="expression" dxfId="2438" priority="2018">
      <formula>BR$110="Pending"</formula>
    </cfRule>
  </conditionalFormatting>
  <conditionalFormatting sqref="BT111:BU111">
    <cfRule type="expression" dxfId="2437" priority="2016">
      <formula>BR$111="Pending"</formula>
    </cfRule>
  </conditionalFormatting>
  <conditionalFormatting sqref="BT112:BU112">
    <cfRule type="expression" dxfId="2436" priority="2014">
      <formula>BR$112="Pending"</formula>
    </cfRule>
  </conditionalFormatting>
  <conditionalFormatting sqref="BT113:BU113">
    <cfRule type="expression" dxfId="2435" priority="2012">
      <formula>BR$113="Pending"</formula>
    </cfRule>
  </conditionalFormatting>
  <conditionalFormatting sqref="BT114:BU114">
    <cfRule type="expression" dxfId="2434" priority="2010">
      <formula>BR$114="Pending"</formula>
    </cfRule>
  </conditionalFormatting>
  <conditionalFormatting sqref="BT115:BU115">
    <cfRule type="expression" dxfId="2433" priority="2008">
      <formula>BR$115="Pending"</formula>
    </cfRule>
  </conditionalFormatting>
  <conditionalFormatting sqref="BT116:BU116">
    <cfRule type="expression" dxfId="2432" priority="2006">
      <formula>BR$116="Pending"</formula>
    </cfRule>
  </conditionalFormatting>
  <conditionalFormatting sqref="BT117:BU117">
    <cfRule type="expression" dxfId="2431" priority="2004">
      <formula>BR$117="Pending"</formula>
    </cfRule>
  </conditionalFormatting>
  <conditionalFormatting sqref="BT118:BU118">
    <cfRule type="expression" dxfId="2430" priority="2002">
      <formula>BR$118="Pending"</formula>
    </cfRule>
  </conditionalFormatting>
  <conditionalFormatting sqref="BT119:BU119">
    <cfRule type="expression" dxfId="2429" priority="2000">
      <formula>BR$119="Pending"</formula>
    </cfRule>
  </conditionalFormatting>
  <conditionalFormatting sqref="BT120:BU120">
    <cfRule type="expression" dxfId="2428" priority="1998">
      <formula>BR$120="Pending"</formula>
    </cfRule>
  </conditionalFormatting>
  <conditionalFormatting sqref="BT121:BU121">
    <cfRule type="expression" dxfId="2427" priority="1996">
      <formula>BR$121="Pending"</formula>
    </cfRule>
  </conditionalFormatting>
  <conditionalFormatting sqref="BT122:BU122">
    <cfRule type="expression" dxfId="2426" priority="1994">
      <formula>BR$122="Pending"</formula>
    </cfRule>
  </conditionalFormatting>
  <conditionalFormatting sqref="BV27:BY28">
    <cfRule type="expression" dxfId="2425" priority="5603">
      <formula>BV$27&lt;&gt;""</formula>
    </cfRule>
  </conditionalFormatting>
  <conditionalFormatting sqref="BV84:BY85">
    <cfRule type="expression" dxfId="2424" priority="2844">
      <formula>BV$84&lt;&gt;""</formula>
    </cfRule>
  </conditionalFormatting>
  <conditionalFormatting sqref="BV147:BY148">
    <cfRule type="expression" dxfId="2423" priority="275">
      <formula>BV$147&lt;&gt;""</formula>
    </cfRule>
  </conditionalFormatting>
  <conditionalFormatting sqref="BX55:CA55">
    <cfRule type="expression" dxfId="2422" priority="613">
      <formula>BX55&lt;&gt;""</formula>
    </cfRule>
  </conditionalFormatting>
  <conditionalFormatting sqref="BX129:CA129">
    <cfRule type="expression" dxfId="2421" priority="600">
      <formula>BX129&lt;&gt;""</formula>
    </cfRule>
  </conditionalFormatting>
  <conditionalFormatting sqref="BX164:CA164">
    <cfRule type="expression" dxfId="2420" priority="71">
      <formula>BX164&lt;&gt;""</formula>
    </cfRule>
  </conditionalFormatting>
  <conditionalFormatting sqref="CB41">
    <cfRule type="expression" dxfId="2419" priority="11995">
      <formula>AND($H$12&gt;=7, $H$12&lt;&gt;"Please Select")</formula>
    </cfRule>
  </conditionalFormatting>
  <conditionalFormatting sqref="CB44:CB48">
    <cfRule type="expression" dxfId="2418" priority="5493">
      <formula>AND($H$12&gt;=7, $H$12&lt;&gt;"Please Select")</formula>
    </cfRule>
  </conditionalFormatting>
  <conditionalFormatting sqref="CB96">
    <cfRule type="expression" dxfId="2417" priority="1990">
      <formula>AND($H$64&gt;=7, $H$64&lt;&gt;"Please Select")</formula>
    </cfRule>
  </conditionalFormatting>
  <conditionalFormatting sqref="CB98:CD122">
    <cfRule type="expression" dxfId="2416" priority="1992">
      <formula>AND($H$64&gt;=7, $H$64&lt;&gt;"Please Select")</formula>
    </cfRule>
  </conditionalFormatting>
  <conditionalFormatting sqref="CB43:CE43">
    <cfRule type="expression" dxfId="2415" priority="5494">
      <formula>AND($H$12&gt;=7, $H$12&lt;&gt;"Please Select")</formula>
    </cfRule>
  </conditionalFormatting>
  <conditionalFormatting sqref="CB39:CF40">
    <cfRule type="expression" dxfId="2414" priority="5496">
      <formula>AND($H$12&gt;=7, $H$12&lt;&gt;"Please Select")</formula>
    </cfRule>
  </conditionalFormatting>
  <conditionalFormatting sqref="CB97:CF97">
    <cfRule type="expression" dxfId="2413" priority="1993">
      <formula>AND($H$64&gt;=7, $H$64&lt;&gt;"Please Select")</formula>
    </cfRule>
  </conditionalFormatting>
  <conditionalFormatting sqref="CB25:CH25">
    <cfRule type="expression" dxfId="2412" priority="12008">
      <formula>AND($H$12&gt;=7, $H$12&lt;&gt;"Please Select")</formula>
    </cfRule>
  </conditionalFormatting>
  <conditionalFormatting sqref="CB82:CH82">
    <cfRule type="expression" dxfId="2411" priority="2823">
      <formula>AND($H$64&gt;=7, $H$64&lt;&gt;"Please Select")</formula>
    </cfRule>
  </conditionalFormatting>
  <conditionalFormatting sqref="CB145:CH145">
    <cfRule type="expression" dxfId="2410" priority="492">
      <formula>$CB$145&lt;&gt;""</formula>
    </cfRule>
  </conditionalFormatting>
  <conditionalFormatting sqref="CB51:CJ51">
    <cfRule type="expression" dxfId="2409" priority="11981">
      <formula>AND($H$12&gt;=7, $H$12&lt;&gt;"Please Select")</formula>
    </cfRule>
  </conditionalFormatting>
  <conditionalFormatting sqref="CB125:CJ125">
    <cfRule type="expression" dxfId="2408" priority="2818">
      <formula>AND($H$64&gt;=7, $H$64&lt;&gt;"Please Select")</formula>
    </cfRule>
  </conditionalFormatting>
  <conditionalFormatting sqref="CB160:CJ160">
    <cfRule type="expression" dxfId="2407" priority="88">
      <formula>$CB$160&lt;&gt;""</formula>
    </cfRule>
  </conditionalFormatting>
  <conditionalFormatting sqref="CC30:CD30">
    <cfRule type="expression" dxfId="2406" priority="12004">
      <formula>AND($H$12&gt;=7, $H$12&lt;&gt;"Please Select")</formula>
    </cfRule>
  </conditionalFormatting>
  <conditionalFormatting sqref="CC87:CD87">
    <cfRule type="expression" dxfId="2405" priority="2821">
      <formula>AND($H$64&gt;=7, $H$64&lt;&gt;"Please Select")</formula>
    </cfRule>
  </conditionalFormatting>
  <conditionalFormatting sqref="CC150:CD150">
    <cfRule type="expression" dxfId="2404" priority="491">
      <formula>$CB$145&lt;&gt;""</formula>
    </cfRule>
  </conditionalFormatting>
  <conditionalFormatting sqref="CC44:CE48">
    <cfRule type="expression" dxfId="2403" priority="11988">
      <formula>AND($H$12&gt;=7, $H$12&lt;&gt;"Please Select")</formula>
    </cfRule>
  </conditionalFormatting>
  <conditionalFormatting sqref="CC27:CF29">
    <cfRule type="expression" dxfId="2402" priority="5497">
      <formula>AND($H$12&gt;=7, $H$12&lt;&gt;"Please Select")</formula>
    </cfRule>
  </conditionalFormatting>
  <conditionalFormatting sqref="CC41:CF41">
    <cfRule type="expression" dxfId="2401" priority="5495">
      <formula>AND($H$12&gt;=7, $H$12&lt;&gt;"Please Select")</formula>
    </cfRule>
  </conditionalFormatting>
  <conditionalFormatting sqref="CC84:CF86">
    <cfRule type="expression" dxfId="2400" priority="2822">
      <formula>AND($H$64&gt;=7, $H$64&lt;&gt;"Please Select")</formula>
    </cfRule>
  </conditionalFormatting>
  <conditionalFormatting sqref="CC147:CF149">
    <cfRule type="expression" dxfId="2399" priority="243">
      <formula>$CB$145&lt;&gt;""</formula>
    </cfRule>
  </conditionalFormatting>
  <conditionalFormatting sqref="CD31">
    <cfRule type="expression" dxfId="2398" priority="12002">
      <formula>AND($H$12&gt;=7, $H$12&lt;&gt;"Please Select")</formula>
    </cfRule>
  </conditionalFormatting>
  <conditionalFormatting sqref="CD88">
    <cfRule type="expression" dxfId="2397" priority="2819">
      <formula>AND($H$64&gt;=7, $H$64&lt;&gt;"Please Select")</formula>
    </cfRule>
  </conditionalFormatting>
  <conditionalFormatting sqref="CD151">
    <cfRule type="expression" dxfId="2396" priority="489">
      <formula>$CB$145&lt;&gt;""</formula>
    </cfRule>
  </conditionalFormatting>
  <conditionalFormatting sqref="CD91:CE91">
    <cfRule type="expression" dxfId="2395" priority="165">
      <formula>$CD$91="No"</formula>
    </cfRule>
    <cfRule type="expression" dxfId="2394" priority="166">
      <formula>AND($H$64&gt;=7, $H$64&lt;&gt;"Please Select")</formula>
    </cfRule>
  </conditionalFormatting>
  <conditionalFormatting sqref="CD92:CE92">
    <cfRule type="expression" dxfId="2393" priority="2809">
      <formula>AND($H$64&gt;=7, $H$64&lt;&gt;"Please Select")</formula>
    </cfRule>
  </conditionalFormatting>
  <conditionalFormatting sqref="CD95:CE95">
    <cfRule type="expression" dxfId="2392" priority="662">
      <formula>AND($H$64&gt;=7, $H$64&lt;&gt;"Please Select")</formula>
    </cfRule>
  </conditionalFormatting>
  <conditionalFormatting sqref="CD157:CE157">
    <cfRule type="expression" dxfId="2391" priority="231">
      <formula>$CB$145&lt;&gt;""</formula>
    </cfRule>
  </conditionalFormatting>
  <conditionalFormatting sqref="CD33:CF33">
    <cfRule type="expression" dxfId="2390" priority="12001">
      <formula>AND($H$12&gt;=7, $H$12&lt;&gt;"Please Select")</formula>
    </cfRule>
  </conditionalFormatting>
  <conditionalFormatting sqref="CD153:CF153">
    <cfRule type="expression" dxfId="2389" priority="488">
      <formula>$CB$145&lt;&gt;""</formula>
    </cfRule>
  </conditionalFormatting>
  <conditionalFormatting sqref="CE98">
    <cfRule type="expression" dxfId="2388" priority="1988">
      <formula>CE$98="Pending"</formula>
    </cfRule>
  </conditionalFormatting>
  <conditionalFormatting sqref="CE98:CF122">
    <cfRule type="expression" dxfId="2387" priority="1991">
      <formula>AND($H$64&gt;=7, $H$64&lt;&gt;"Please Select")</formula>
    </cfRule>
  </conditionalFormatting>
  <conditionalFormatting sqref="CE99:CF99">
    <cfRule type="expression" dxfId="2386" priority="1986">
      <formula>CE$99="Pending"</formula>
    </cfRule>
  </conditionalFormatting>
  <conditionalFormatting sqref="CE100:CF100">
    <cfRule type="expression" dxfId="2385" priority="1984">
      <formula>CE$100="Pending"</formula>
    </cfRule>
  </conditionalFormatting>
  <conditionalFormatting sqref="CE101:CF101">
    <cfRule type="expression" dxfId="2384" priority="1982">
      <formula>CE$101="Pending"</formula>
    </cfRule>
  </conditionalFormatting>
  <conditionalFormatting sqref="CE102:CF102">
    <cfRule type="expression" dxfId="2383" priority="1980">
      <formula>CE$102="Pending"</formula>
    </cfRule>
  </conditionalFormatting>
  <conditionalFormatting sqref="CE103:CF103">
    <cfRule type="expression" dxfId="2382" priority="1978">
      <formula>CE$103="Pending"</formula>
    </cfRule>
  </conditionalFormatting>
  <conditionalFormatting sqref="CE104:CF104">
    <cfRule type="expression" dxfId="2381" priority="1976">
      <formula>CE$104="Pending"</formula>
    </cfRule>
  </conditionalFormatting>
  <conditionalFormatting sqref="CE105:CF105">
    <cfRule type="expression" dxfId="2380" priority="1974">
      <formula>CE$105="Pending"</formula>
    </cfRule>
  </conditionalFormatting>
  <conditionalFormatting sqref="CE106:CF106">
    <cfRule type="expression" dxfId="2379" priority="1972">
      <formula>CE$106="Pending"</formula>
    </cfRule>
  </conditionalFormatting>
  <conditionalFormatting sqref="CE107:CF107">
    <cfRule type="expression" dxfId="2378" priority="1970">
      <formula>CE$107="Pending"</formula>
    </cfRule>
  </conditionalFormatting>
  <conditionalFormatting sqref="CE108:CF108">
    <cfRule type="expression" dxfId="2377" priority="1968">
      <formula>CE$108="Pending"</formula>
    </cfRule>
  </conditionalFormatting>
  <conditionalFormatting sqref="CE109:CF109">
    <cfRule type="expression" dxfId="2376" priority="1966">
      <formula>CE$109="Pending"</formula>
    </cfRule>
  </conditionalFormatting>
  <conditionalFormatting sqref="CE110:CF110">
    <cfRule type="expression" dxfId="2375" priority="1964">
      <formula>CE$110="Pending"</formula>
    </cfRule>
  </conditionalFormatting>
  <conditionalFormatting sqref="CE111:CF111">
    <cfRule type="expression" dxfId="2374" priority="1962">
      <formula>CE$111="Pending"</formula>
    </cfRule>
  </conditionalFormatting>
  <conditionalFormatting sqref="CE112:CF112">
    <cfRule type="expression" dxfId="2373" priority="1960">
      <formula>CE$112="Pending"</formula>
    </cfRule>
  </conditionalFormatting>
  <conditionalFormatting sqref="CE113:CF113">
    <cfRule type="expression" dxfId="2372" priority="1958">
      <formula>CE$113="Pending"</formula>
    </cfRule>
  </conditionalFormatting>
  <conditionalFormatting sqref="CE114:CF114">
    <cfRule type="expression" dxfId="2371" priority="1956">
      <formula>CE$114="Pending"</formula>
    </cfRule>
  </conditionalFormatting>
  <conditionalFormatting sqref="CE115:CF115">
    <cfRule type="expression" dxfId="2370" priority="1954">
      <formula>CE$115="Pending"</formula>
    </cfRule>
  </conditionalFormatting>
  <conditionalFormatting sqref="CE116:CF116">
    <cfRule type="expression" dxfId="2369" priority="1952">
      <formula>CE$116="Pending"</formula>
    </cfRule>
  </conditionalFormatting>
  <conditionalFormatting sqref="CE117:CF117">
    <cfRule type="expression" dxfId="2368" priority="1950">
      <formula>CE$117="Pending"</formula>
    </cfRule>
  </conditionalFormatting>
  <conditionalFormatting sqref="CE118:CF118">
    <cfRule type="expression" dxfId="2367" priority="1948">
      <formula>CE$118="Pending"</formula>
    </cfRule>
  </conditionalFormatting>
  <conditionalFormatting sqref="CE119:CF119">
    <cfRule type="expression" dxfId="2366" priority="1946">
      <formula>CE$119="Pending"</formula>
    </cfRule>
  </conditionalFormatting>
  <conditionalFormatting sqref="CE120:CF120">
    <cfRule type="expression" dxfId="2365" priority="1944">
      <formula>CE$120="Pending"</formula>
    </cfRule>
  </conditionalFormatting>
  <conditionalFormatting sqref="CE121:CF121">
    <cfRule type="expression" dxfId="2364" priority="1942">
      <formula>CE$121="Pending"</formula>
    </cfRule>
  </conditionalFormatting>
  <conditionalFormatting sqref="CE122:CF122">
    <cfRule type="expression" dxfId="2363" priority="1940">
      <formula>CE$122="Pending"</formula>
    </cfRule>
  </conditionalFormatting>
  <conditionalFormatting sqref="CE52:CJ52 CE55:CJ55">
    <cfRule type="expression" dxfId="2362" priority="11955">
      <formula>AND($H$12&gt;=7, $H$12&lt;&gt;"Please Select")</formula>
    </cfRule>
  </conditionalFormatting>
  <conditionalFormatting sqref="CE53:CJ54">
    <cfRule type="expression" dxfId="2361" priority="41">
      <formula>$CE$53&lt;&gt;""</formula>
    </cfRule>
  </conditionalFormatting>
  <conditionalFormatting sqref="CE126:CJ126 CE129:CJ129">
    <cfRule type="expression" dxfId="2360" priority="2817">
      <formula>AND($H$64&gt;=7, $H$64&lt;&gt;"Please Select")</formula>
    </cfRule>
  </conditionalFormatting>
  <conditionalFormatting sqref="CE127:CJ128">
    <cfRule type="expression" dxfId="2359" priority="12">
      <formula>$CE$127&lt;&gt;""</formula>
    </cfRule>
  </conditionalFormatting>
  <conditionalFormatting sqref="CE161:CJ164">
    <cfRule type="expression" dxfId="2358" priority="87">
      <formula>$CE$161&lt;&gt;""</formula>
    </cfRule>
  </conditionalFormatting>
  <conditionalFormatting sqref="CF30">
    <cfRule type="expression" dxfId="2357" priority="12003">
      <formula>AND($H$12&gt;=7, $H$12&lt;&gt;"Please Select")</formula>
    </cfRule>
  </conditionalFormatting>
  <conditionalFormatting sqref="CF34">
    <cfRule type="expression" dxfId="2356" priority="181">
      <formula>$CF$34="Pending"</formula>
    </cfRule>
    <cfRule type="expression" dxfId="2355" priority="12000">
      <formula>AND($H$12&gt;=7, $H$12&lt;&gt;"Please Select")</formula>
    </cfRule>
  </conditionalFormatting>
  <conditionalFormatting sqref="CF35">
    <cfRule type="expression" dxfId="2354" priority="11980">
      <formula>CF$34&lt;&gt;""</formula>
    </cfRule>
  </conditionalFormatting>
  <conditionalFormatting sqref="CF87">
    <cfRule type="expression" dxfId="2353" priority="2820">
      <formula>AND($H$64&gt;=7, $H$64&lt;&gt;"Please Select")</formula>
    </cfRule>
  </conditionalFormatting>
  <conditionalFormatting sqref="CF150">
    <cfRule type="expression" dxfId="2352" priority="490">
      <formula>$CB$145&lt;&gt;""</formula>
    </cfRule>
  </conditionalFormatting>
  <conditionalFormatting sqref="CF154">
    <cfRule type="expression" dxfId="2351" priority="112">
      <formula>$CF$154="Pending"</formula>
    </cfRule>
    <cfRule type="expression" dxfId="2350" priority="487">
      <formula>$CB$145&lt;&gt;""</formula>
    </cfRule>
  </conditionalFormatting>
  <conditionalFormatting sqref="CF155">
    <cfRule type="expression" dxfId="2349" priority="486">
      <formula>$CF$154&lt;&gt;""</formula>
    </cfRule>
  </conditionalFormatting>
  <conditionalFormatting sqref="CG97:CH97">
    <cfRule type="expression" dxfId="2348" priority="1989">
      <formula>CG$97&lt;&gt;""</formula>
    </cfRule>
  </conditionalFormatting>
  <conditionalFormatting sqref="CG98:CH98">
    <cfRule type="expression" dxfId="2347" priority="1987">
      <formula>CE$98="Pending"</formula>
    </cfRule>
  </conditionalFormatting>
  <conditionalFormatting sqref="CG99:CH99">
    <cfRule type="expression" dxfId="2346" priority="1985">
      <formula>CE$99="Pending"</formula>
    </cfRule>
  </conditionalFormatting>
  <conditionalFormatting sqref="CG100:CH100">
    <cfRule type="expression" dxfId="2345" priority="1983">
      <formula>CE$100="Pending"</formula>
    </cfRule>
  </conditionalFormatting>
  <conditionalFormatting sqref="CG101:CH101">
    <cfRule type="expression" dxfId="2344" priority="1981">
      <formula>CE$101="Pending"</formula>
    </cfRule>
  </conditionalFormatting>
  <conditionalFormatting sqref="CG102:CH102">
    <cfRule type="expression" dxfId="2343" priority="1979">
      <formula>CE$102="Pending"</formula>
    </cfRule>
  </conditionalFormatting>
  <conditionalFormatting sqref="CG103:CH103">
    <cfRule type="expression" dxfId="2342" priority="1977">
      <formula>CE$103="Pending"</formula>
    </cfRule>
  </conditionalFormatting>
  <conditionalFormatting sqref="CG104:CH104">
    <cfRule type="expression" dxfId="2341" priority="1975">
      <formula>CE$104="Pending"</formula>
    </cfRule>
  </conditionalFormatting>
  <conditionalFormatting sqref="CG105:CH105">
    <cfRule type="expression" dxfId="2340" priority="1973">
      <formula>CE$105="Pending"</formula>
    </cfRule>
  </conditionalFormatting>
  <conditionalFormatting sqref="CG106:CH106">
    <cfRule type="expression" dxfId="2339" priority="1971">
      <formula>CE$106="Pending"</formula>
    </cfRule>
  </conditionalFormatting>
  <conditionalFormatting sqref="CG107:CH107">
    <cfRule type="expression" dxfId="2338" priority="1969">
      <formula>CE$107="Pending"</formula>
    </cfRule>
  </conditionalFormatting>
  <conditionalFormatting sqref="CG108:CH108">
    <cfRule type="expression" dxfId="2337" priority="1967">
      <formula>CE$108="Pending"</formula>
    </cfRule>
  </conditionalFormatting>
  <conditionalFormatting sqref="CG109:CH109">
    <cfRule type="expression" dxfId="2336" priority="1965">
      <formula>CE$109="Pending"</formula>
    </cfRule>
  </conditionalFormatting>
  <conditionalFormatting sqref="CG110:CH110">
    <cfRule type="expression" dxfId="2335" priority="1963">
      <formula>CE$110="Pending"</formula>
    </cfRule>
  </conditionalFormatting>
  <conditionalFormatting sqref="CG111:CH111">
    <cfRule type="expression" dxfId="2334" priority="1961">
      <formula>CE$111="Pending"</formula>
    </cfRule>
  </conditionalFormatting>
  <conditionalFormatting sqref="CG112:CH112">
    <cfRule type="expression" dxfId="2333" priority="1959">
      <formula>CE$112="Pending"</formula>
    </cfRule>
  </conditionalFormatting>
  <conditionalFormatting sqref="CG113:CH113">
    <cfRule type="expression" dxfId="2332" priority="1957">
      <formula>CE$113="Pending"</formula>
    </cfRule>
  </conditionalFormatting>
  <conditionalFormatting sqref="CG114:CH114">
    <cfRule type="expression" dxfId="2331" priority="1955">
      <formula>CE$114="Pending"</formula>
    </cfRule>
  </conditionalFormatting>
  <conditionalFormatting sqref="CG115:CH115">
    <cfRule type="expression" dxfId="2330" priority="1953">
      <formula>CE$115="Pending"</formula>
    </cfRule>
  </conditionalFormatting>
  <conditionalFormatting sqref="CG116:CH116">
    <cfRule type="expression" dxfId="2329" priority="1951">
      <formula>CE$116="Pending"</formula>
    </cfRule>
  </conditionalFormatting>
  <conditionalFormatting sqref="CG117:CH117">
    <cfRule type="expression" dxfId="2328" priority="1949">
      <formula>CE$117="Pending"</formula>
    </cfRule>
  </conditionalFormatting>
  <conditionalFormatting sqref="CG118:CH118">
    <cfRule type="expression" dxfId="2327" priority="1947">
      <formula>CE$118="Pending"</formula>
    </cfRule>
  </conditionalFormatting>
  <conditionalFormatting sqref="CG119:CH119">
    <cfRule type="expression" dxfId="2326" priority="1945">
      <formula>CE$119="Pending"</formula>
    </cfRule>
  </conditionalFormatting>
  <conditionalFormatting sqref="CG120:CH120">
    <cfRule type="expression" dxfId="2325" priority="1943">
      <formula>CE$120="Pending"</formula>
    </cfRule>
  </conditionalFormatting>
  <conditionalFormatting sqref="CG121:CH121">
    <cfRule type="expression" dxfId="2324" priority="1941">
      <formula>CE$121="Pending"</formula>
    </cfRule>
  </conditionalFormatting>
  <conditionalFormatting sqref="CG122:CH122">
    <cfRule type="expression" dxfId="2323" priority="1939">
      <formula>CE$122="Pending"</formula>
    </cfRule>
  </conditionalFormatting>
  <conditionalFormatting sqref="CI27:CL28">
    <cfRule type="expression" dxfId="2322" priority="5602">
      <formula>CI$27&lt;&gt;""</formula>
    </cfRule>
  </conditionalFormatting>
  <conditionalFormatting sqref="CI84:CL85">
    <cfRule type="expression" dxfId="2321" priority="2824">
      <formula>CI$84&lt;&gt;""</formula>
    </cfRule>
  </conditionalFormatting>
  <conditionalFormatting sqref="CI147:CL148">
    <cfRule type="expression" dxfId="2320" priority="274">
      <formula>CI$147&lt;&gt;""</formula>
    </cfRule>
  </conditionalFormatting>
  <conditionalFormatting sqref="CK55:CN55">
    <cfRule type="expression" dxfId="2319" priority="614">
      <formula>CK55&lt;&gt;""</formula>
    </cfRule>
  </conditionalFormatting>
  <conditionalFormatting sqref="CK129:CN129">
    <cfRule type="expression" dxfId="2318" priority="599">
      <formula>CK129&lt;&gt;""</formula>
    </cfRule>
  </conditionalFormatting>
  <conditionalFormatting sqref="CK164:CN164">
    <cfRule type="expression" dxfId="2317" priority="70">
      <formula>CK164&lt;&gt;""</formula>
    </cfRule>
  </conditionalFormatting>
  <conditionalFormatting sqref="CO41">
    <cfRule type="expression" dxfId="2316" priority="11722">
      <formula>AND($H$12&gt;=8, $H$12&lt;&gt;"Please Select")</formula>
    </cfRule>
  </conditionalFormatting>
  <conditionalFormatting sqref="CO44:CO48">
    <cfRule type="expression" dxfId="2315" priority="5498">
      <formula>AND($H$12&gt;=8, $H$12&lt;&gt;"Please Select")</formula>
    </cfRule>
  </conditionalFormatting>
  <conditionalFormatting sqref="CO96">
    <cfRule type="expression" dxfId="2314" priority="1935">
      <formula>AND($H$64&gt;=8, $H$64&lt;&gt;"Please Select")</formula>
    </cfRule>
  </conditionalFormatting>
  <conditionalFormatting sqref="CO98:CQ122">
    <cfRule type="expression" dxfId="2313" priority="1937">
      <formula>AND($H$64&gt;=8, $H$64&lt;&gt;"Please Select")</formula>
    </cfRule>
  </conditionalFormatting>
  <conditionalFormatting sqref="CO43:CR43">
    <cfRule type="expression" dxfId="2312" priority="5499">
      <formula>AND($H$12&gt;=8, $H$12&lt;&gt;"Please Select")</formula>
    </cfRule>
  </conditionalFormatting>
  <conditionalFormatting sqref="CO39:CS40">
    <cfRule type="expression" dxfId="2311" priority="5501">
      <formula>AND($H$12&gt;=8, $H$12&lt;&gt;"Please Select")</formula>
    </cfRule>
  </conditionalFormatting>
  <conditionalFormatting sqref="CO97:CS97">
    <cfRule type="expression" dxfId="2310" priority="1938">
      <formula>AND($H$64&gt;=8, $H$64&lt;&gt;"Please Select")</formula>
    </cfRule>
  </conditionalFormatting>
  <conditionalFormatting sqref="CO25:CU25">
    <cfRule type="expression" dxfId="2309" priority="11735">
      <formula>AND($H$12&gt;=8, $H$12&lt;&gt;"Please Select")</formula>
    </cfRule>
  </conditionalFormatting>
  <conditionalFormatting sqref="CO82:CU82">
    <cfRule type="expression" dxfId="2308" priority="2803">
      <formula>AND($H$64&gt;=8, $H$64&lt;&gt;"Please Select")</formula>
    </cfRule>
  </conditionalFormatting>
  <conditionalFormatting sqref="CO145:CU145">
    <cfRule type="expression" dxfId="2307" priority="485">
      <formula>AND($H$141&gt;=8, $H$141&lt;&gt;"Please Select")</formula>
    </cfRule>
  </conditionalFormatting>
  <conditionalFormatting sqref="CO51:CW51">
    <cfRule type="expression" dxfId="2306" priority="11708">
      <formula>AND($H$12&gt;=8, $H$12&lt;&gt;"Please Select")</formula>
    </cfRule>
  </conditionalFormatting>
  <conditionalFormatting sqref="CO125:CW125">
    <cfRule type="expression" dxfId="2305" priority="2798">
      <formula>AND($H$64&gt;=8, $H$64&lt;&gt;"Please Select")</formula>
    </cfRule>
  </conditionalFormatting>
  <conditionalFormatting sqref="CO160:CW160">
    <cfRule type="expression" dxfId="2304" priority="85">
      <formula>$CO$160&lt;&gt;""</formula>
    </cfRule>
  </conditionalFormatting>
  <conditionalFormatting sqref="CP30:CQ30">
    <cfRule type="expression" dxfId="2303" priority="11731">
      <formula>AND($H$12&gt;=8, $H$12&lt;&gt;"Please Select")</formula>
    </cfRule>
  </conditionalFormatting>
  <conditionalFormatting sqref="CP87:CQ87">
    <cfRule type="expression" dxfId="2302" priority="2801">
      <formula>AND($H$64&gt;=8, $H$64&lt;&gt;"Please Select")</formula>
    </cfRule>
  </conditionalFormatting>
  <conditionalFormatting sqref="CP150:CQ150">
    <cfRule type="expression" dxfId="2301" priority="484">
      <formula>AND($H$141&gt;=8, $H$141&lt;&gt;"Please Select")</formula>
    </cfRule>
  </conditionalFormatting>
  <conditionalFormatting sqref="CP44:CR48">
    <cfRule type="expression" dxfId="2300" priority="11715">
      <formula>AND($H$12&gt;=8, $H$12&lt;&gt;"Please Select")</formula>
    </cfRule>
  </conditionalFormatting>
  <conditionalFormatting sqref="CP27:CS29">
    <cfRule type="expression" dxfId="2299" priority="5502">
      <formula>AND($H$12&gt;=8, $H$12&lt;&gt;"Please Select")</formula>
    </cfRule>
  </conditionalFormatting>
  <conditionalFormatting sqref="CP41:CS41">
    <cfRule type="expression" dxfId="2298" priority="5500">
      <formula>AND($H$12&gt;=8, $H$12&lt;&gt;"Please Select")</formula>
    </cfRule>
  </conditionalFormatting>
  <conditionalFormatting sqref="CP84:CS86">
    <cfRule type="expression" dxfId="2297" priority="2802">
      <formula>AND($H$64&gt;=8, $H$64&lt;&gt;"Please Select")</formula>
    </cfRule>
  </conditionalFormatting>
  <conditionalFormatting sqref="CP147:CS149">
    <cfRule type="expression" dxfId="2296" priority="244">
      <formula>AND($H$141&gt;=8, $H$141&lt;&gt;"Please Select")</formula>
    </cfRule>
  </conditionalFormatting>
  <conditionalFormatting sqref="CQ31">
    <cfRule type="expression" dxfId="2295" priority="11729">
      <formula>AND($H$12&gt;=8, $H$12&lt;&gt;"Please Select")</formula>
    </cfRule>
  </conditionalFormatting>
  <conditionalFormatting sqref="CQ88">
    <cfRule type="expression" dxfId="2294" priority="2799">
      <formula>AND($H$64&gt;=8, $H$64&lt;&gt;"Please Select")</formula>
    </cfRule>
  </conditionalFormatting>
  <conditionalFormatting sqref="CQ151">
    <cfRule type="expression" dxfId="2293" priority="482">
      <formula>AND($H$141&gt;=8, $H$141&lt;&gt;"Please Select")</formula>
    </cfRule>
  </conditionalFormatting>
  <conditionalFormatting sqref="CQ91:CR91">
    <cfRule type="expression" dxfId="2292" priority="163">
      <formula>$CQ$91="No"</formula>
    </cfRule>
    <cfRule type="expression" dxfId="2291" priority="164">
      <formula>AND($H$64&gt;=8, $H$64&lt;&gt;"Please Select")</formula>
    </cfRule>
  </conditionalFormatting>
  <conditionalFormatting sqref="CQ92:CR92">
    <cfRule type="expression" dxfId="2290" priority="2789">
      <formula>AND($H$64&gt;=8, $H$64&lt;&gt;"Please Select")</formula>
    </cfRule>
  </conditionalFormatting>
  <conditionalFormatting sqref="CQ95:CR95">
    <cfRule type="expression" dxfId="2289" priority="661">
      <formula>AND($H$64&gt;=8, $H$64&lt;&gt;"Please Select")</formula>
    </cfRule>
  </conditionalFormatting>
  <conditionalFormatting sqref="CQ157:CR157">
    <cfRule type="expression" dxfId="2288" priority="230">
      <formula>$CO$145&lt;&gt;""</formula>
    </cfRule>
  </conditionalFormatting>
  <conditionalFormatting sqref="CQ33:CS33">
    <cfRule type="expression" dxfId="2287" priority="11728">
      <formula>AND($H$12&gt;=8, $H$12&lt;&gt;"Please Select")</formula>
    </cfRule>
  </conditionalFormatting>
  <conditionalFormatting sqref="CQ153:CS153">
    <cfRule type="expression" dxfId="2286" priority="481">
      <formula>AND($H$141&gt;=8, $H$141&lt;&gt;"Please Select")</formula>
    </cfRule>
  </conditionalFormatting>
  <conditionalFormatting sqref="CR98">
    <cfRule type="expression" dxfId="2285" priority="1933">
      <formula>CR$98="Pending"</formula>
    </cfRule>
  </conditionalFormatting>
  <conditionalFormatting sqref="CR98:CS122">
    <cfRule type="expression" dxfId="2284" priority="1936">
      <formula>AND($H$64&gt;=8, $H$64&lt;&gt;"Please Select")</formula>
    </cfRule>
  </conditionalFormatting>
  <conditionalFormatting sqref="CR99:CS99">
    <cfRule type="expression" dxfId="2283" priority="1931">
      <formula>CR$99="Pending"</formula>
    </cfRule>
  </conditionalFormatting>
  <conditionalFormatting sqref="CR100:CS100">
    <cfRule type="expression" dxfId="2282" priority="1929">
      <formula>CR$100="Pending"</formula>
    </cfRule>
  </conditionalFormatting>
  <conditionalFormatting sqref="CR101:CS101">
    <cfRule type="expression" dxfId="2281" priority="1927">
      <formula>CR$101="Pending"</formula>
    </cfRule>
  </conditionalFormatting>
  <conditionalFormatting sqref="CR102:CS102">
    <cfRule type="expression" dxfId="2280" priority="1925">
      <formula>CR$102="Pending"</formula>
    </cfRule>
  </conditionalFormatting>
  <conditionalFormatting sqref="CR103:CS103">
    <cfRule type="expression" dxfId="2279" priority="1923">
      <formula>CR$103="Pending"</formula>
    </cfRule>
  </conditionalFormatting>
  <conditionalFormatting sqref="CR104:CS104">
    <cfRule type="expression" dxfId="2278" priority="1921">
      <formula>CR$104="Pending"</formula>
    </cfRule>
  </conditionalFormatting>
  <conditionalFormatting sqref="CR105:CS105">
    <cfRule type="expression" dxfId="2277" priority="1919">
      <formula>CR$105="Pending"</formula>
    </cfRule>
  </conditionalFormatting>
  <conditionalFormatting sqref="CR106:CS106">
    <cfRule type="expression" dxfId="2276" priority="1917">
      <formula>CR$106="Pending"</formula>
    </cfRule>
  </conditionalFormatting>
  <conditionalFormatting sqref="CR107:CS107">
    <cfRule type="expression" dxfId="2275" priority="1915">
      <formula>CR$107="Pending"</formula>
    </cfRule>
  </conditionalFormatting>
  <conditionalFormatting sqref="CR108:CS108">
    <cfRule type="expression" dxfId="2274" priority="1913">
      <formula>CR$108="Pending"</formula>
    </cfRule>
  </conditionalFormatting>
  <conditionalFormatting sqref="CR109:CS109">
    <cfRule type="expression" dxfId="2273" priority="1911">
      <formula>CR$109="Pending"</formula>
    </cfRule>
  </conditionalFormatting>
  <conditionalFormatting sqref="CR110:CS110">
    <cfRule type="expression" dxfId="2272" priority="1909">
      <formula>CR$110="Pending"</formula>
    </cfRule>
  </conditionalFormatting>
  <conditionalFormatting sqref="CR111:CS111">
    <cfRule type="expression" dxfId="2271" priority="1907">
      <formula>CR$111="Pending"</formula>
    </cfRule>
  </conditionalFormatting>
  <conditionalFormatting sqref="CR112:CS112">
    <cfRule type="expression" dxfId="2270" priority="1905">
      <formula>CR$112="Pending"</formula>
    </cfRule>
  </conditionalFormatting>
  <conditionalFormatting sqref="CR113:CS113">
    <cfRule type="expression" dxfId="2269" priority="1903">
      <formula>CR$113="Pending"</formula>
    </cfRule>
  </conditionalFormatting>
  <conditionalFormatting sqref="CR114:CS114">
    <cfRule type="expression" dxfId="2268" priority="1901">
      <formula>CR$114="Pending"</formula>
    </cfRule>
  </conditionalFormatting>
  <conditionalFormatting sqref="CR115:CS115">
    <cfRule type="expression" dxfId="2267" priority="1899">
      <formula>CR$115="Pending"</formula>
    </cfRule>
  </conditionalFormatting>
  <conditionalFormatting sqref="CR116:CS116">
    <cfRule type="expression" dxfId="2266" priority="1897">
      <formula>CR$116="Pending"</formula>
    </cfRule>
  </conditionalFormatting>
  <conditionalFormatting sqref="CR117:CS117">
    <cfRule type="expression" dxfId="2265" priority="1895">
      <formula>CR$117="Pending"</formula>
    </cfRule>
  </conditionalFormatting>
  <conditionalFormatting sqref="CR118:CS118">
    <cfRule type="expression" dxfId="2264" priority="1893">
      <formula>CR$118="Pending"</formula>
    </cfRule>
  </conditionalFormatting>
  <conditionalFormatting sqref="CR119:CS119">
    <cfRule type="expression" dxfId="2263" priority="1891">
      <formula>CR$119="Pending"</formula>
    </cfRule>
  </conditionalFormatting>
  <conditionalFormatting sqref="CR120:CS120">
    <cfRule type="expression" dxfId="2262" priority="1889">
      <formula>CR$120="Pending"</formula>
    </cfRule>
  </conditionalFormatting>
  <conditionalFormatting sqref="CR121:CS121">
    <cfRule type="expression" dxfId="2261" priority="1887">
      <formula>CR$121="Pending"</formula>
    </cfRule>
  </conditionalFormatting>
  <conditionalFormatting sqref="CR122:CS122">
    <cfRule type="expression" dxfId="2260" priority="1885">
      <formula>CR$122="Pending"</formula>
    </cfRule>
  </conditionalFormatting>
  <conditionalFormatting sqref="CR52:CW52 CR55:CW55">
    <cfRule type="expression" dxfId="2259" priority="11682">
      <formula>AND($H$12&gt;=8, $H$12&lt;&gt;"Please Select")</formula>
    </cfRule>
  </conditionalFormatting>
  <conditionalFormatting sqref="CR53:CW54">
    <cfRule type="expression" dxfId="2258" priority="42">
      <formula>$CR$53&lt;&gt;""</formula>
    </cfRule>
  </conditionalFormatting>
  <conditionalFormatting sqref="CR126:CW126 CR129:CW129">
    <cfRule type="expression" dxfId="2257" priority="2797">
      <formula>AND($H$64&gt;=8, $H$64&lt;&gt;"Please Select")</formula>
    </cfRule>
  </conditionalFormatting>
  <conditionalFormatting sqref="CR127:CW128">
    <cfRule type="expression" dxfId="2256" priority="13">
      <formula>$CR$127&lt;&gt;""</formula>
    </cfRule>
  </conditionalFormatting>
  <conditionalFormatting sqref="CR161:CW164">
    <cfRule type="expression" dxfId="2255" priority="84">
      <formula>$CR$161&lt;&gt;""</formula>
    </cfRule>
  </conditionalFormatting>
  <conditionalFormatting sqref="CS30">
    <cfRule type="expression" dxfId="2254" priority="11730">
      <formula>AND($H$12&gt;=8, $H$12&lt;&gt;"Please Select")</formula>
    </cfRule>
  </conditionalFormatting>
  <conditionalFormatting sqref="CS34">
    <cfRule type="expression" dxfId="2253" priority="182">
      <formula>$CS$34="Pending"</formula>
    </cfRule>
    <cfRule type="expression" dxfId="2252" priority="11727">
      <formula>AND($H$12&gt;=8, $H$12&lt;&gt;"Please Select")</formula>
    </cfRule>
  </conditionalFormatting>
  <conditionalFormatting sqref="CS35">
    <cfRule type="expression" dxfId="2251" priority="11707">
      <formula>CS$34&lt;&gt;""</formula>
    </cfRule>
  </conditionalFormatting>
  <conditionalFormatting sqref="CS87">
    <cfRule type="expression" dxfId="2250" priority="2800">
      <formula>AND($H$64&gt;=8, $H$64&lt;&gt;"Please Select")</formula>
    </cfRule>
  </conditionalFormatting>
  <conditionalFormatting sqref="CS150">
    <cfRule type="expression" dxfId="2249" priority="483">
      <formula>AND($H$141&gt;=8, $H$141&lt;&gt;"Please Select")</formula>
    </cfRule>
  </conditionalFormatting>
  <conditionalFormatting sqref="CS154">
    <cfRule type="expression" dxfId="2248" priority="480">
      <formula>AND($H$141&gt;=8, $H$141&lt;&gt;"Please Select")</formula>
    </cfRule>
    <cfRule type="expression" dxfId="2247" priority="111">
      <formula>$CS$154="Pending"</formula>
    </cfRule>
  </conditionalFormatting>
  <conditionalFormatting sqref="CS155">
    <cfRule type="expression" dxfId="2246" priority="479">
      <formula>$CS$154&lt;&gt;""</formula>
    </cfRule>
  </conditionalFormatting>
  <conditionalFormatting sqref="CT97:CU97">
    <cfRule type="expression" dxfId="2245" priority="1934">
      <formula>CT$97&lt;&gt;""</formula>
    </cfRule>
  </conditionalFormatting>
  <conditionalFormatting sqref="CT98:CU98">
    <cfRule type="expression" dxfId="2244" priority="1932">
      <formula>CR$98="Pending"</formula>
    </cfRule>
  </conditionalFormatting>
  <conditionalFormatting sqref="CT99:CU99">
    <cfRule type="expression" dxfId="2243" priority="1930">
      <formula>CR$99="Pending"</formula>
    </cfRule>
  </conditionalFormatting>
  <conditionalFormatting sqref="CT100:CU100">
    <cfRule type="expression" dxfId="2242" priority="1928">
      <formula>CR$100="Pending"</formula>
    </cfRule>
  </conditionalFormatting>
  <conditionalFormatting sqref="CT101:CU101">
    <cfRule type="expression" dxfId="2241" priority="1926">
      <formula>CR$101="Pending"</formula>
    </cfRule>
  </conditionalFormatting>
  <conditionalFormatting sqref="CT102:CU102">
    <cfRule type="expression" dxfId="2240" priority="1924">
      <formula>CR$102="Pending"</formula>
    </cfRule>
  </conditionalFormatting>
  <conditionalFormatting sqref="CT103:CU103">
    <cfRule type="expression" dxfId="2239" priority="1922">
      <formula>CR$103="Pending"</formula>
    </cfRule>
  </conditionalFormatting>
  <conditionalFormatting sqref="CT104:CU104">
    <cfRule type="expression" dxfId="2238" priority="1920">
      <formula>CR$104="Pending"</formula>
    </cfRule>
  </conditionalFormatting>
  <conditionalFormatting sqref="CT105:CU105">
    <cfRule type="expression" dxfId="2237" priority="1918">
      <formula>CR$105="Pending"</formula>
    </cfRule>
  </conditionalFormatting>
  <conditionalFormatting sqref="CT106:CU106">
    <cfRule type="expression" dxfId="2236" priority="1916">
      <formula>CR$106="Pending"</formula>
    </cfRule>
  </conditionalFormatting>
  <conditionalFormatting sqref="CT107:CU107">
    <cfRule type="expression" dxfId="2235" priority="1914">
      <formula>CR$107="Pending"</formula>
    </cfRule>
  </conditionalFormatting>
  <conditionalFormatting sqref="CT108:CU108">
    <cfRule type="expression" dxfId="2234" priority="1912">
      <formula>CR$108="Pending"</formula>
    </cfRule>
  </conditionalFormatting>
  <conditionalFormatting sqref="CT109:CU109">
    <cfRule type="expression" dxfId="2233" priority="1910">
      <formula>CR$109="Pending"</formula>
    </cfRule>
  </conditionalFormatting>
  <conditionalFormatting sqref="CT110:CU110">
    <cfRule type="expression" dxfId="2232" priority="1908">
      <formula>CR$110="Pending"</formula>
    </cfRule>
  </conditionalFormatting>
  <conditionalFormatting sqref="CT111:CU111">
    <cfRule type="expression" dxfId="2231" priority="1906">
      <formula>CR$111="Pending"</formula>
    </cfRule>
  </conditionalFormatting>
  <conditionalFormatting sqref="CT112:CU112">
    <cfRule type="expression" dxfId="2230" priority="1904">
      <formula>CR$112="Pending"</formula>
    </cfRule>
  </conditionalFormatting>
  <conditionalFormatting sqref="CT113:CU113">
    <cfRule type="expression" dxfId="2229" priority="1902">
      <formula>CR$113="Pending"</formula>
    </cfRule>
  </conditionalFormatting>
  <conditionalFormatting sqref="CT114:CU114">
    <cfRule type="expression" dxfId="2228" priority="1900">
      <formula>CR$114="Pending"</formula>
    </cfRule>
  </conditionalFormatting>
  <conditionalFormatting sqref="CT115:CU115">
    <cfRule type="expression" dxfId="2227" priority="1898">
      <formula>CR$115="Pending"</formula>
    </cfRule>
  </conditionalFormatting>
  <conditionalFormatting sqref="CT116:CU116">
    <cfRule type="expression" dxfId="2226" priority="1896">
      <formula>CR$116="Pending"</formula>
    </cfRule>
  </conditionalFormatting>
  <conditionalFormatting sqref="CT117:CU117">
    <cfRule type="expression" dxfId="2225" priority="1894">
      <formula>CR$117="Pending"</formula>
    </cfRule>
  </conditionalFormatting>
  <conditionalFormatting sqref="CT118:CU118">
    <cfRule type="expression" dxfId="2224" priority="1892">
      <formula>CR$118="Pending"</formula>
    </cfRule>
  </conditionalFormatting>
  <conditionalFormatting sqref="CT119:CU119">
    <cfRule type="expression" dxfId="2223" priority="1890">
      <formula>CR$119="Pending"</formula>
    </cfRule>
  </conditionalFormatting>
  <conditionalFormatting sqref="CT120:CU120">
    <cfRule type="expression" dxfId="2222" priority="1888">
      <formula>CR$120="Pending"</formula>
    </cfRule>
  </conditionalFormatting>
  <conditionalFormatting sqref="CT121:CU121">
    <cfRule type="expression" dxfId="2221" priority="1886">
      <formula>CR$121="Pending"</formula>
    </cfRule>
  </conditionalFormatting>
  <conditionalFormatting sqref="CT122:CU122">
    <cfRule type="expression" dxfId="2220" priority="1884">
      <formula>CR$122="Pending"</formula>
    </cfRule>
  </conditionalFormatting>
  <conditionalFormatting sqref="CV27:CY28">
    <cfRule type="expression" dxfId="2219" priority="5601">
      <formula>$CV$27&lt;&gt;""</formula>
    </cfRule>
  </conditionalFormatting>
  <conditionalFormatting sqref="CV84:CY85">
    <cfRule type="expression" dxfId="2218" priority="2804">
      <formula>CV$84&lt;&gt;""</formula>
    </cfRule>
  </conditionalFormatting>
  <conditionalFormatting sqref="CV147:CY148">
    <cfRule type="expression" dxfId="2217" priority="273">
      <formula>$CV$147&lt;&gt;""</formula>
    </cfRule>
  </conditionalFormatting>
  <conditionalFormatting sqref="CX55:DA55">
    <cfRule type="expression" dxfId="2216" priority="615">
      <formula>CX55&lt;&gt;""</formula>
    </cfRule>
  </conditionalFormatting>
  <conditionalFormatting sqref="CX129:DA129">
    <cfRule type="expression" dxfId="2215" priority="598">
      <formula>CX129&lt;&gt;""</formula>
    </cfRule>
  </conditionalFormatting>
  <conditionalFormatting sqref="CX164:DA164">
    <cfRule type="expression" dxfId="2214" priority="69">
      <formula>CX164&lt;&gt;""</formula>
    </cfRule>
  </conditionalFormatting>
  <conditionalFormatting sqref="DB41">
    <cfRule type="expression" dxfId="2213" priority="11450">
      <formula>AND($H$12&gt;=9, $H$12&lt;&gt;"Please Select")</formula>
    </cfRule>
  </conditionalFormatting>
  <conditionalFormatting sqref="DB44:DB48">
    <cfRule type="expression" dxfId="2212" priority="5503">
      <formula>AND($H$12&gt;=9, $H$12&lt;&gt;"Please Select")</formula>
    </cfRule>
  </conditionalFormatting>
  <conditionalFormatting sqref="DB96">
    <cfRule type="expression" dxfId="2211" priority="1880">
      <formula>AND($H$64&gt;=9, $H$64&lt;&gt;"Please Select")</formula>
    </cfRule>
  </conditionalFormatting>
  <conditionalFormatting sqref="DB98:DD122">
    <cfRule type="expression" dxfId="2210" priority="1882">
      <formula>AND($H$64&gt;=9, $H$64&lt;&gt;"Please Select")</formula>
    </cfRule>
  </conditionalFormatting>
  <conditionalFormatting sqref="DB43:DE43">
    <cfRule type="expression" dxfId="2209" priority="5504">
      <formula>AND($H$12&gt;=9, $H$12&lt;&gt;"Please Select")</formula>
    </cfRule>
  </conditionalFormatting>
  <conditionalFormatting sqref="DB39:DF40">
    <cfRule type="expression" dxfId="2208" priority="5506">
      <formula>AND($H$12&gt;=9, $H$12&lt;&gt;"Please Select")</formula>
    </cfRule>
  </conditionalFormatting>
  <conditionalFormatting sqref="DB97:DF97">
    <cfRule type="expression" dxfId="2207" priority="1883">
      <formula>AND($H$64&gt;=9, $H$64&lt;&gt;"Please Select")</formula>
    </cfRule>
  </conditionalFormatting>
  <conditionalFormatting sqref="DB25:DH25">
    <cfRule type="expression" dxfId="2206" priority="11463">
      <formula>AND($H$12&gt;=9, $H$12&lt;&gt;"Please Select")</formula>
    </cfRule>
  </conditionalFormatting>
  <conditionalFormatting sqref="DB82:DH82">
    <cfRule type="expression" dxfId="2205" priority="2783">
      <formula>AND($H$64&gt;=9, $H$64&lt;&gt;"Please Select")</formula>
    </cfRule>
  </conditionalFormatting>
  <conditionalFormatting sqref="DB145:DH145">
    <cfRule type="expression" dxfId="2204" priority="478">
      <formula>AND($H$141&gt;=9, $H$141&lt;&gt;"Please Select")</formula>
    </cfRule>
  </conditionalFormatting>
  <conditionalFormatting sqref="DB51:DJ51">
    <cfRule type="expression" dxfId="2203" priority="11436">
      <formula>AND($H$12&gt;=9, $H$12&lt;&gt;"Please Select")</formula>
    </cfRule>
  </conditionalFormatting>
  <conditionalFormatting sqref="DB125:DJ125">
    <cfRule type="expression" dxfId="2202" priority="2778">
      <formula>AND($H$64&gt;=9, $H$64&lt;&gt;"Please Select")</formula>
    </cfRule>
  </conditionalFormatting>
  <conditionalFormatting sqref="DB160:DJ160">
    <cfRule type="expression" dxfId="2201" priority="82">
      <formula>$DB$160&lt;&gt;""</formula>
    </cfRule>
  </conditionalFormatting>
  <conditionalFormatting sqref="DC30:DD30">
    <cfRule type="expression" dxfId="2200" priority="11459">
      <formula>AND($H$12&gt;=9, $H$12&lt;&gt;"Please Select")</formula>
    </cfRule>
  </conditionalFormatting>
  <conditionalFormatting sqref="DC87:DD87">
    <cfRule type="expression" dxfId="2199" priority="2781">
      <formula>AND($H$64&gt;=9, $H$64&lt;&gt;"Please Select")</formula>
    </cfRule>
  </conditionalFormatting>
  <conditionalFormatting sqref="DC150:DD150">
    <cfRule type="expression" dxfId="2198" priority="477">
      <formula>AND($H$141&gt;=9, $H$141&lt;&gt;"Please Select")</formula>
    </cfRule>
  </conditionalFormatting>
  <conditionalFormatting sqref="DC44:DE48">
    <cfRule type="expression" dxfId="2197" priority="11443">
      <formula>AND($H$12&gt;=9, $H$12&lt;&gt;"Please Select")</formula>
    </cfRule>
  </conditionalFormatting>
  <conditionalFormatting sqref="DC27:DF29">
    <cfRule type="expression" dxfId="2196" priority="5507">
      <formula>AND($H$12&gt;=9, $H$12&lt;&gt;"Please Select")</formula>
    </cfRule>
  </conditionalFormatting>
  <conditionalFormatting sqref="DC41:DF41">
    <cfRule type="expression" dxfId="2195" priority="5505">
      <formula>AND($H$12&gt;=9, $H$12&lt;&gt;"Please Select")</formula>
    </cfRule>
  </conditionalFormatting>
  <conditionalFormatting sqref="DC84:DF86">
    <cfRule type="expression" dxfId="2194" priority="2782">
      <formula>AND($H$64&gt;=9, $H$64&lt;&gt;"Please Select")</formula>
    </cfRule>
  </conditionalFormatting>
  <conditionalFormatting sqref="DC147:DF149">
    <cfRule type="expression" dxfId="2193" priority="245">
      <formula>AND($H$141&gt;=9, $H$141&lt;&gt;"Please Select")</formula>
    </cfRule>
  </conditionalFormatting>
  <conditionalFormatting sqref="DD31">
    <cfRule type="expression" dxfId="2192" priority="11457">
      <formula>AND($H$12&gt;=9, $H$12&lt;&gt;"Please Select")</formula>
    </cfRule>
  </conditionalFormatting>
  <conditionalFormatting sqref="DD88">
    <cfRule type="expression" dxfId="2191" priority="2779">
      <formula>AND($H$64&gt;=9, $H$64&lt;&gt;"Please Select")</formula>
    </cfRule>
  </conditionalFormatting>
  <conditionalFormatting sqref="DD151">
    <cfRule type="expression" dxfId="2190" priority="475">
      <formula>AND($H$141&gt;=9, $H$141&lt;&gt;"Please Select")</formula>
    </cfRule>
  </conditionalFormatting>
  <conditionalFormatting sqref="DD91:DE91">
    <cfRule type="expression" dxfId="2189" priority="161">
      <formula>$DD$91="No"</formula>
    </cfRule>
    <cfRule type="expression" dxfId="2188" priority="162">
      <formula>AND($H$64&gt;=9, $H$64&lt;&gt;"Please Select")</formula>
    </cfRule>
  </conditionalFormatting>
  <conditionalFormatting sqref="DD92:DE92">
    <cfRule type="expression" dxfId="2187" priority="2769">
      <formula>AND($H$64&gt;=9, $H$64&lt;&gt;"Please Select")</formula>
    </cfRule>
  </conditionalFormatting>
  <conditionalFormatting sqref="DD95:DE95">
    <cfRule type="expression" dxfId="2186" priority="660">
      <formula>AND($H$64&gt;=9, $H$64&lt;&gt;"Please Select")</formula>
    </cfRule>
  </conditionalFormatting>
  <conditionalFormatting sqref="DD157:DE157">
    <cfRule type="expression" dxfId="2185" priority="229">
      <formula>$DB$145&lt;&gt;""</formula>
    </cfRule>
  </conditionalFormatting>
  <conditionalFormatting sqref="DD33:DF33">
    <cfRule type="expression" dxfId="2184" priority="11456">
      <formula>AND($H$12&gt;=9, $H$12&lt;&gt;"Please Select")</formula>
    </cfRule>
  </conditionalFormatting>
  <conditionalFormatting sqref="DD153:DF153">
    <cfRule type="expression" dxfId="2183" priority="474">
      <formula>AND($H$141&gt;=9, $H$141&lt;&gt;"Please Select")</formula>
    </cfRule>
  </conditionalFormatting>
  <conditionalFormatting sqref="DE98">
    <cfRule type="expression" dxfId="2182" priority="1878">
      <formula>DE$98="Pending"</formula>
    </cfRule>
  </conditionalFormatting>
  <conditionalFormatting sqref="DE98:DF122">
    <cfRule type="expression" dxfId="2181" priority="1881">
      <formula>AND($H$64&gt;=9, $H$64&lt;&gt;"Please Select")</formula>
    </cfRule>
  </conditionalFormatting>
  <conditionalFormatting sqref="DE99:DF99">
    <cfRule type="expression" dxfId="2180" priority="1876">
      <formula>DE$99="Pending"</formula>
    </cfRule>
  </conditionalFormatting>
  <conditionalFormatting sqref="DE100:DF100">
    <cfRule type="expression" dxfId="2179" priority="1874">
      <formula>DE$100="Pending"</formula>
    </cfRule>
  </conditionalFormatting>
  <conditionalFormatting sqref="DE101:DF101">
    <cfRule type="expression" dxfId="2178" priority="1872">
      <formula>DE$101="Pending"</formula>
    </cfRule>
  </conditionalFormatting>
  <conditionalFormatting sqref="DE102:DF102">
    <cfRule type="expression" dxfId="2177" priority="1870">
      <formula>DE$102="Pending"</formula>
    </cfRule>
  </conditionalFormatting>
  <conditionalFormatting sqref="DE103:DF103">
    <cfRule type="expression" dxfId="2176" priority="1868">
      <formula>DE$103="Pending"</formula>
    </cfRule>
  </conditionalFormatting>
  <conditionalFormatting sqref="DE104:DF104">
    <cfRule type="expression" dxfId="2175" priority="1866">
      <formula>DE$104="Pending"</formula>
    </cfRule>
  </conditionalFormatting>
  <conditionalFormatting sqref="DE105:DF105">
    <cfRule type="expression" dxfId="2174" priority="1864">
      <formula>DE$105="Pending"</formula>
    </cfRule>
  </conditionalFormatting>
  <conditionalFormatting sqref="DE106:DF106">
    <cfRule type="expression" dxfId="2173" priority="1862">
      <formula>DE$106="Pending"</formula>
    </cfRule>
  </conditionalFormatting>
  <conditionalFormatting sqref="DE107:DF107">
    <cfRule type="expression" dxfId="2172" priority="1860">
      <formula>DE$107="Pending"</formula>
    </cfRule>
  </conditionalFormatting>
  <conditionalFormatting sqref="DE108:DF108">
    <cfRule type="expression" dxfId="2171" priority="1858">
      <formula>DE$108="Pending"</formula>
    </cfRule>
  </conditionalFormatting>
  <conditionalFormatting sqref="DE109:DF109">
    <cfRule type="expression" dxfId="2170" priority="1856">
      <formula>DE$109="Pending"</formula>
    </cfRule>
  </conditionalFormatting>
  <conditionalFormatting sqref="DE110:DF110">
    <cfRule type="expression" dxfId="2169" priority="1854">
      <formula>DE$110="Pending"</formula>
    </cfRule>
  </conditionalFormatting>
  <conditionalFormatting sqref="DE111:DF111">
    <cfRule type="expression" dxfId="2168" priority="1852">
      <formula>DE$111="Pending"</formula>
    </cfRule>
  </conditionalFormatting>
  <conditionalFormatting sqref="DE112:DF112">
    <cfRule type="expression" dxfId="2167" priority="1850">
      <formula>DE$112="Pending"</formula>
    </cfRule>
  </conditionalFormatting>
  <conditionalFormatting sqref="DE113:DF113">
    <cfRule type="expression" dxfId="2166" priority="1848">
      <formula>DE$113="Pending"</formula>
    </cfRule>
  </conditionalFormatting>
  <conditionalFormatting sqref="DE114:DF114">
    <cfRule type="expression" dxfId="2165" priority="1846">
      <formula>DE$114="Pending"</formula>
    </cfRule>
  </conditionalFormatting>
  <conditionalFormatting sqref="DE115:DF115">
    <cfRule type="expression" dxfId="2164" priority="1844">
      <formula>DE$115="Pending"</formula>
    </cfRule>
  </conditionalFormatting>
  <conditionalFormatting sqref="DE116:DF116">
    <cfRule type="expression" dxfId="2163" priority="1842">
      <formula>DE$116="Pending"</formula>
    </cfRule>
  </conditionalFormatting>
  <conditionalFormatting sqref="DE117:DF117">
    <cfRule type="expression" dxfId="2162" priority="1840">
      <formula>DE$117="Pending"</formula>
    </cfRule>
  </conditionalFormatting>
  <conditionalFormatting sqref="DE118:DF118">
    <cfRule type="expression" dxfId="2161" priority="1838">
      <formula>DE$118="Pending"</formula>
    </cfRule>
  </conditionalFormatting>
  <conditionalFormatting sqref="DE119:DF119">
    <cfRule type="expression" dxfId="2160" priority="1836">
      <formula>DE$119="Pending"</formula>
    </cfRule>
  </conditionalFormatting>
  <conditionalFormatting sqref="DE120:DF120">
    <cfRule type="expression" dxfId="2159" priority="1834">
      <formula>DE$120="Pending"</formula>
    </cfRule>
  </conditionalFormatting>
  <conditionalFormatting sqref="DE121:DF121">
    <cfRule type="expression" dxfId="2158" priority="1832">
      <formula>DE$121="Pending"</formula>
    </cfRule>
  </conditionalFormatting>
  <conditionalFormatting sqref="DE122:DF122">
    <cfRule type="expression" dxfId="2157" priority="1830">
      <formula>DE$122="Pending"</formula>
    </cfRule>
  </conditionalFormatting>
  <conditionalFormatting sqref="DE52:DJ52 DE55:DJ55">
    <cfRule type="expression" dxfId="2156" priority="11410">
      <formula>AND($H$12&gt;=9, $H$12&lt;&gt;"Please Select")</formula>
    </cfRule>
  </conditionalFormatting>
  <conditionalFormatting sqref="DE53:DJ54">
    <cfRule type="expression" dxfId="2155" priority="43">
      <formula>$DE$53&lt;&gt;""</formula>
    </cfRule>
  </conditionalFormatting>
  <conditionalFormatting sqref="DE126:DJ126 DE129:DJ129">
    <cfRule type="expression" dxfId="2154" priority="2777">
      <formula>AND($H$64&gt;=9, $H$64&lt;&gt;"Please Select")</formula>
    </cfRule>
  </conditionalFormatting>
  <conditionalFormatting sqref="DE127:DJ128">
    <cfRule type="expression" dxfId="2153" priority="14">
      <formula>$DE$127&lt;&gt;""</formula>
    </cfRule>
  </conditionalFormatting>
  <conditionalFormatting sqref="DE161:DJ164">
    <cfRule type="expression" dxfId="2152" priority="81">
      <formula>$DE$161&lt;&gt;""</formula>
    </cfRule>
  </conditionalFormatting>
  <conditionalFormatting sqref="DF30">
    <cfRule type="expression" dxfId="2151" priority="11458">
      <formula>AND($H$12&gt;=9, $H$12&lt;&gt;"Please Select")</formula>
    </cfRule>
  </conditionalFormatting>
  <conditionalFormatting sqref="DF34">
    <cfRule type="expression" dxfId="2150" priority="11455">
      <formula>AND($H$12&gt;=9, $H$12&lt;&gt;"Please Select")</formula>
    </cfRule>
    <cfRule type="expression" dxfId="2149" priority="183">
      <formula>$DF$34="Pending"</formula>
    </cfRule>
  </conditionalFormatting>
  <conditionalFormatting sqref="DF35">
    <cfRule type="expression" dxfId="2148" priority="11435">
      <formula>DF$34&lt;&gt;""</formula>
    </cfRule>
  </conditionalFormatting>
  <conditionalFormatting sqref="DF87">
    <cfRule type="expression" dxfId="2147" priority="2780">
      <formula>AND($H$64&gt;=9, $H$64&lt;&gt;"Please Select")</formula>
    </cfRule>
  </conditionalFormatting>
  <conditionalFormatting sqref="DF150">
    <cfRule type="expression" dxfId="2146" priority="476">
      <formula>AND($H$141&gt;=9, $H$141&lt;&gt;"Please Select")</formula>
    </cfRule>
  </conditionalFormatting>
  <conditionalFormatting sqref="DF154">
    <cfRule type="expression" dxfId="2145" priority="109">
      <formula>$DF$154="Pending"</formula>
    </cfRule>
    <cfRule type="expression" dxfId="2144" priority="473">
      <formula>AND($H$141&gt;=9, $H$141&lt;&gt;"Please Select")</formula>
    </cfRule>
  </conditionalFormatting>
  <conditionalFormatting sqref="DF155">
    <cfRule type="expression" dxfId="2143" priority="110">
      <formula>$DF$154&lt;&gt;""</formula>
    </cfRule>
  </conditionalFormatting>
  <conditionalFormatting sqref="DG97:DH97">
    <cfRule type="expression" dxfId="2142" priority="1879">
      <formula>DG$97&lt;&gt;""</formula>
    </cfRule>
  </conditionalFormatting>
  <conditionalFormatting sqref="DG98:DH98">
    <cfRule type="expression" dxfId="2141" priority="1877">
      <formula>DE$98="Pending"</formula>
    </cfRule>
  </conditionalFormatting>
  <conditionalFormatting sqref="DG99:DH99">
    <cfRule type="expression" dxfId="2140" priority="1875">
      <formula>DE$99="Pending"</formula>
    </cfRule>
  </conditionalFormatting>
  <conditionalFormatting sqref="DG100:DH100">
    <cfRule type="expression" dxfId="2139" priority="1873">
      <formula>DE$100="Pending"</formula>
    </cfRule>
  </conditionalFormatting>
  <conditionalFormatting sqref="DG101:DH101">
    <cfRule type="expression" dxfId="2138" priority="1871">
      <formula>DE$101="Pending"</formula>
    </cfRule>
  </conditionalFormatting>
  <conditionalFormatting sqref="DG102:DH102">
    <cfRule type="expression" dxfId="2137" priority="1869">
      <formula>DE$102="Pending"</formula>
    </cfRule>
  </conditionalFormatting>
  <conditionalFormatting sqref="DG103:DH103">
    <cfRule type="expression" dxfId="2136" priority="1867">
      <formula>DE$103="Pending"</formula>
    </cfRule>
  </conditionalFormatting>
  <conditionalFormatting sqref="DG104:DH104">
    <cfRule type="expression" dxfId="2135" priority="1865">
      <formula>DE$104="Pending"</formula>
    </cfRule>
  </conditionalFormatting>
  <conditionalFormatting sqref="DG105:DH105">
    <cfRule type="expression" dxfId="2134" priority="1863">
      <formula>DE$105="Pending"</formula>
    </cfRule>
  </conditionalFormatting>
  <conditionalFormatting sqref="DG106:DH106">
    <cfRule type="expression" dxfId="2133" priority="1861">
      <formula>DE$106="Pending"</formula>
    </cfRule>
  </conditionalFormatting>
  <conditionalFormatting sqref="DG107:DH107">
    <cfRule type="expression" dxfId="2132" priority="1859">
      <formula>DE$107="Pending"</formula>
    </cfRule>
  </conditionalFormatting>
  <conditionalFormatting sqref="DG108:DH108">
    <cfRule type="expression" dxfId="2131" priority="1857">
      <formula>DE$108="Pending"</formula>
    </cfRule>
  </conditionalFormatting>
  <conditionalFormatting sqref="DG109:DH109">
    <cfRule type="expression" dxfId="2130" priority="1855">
      <formula>DE$109="Pending"</formula>
    </cfRule>
  </conditionalFormatting>
  <conditionalFormatting sqref="DG110:DH110">
    <cfRule type="expression" dxfId="2129" priority="1853">
      <formula>DE$110="Pending"</formula>
    </cfRule>
  </conditionalFormatting>
  <conditionalFormatting sqref="DG111:DH111">
    <cfRule type="expression" dxfId="2128" priority="1851">
      <formula>DE$111="Pending"</formula>
    </cfRule>
  </conditionalFormatting>
  <conditionalFormatting sqref="DG112:DH112">
    <cfRule type="expression" dxfId="2127" priority="1849">
      <formula>DE$112="Pending"</formula>
    </cfRule>
  </conditionalFormatting>
  <conditionalFormatting sqref="DG113:DH113">
    <cfRule type="expression" dxfId="2126" priority="1847">
      <formula>DE$113="Pending"</formula>
    </cfRule>
  </conditionalFormatting>
  <conditionalFormatting sqref="DG114:DH114">
    <cfRule type="expression" dxfId="2125" priority="1845">
      <formula>DE$114="Pending"</formula>
    </cfRule>
  </conditionalFormatting>
  <conditionalFormatting sqref="DG115:DH115">
    <cfRule type="expression" dxfId="2124" priority="1843">
      <formula>DE$115="Pending"</formula>
    </cfRule>
  </conditionalFormatting>
  <conditionalFormatting sqref="DG116:DH116">
    <cfRule type="expression" dxfId="2123" priority="1841">
      <formula>DE$116="Pending"</formula>
    </cfRule>
  </conditionalFormatting>
  <conditionalFormatting sqref="DG117:DH117">
    <cfRule type="expression" dxfId="2122" priority="1839">
      <formula>DE$117="Pending"</formula>
    </cfRule>
  </conditionalFormatting>
  <conditionalFormatting sqref="DG118:DH118">
    <cfRule type="expression" dxfId="2121" priority="1837">
      <formula>DE$118="Pending"</formula>
    </cfRule>
  </conditionalFormatting>
  <conditionalFormatting sqref="DG119:DH119">
    <cfRule type="expression" dxfId="2120" priority="1835">
      <formula>DE$119="Pending"</formula>
    </cfRule>
  </conditionalFormatting>
  <conditionalFormatting sqref="DG120:DH120">
    <cfRule type="expression" dxfId="2119" priority="1833">
      <formula>DE$120="Pending"</formula>
    </cfRule>
  </conditionalFormatting>
  <conditionalFormatting sqref="DG121:DH121">
    <cfRule type="expression" dxfId="2118" priority="1831">
      <formula>DE$121="Pending"</formula>
    </cfRule>
  </conditionalFormatting>
  <conditionalFormatting sqref="DG122:DH122">
    <cfRule type="expression" dxfId="2117" priority="1829">
      <formula>DE$122="Pending"</formula>
    </cfRule>
  </conditionalFormatting>
  <conditionalFormatting sqref="DI27:DL28">
    <cfRule type="expression" dxfId="2116" priority="5600">
      <formula>$DI$27&lt;&gt;""</formula>
    </cfRule>
  </conditionalFormatting>
  <conditionalFormatting sqref="DI84:DL85">
    <cfRule type="expression" dxfId="2115" priority="2784">
      <formula>DI$84&lt;&gt;""</formula>
    </cfRule>
  </conditionalFormatting>
  <conditionalFormatting sqref="DI147:DL148">
    <cfRule type="expression" dxfId="2114" priority="272">
      <formula>$DI$147&lt;&gt;""</formula>
    </cfRule>
  </conditionalFormatting>
  <conditionalFormatting sqref="DK55:DN55">
    <cfRule type="expression" dxfId="2113" priority="616">
      <formula>DK55&lt;&gt;""</formula>
    </cfRule>
  </conditionalFormatting>
  <conditionalFormatting sqref="DK129:DN129">
    <cfRule type="expression" dxfId="2112" priority="597">
      <formula>DK129&lt;&gt;""</formula>
    </cfRule>
  </conditionalFormatting>
  <conditionalFormatting sqref="DK164:DN164">
    <cfRule type="expression" dxfId="2111" priority="68">
      <formula>DK164&lt;&gt;""</formula>
    </cfRule>
  </conditionalFormatting>
  <conditionalFormatting sqref="DO41">
    <cfRule type="expression" dxfId="2110" priority="11178">
      <formula>AND($H$12&gt;=10, $H$12&lt;&gt;"Please Select")</formula>
    </cfRule>
  </conditionalFormatting>
  <conditionalFormatting sqref="DO44:DO48">
    <cfRule type="expression" dxfId="2109" priority="5508">
      <formula>AND($H$12&gt;=10, $H$12&lt;&gt;"Please Select")</formula>
    </cfRule>
  </conditionalFormatting>
  <conditionalFormatting sqref="DO96">
    <cfRule type="expression" dxfId="2108" priority="1825">
      <formula>AND($H$64&gt;=10, $H$64&lt;&gt;"Please Select")</formula>
    </cfRule>
  </conditionalFormatting>
  <conditionalFormatting sqref="DO98:DQ122">
    <cfRule type="expression" dxfId="2107" priority="1827">
      <formula>AND($H$64&gt;=10, $H$64&lt;&gt;"Please Select")</formula>
    </cfRule>
  </conditionalFormatting>
  <conditionalFormatting sqref="DO43:DR43">
    <cfRule type="expression" dxfId="2106" priority="5509">
      <formula>AND($H$12&gt;=10, $H$12&lt;&gt;"Please Select")</formula>
    </cfRule>
  </conditionalFormatting>
  <conditionalFormatting sqref="DO39:DS40">
    <cfRule type="expression" dxfId="2105" priority="5511">
      <formula>AND($H$12&gt;=10, $H$12&lt;&gt;"Please Select")</formula>
    </cfRule>
  </conditionalFormatting>
  <conditionalFormatting sqref="DO97:DS97">
    <cfRule type="expression" dxfId="2104" priority="1828">
      <formula>AND($H$64&gt;=10, $H$64&lt;&gt;"Please Select")</formula>
    </cfRule>
  </conditionalFormatting>
  <conditionalFormatting sqref="DO25:DU25">
    <cfRule type="expression" dxfId="2103" priority="11191">
      <formula>AND($H$12&gt;=10, $H$12&lt;&gt;"Please Select")</formula>
    </cfRule>
  </conditionalFormatting>
  <conditionalFormatting sqref="DO82:DU82">
    <cfRule type="expression" dxfId="2102" priority="2763">
      <formula>AND($H$64&gt;=10, $H$64&lt;&gt;"Please Select")</formula>
    </cfRule>
  </conditionalFormatting>
  <conditionalFormatting sqref="DO145:DU145">
    <cfRule type="expression" dxfId="2101" priority="471">
      <formula>AND($H$141&gt;=10, $H$141&lt;&gt;"Please Select")</formula>
    </cfRule>
  </conditionalFormatting>
  <conditionalFormatting sqref="DO51:DW51">
    <cfRule type="expression" dxfId="2100" priority="11164">
      <formula>AND($H$12&gt;=10, $H$12&lt;&gt;"Please Select")</formula>
    </cfRule>
  </conditionalFormatting>
  <conditionalFormatting sqref="DO125:DW125">
    <cfRule type="expression" dxfId="2099" priority="2758">
      <formula>AND($H$64&gt;=10, $H$64&lt;&gt;"Please Select")</formula>
    </cfRule>
  </conditionalFormatting>
  <conditionalFormatting sqref="DO160:DW160">
    <cfRule type="expression" dxfId="2098" priority="79">
      <formula>$DO$160&lt;&gt;""</formula>
    </cfRule>
  </conditionalFormatting>
  <conditionalFormatting sqref="DP30:DQ30">
    <cfRule type="expression" dxfId="2097" priority="11187">
      <formula>AND($H$12&gt;=10, $H$12&lt;&gt;"Please Select")</formula>
    </cfRule>
  </conditionalFormatting>
  <conditionalFormatting sqref="DP87:DQ87">
    <cfRule type="expression" dxfId="2096" priority="2761">
      <formula>AND($H$64&gt;=10, $H$64&lt;&gt;"Please Select")</formula>
    </cfRule>
  </conditionalFormatting>
  <conditionalFormatting sqref="DP150:DQ150">
    <cfRule type="expression" dxfId="2095" priority="470">
      <formula>AND($H$141&gt;=10, $H$141&lt;&gt;"Please Select")</formula>
    </cfRule>
  </conditionalFormatting>
  <conditionalFormatting sqref="DP44:DR48">
    <cfRule type="expression" dxfId="2094" priority="11171">
      <formula>AND($H$12&gt;=10, $H$12&lt;&gt;"Please Select")</formula>
    </cfRule>
  </conditionalFormatting>
  <conditionalFormatting sqref="DP27:DS29">
    <cfRule type="expression" dxfId="2093" priority="5512">
      <formula>AND($H$12&gt;=10, $H$12&lt;&gt;"Please Select")</formula>
    </cfRule>
  </conditionalFormatting>
  <conditionalFormatting sqref="DP41:DS41">
    <cfRule type="expression" dxfId="2092" priority="5510">
      <formula>AND($H$12&gt;=10, $H$12&lt;&gt;"Please Select")</formula>
    </cfRule>
  </conditionalFormatting>
  <conditionalFormatting sqref="DP84:DS86">
    <cfRule type="expression" dxfId="2091" priority="2762">
      <formula>AND($H$64&gt;=10, $H$64&lt;&gt;"Please Select")</formula>
    </cfRule>
  </conditionalFormatting>
  <conditionalFormatting sqref="DP147:DS149">
    <cfRule type="expression" dxfId="2090" priority="246">
      <formula>AND($H$141&gt;=10, $H$141&lt;&gt;"Please Select")</formula>
    </cfRule>
  </conditionalFormatting>
  <conditionalFormatting sqref="DQ31">
    <cfRule type="expression" dxfId="2089" priority="11185">
      <formula>AND($H$12&gt;=10, $H$12&lt;&gt;"Please Select")</formula>
    </cfRule>
  </conditionalFormatting>
  <conditionalFormatting sqref="DQ88">
    <cfRule type="expression" dxfId="2088" priority="2759">
      <formula>AND($H$64&gt;=10, $H$64&lt;&gt;"Please Select")</formula>
    </cfRule>
  </conditionalFormatting>
  <conditionalFormatting sqref="DQ151">
    <cfRule type="expression" dxfId="2087" priority="468">
      <formula>AND($H$141&gt;=10, $H$141&lt;&gt;"Please Select")</formula>
    </cfRule>
  </conditionalFormatting>
  <conditionalFormatting sqref="DQ91:DR91">
    <cfRule type="expression" dxfId="2086" priority="160">
      <formula>AND($H$64&gt;=10, $H$64&lt;&gt;"Please Select")</formula>
    </cfRule>
    <cfRule type="expression" dxfId="2085" priority="159">
      <formula>$DQ$91="No"</formula>
    </cfRule>
  </conditionalFormatting>
  <conditionalFormatting sqref="DQ92:DR92">
    <cfRule type="expression" dxfId="2084" priority="2749">
      <formula>AND($H$64&gt;=10, $H$64&lt;&gt;"Please Select")</formula>
    </cfRule>
  </conditionalFormatting>
  <conditionalFormatting sqref="DQ95:DR95">
    <cfRule type="expression" dxfId="2083" priority="659">
      <formula>AND($H$64&gt;=10, $H$64&lt;&gt;"Please Select")</formula>
    </cfRule>
  </conditionalFormatting>
  <conditionalFormatting sqref="DQ157:DR157">
    <cfRule type="expression" dxfId="2082" priority="228">
      <formula>AND($H$141&gt;=10, $H$141&lt;&gt;"Please Select")</formula>
    </cfRule>
  </conditionalFormatting>
  <conditionalFormatting sqref="DQ33:DS33">
    <cfRule type="expression" dxfId="2081" priority="11184">
      <formula>AND($H$12&gt;=10, $H$12&lt;&gt;"Please Select")</formula>
    </cfRule>
  </conditionalFormatting>
  <conditionalFormatting sqref="DQ153:DS153">
    <cfRule type="expression" dxfId="2080" priority="467">
      <formula>AND($H$141&gt;=10, $H$141&lt;&gt;"Please Select")</formula>
    </cfRule>
  </conditionalFormatting>
  <conditionalFormatting sqref="DR98">
    <cfRule type="expression" dxfId="2079" priority="1823">
      <formula>DR$98="Pending"</formula>
    </cfRule>
  </conditionalFormatting>
  <conditionalFormatting sqref="DR98:DS122">
    <cfRule type="expression" dxfId="2078" priority="1826">
      <formula>AND($H$64&gt;=10, $H$64&lt;&gt;"Please Select")</formula>
    </cfRule>
  </conditionalFormatting>
  <conditionalFormatting sqref="DR99:DS99">
    <cfRule type="expression" dxfId="2077" priority="1821">
      <formula>DR$99="Pending"</formula>
    </cfRule>
  </conditionalFormatting>
  <conditionalFormatting sqref="DR100:DS100">
    <cfRule type="expression" dxfId="2076" priority="1819">
      <formula>DR$100="Pending"</formula>
    </cfRule>
  </conditionalFormatting>
  <conditionalFormatting sqref="DR101:DS101">
    <cfRule type="expression" dxfId="2075" priority="1817">
      <formula>DR$101="Pending"</formula>
    </cfRule>
  </conditionalFormatting>
  <conditionalFormatting sqref="DR102:DS102">
    <cfRule type="expression" dxfId="2074" priority="1815">
      <formula>DR$102="Pending"</formula>
    </cfRule>
  </conditionalFormatting>
  <conditionalFormatting sqref="DR103:DS103">
    <cfRule type="expression" dxfId="2073" priority="1813">
      <formula>DR$103="Pending"</formula>
    </cfRule>
  </conditionalFormatting>
  <conditionalFormatting sqref="DR104:DS104">
    <cfRule type="expression" dxfId="2072" priority="1811">
      <formula>DR$104="Pending"</formula>
    </cfRule>
  </conditionalFormatting>
  <conditionalFormatting sqref="DR105:DS105">
    <cfRule type="expression" dxfId="2071" priority="1809">
      <formula>DR$105="Pending"</formula>
    </cfRule>
  </conditionalFormatting>
  <conditionalFormatting sqref="DR106:DS106">
    <cfRule type="expression" dxfId="2070" priority="1807">
      <formula>DR$106="Pending"</formula>
    </cfRule>
  </conditionalFormatting>
  <conditionalFormatting sqref="DR107:DS107">
    <cfRule type="expression" dxfId="2069" priority="1805">
      <formula>DR$107="Pending"</formula>
    </cfRule>
  </conditionalFormatting>
  <conditionalFormatting sqref="DR108:DS108">
    <cfRule type="expression" dxfId="2068" priority="1803">
      <formula>DR$108="Pending"</formula>
    </cfRule>
  </conditionalFormatting>
  <conditionalFormatting sqref="DR109:DS109">
    <cfRule type="expression" dxfId="2067" priority="1801">
      <formula>DR$109="Pending"</formula>
    </cfRule>
  </conditionalFormatting>
  <conditionalFormatting sqref="DR110:DS110">
    <cfRule type="expression" dxfId="2066" priority="1799">
      <formula>DR$110="Pending"</formula>
    </cfRule>
  </conditionalFormatting>
  <conditionalFormatting sqref="DR111:DS111">
    <cfRule type="expression" dxfId="2065" priority="1797">
      <formula>DR$111="Pending"</formula>
    </cfRule>
  </conditionalFormatting>
  <conditionalFormatting sqref="DR112:DS112">
    <cfRule type="expression" dxfId="2064" priority="1795">
      <formula>DR$112="Pending"</formula>
    </cfRule>
  </conditionalFormatting>
  <conditionalFormatting sqref="DR113:DS113">
    <cfRule type="expression" dxfId="2063" priority="1793">
      <formula>DR$113="Pending"</formula>
    </cfRule>
  </conditionalFormatting>
  <conditionalFormatting sqref="DR114:DS114">
    <cfRule type="expression" dxfId="2062" priority="1791">
      <formula>DR$114="Pending"</formula>
    </cfRule>
  </conditionalFormatting>
  <conditionalFormatting sqref="DR115:DS115">
    <cfRule type="expression" dxfId="2061" priority="1789">
      <formula>DR$115="Pending"</formula>
    </cfRule>
  </conditionalFormatting>
  <conditionalFormatting sqref="DR116:DS116">
    <cfRule type="expression" dxfId="2060" priority="1787">
      <formula>DR$116="Pending"</formula>
    </cfRule>
  </conditionalFormatting>
  <conditionalFormatting sqref="DR117:DS117">
    <cfRule type="expression" dxfId="2059" priority="1785">
      <formula>DR$117="Pending"</formula>
    </cfRule>
  </conditionalFormatting>
  <conditionalFormatting sqref="DR118:DS118">
    <cfRule type="expression" dxfId="2058" priority="1783">
      <formula>DR$118="Pending"</formula>
    </cfRule>
  </conditionalFormatting>
  <conditionalFormatting sqref="DR119:DS119">
    <cfRule type="expression" dxfId="2057" priority="1781">
      <formula>DR$119="Pending"</formula>
    </cfRule>
  </conditionalFormatting>
  <conditionalFormatting sqref="DR120:DS120">
    <cfRule type="expression" dxfId="2056" priority="1779">
      <formula>DR$120="Pending"</formula>
    </cfRule>
  </conditionalFormatting>
  <conditionalFormatting sqref="DR121:DS121">
    <cfRule type="expression" dxfId="2055" priority="1777">
      <formula>DR$121="Pending"</formula>
    </cfRule>
  </conditionalFormatting>
  <conditionalFormatting sqref="DR122:DS122">
    <cfRule type="expression" dxfId="2054" priority="1775">
      <formula>DR$122="Pending"</formula>
    </cfRule>
  </conditionalFormatting>
  <conditionalFormatting sqref="DR52:DW52 DR55:DW55">
    <cfRule type="expression" dxfId="2053" priority="11138">
      <formula>AND($H$12&gt;=10, $H$12&lt;&gt;"Please Select")</formula>
    </cfRule>
  </conditionalFormatting>
  <conditionalFormatting sqref="DR53:DW54">
    <cfRule type="expression" dxfId="2052" priority="44">
      <formula>$DR$53&lt;&gt;""</formula>
    </cfRule>
  </conditionalFormatting>
  <conditionalFormatting sqref="DR126:DW126 DR129:DW129">
    <cfRule type="expression" dxfId="2051" priority="2757">
      <formula>AND($H$64&gt;=10, $H$64&lt;&gt;"Please Select")</formula>
    </cfRule>
  </conditionalFormatting>
  <conditionalFormatting sqref="DR127:DW128">
    <cfRule type="expression" dxfId="2050" priority="15">
      <formula>$DR$127&lt;&gt;""</formula>
    </cfRule>
  </conditionalFormatting>
  <conditionalFormatting sqref="DR161:DW164">
    <cfRule type="expression" dxfId="2049" priority="78">
      <formula>$DR$161&lt;&gt;""</formula>
    </cfRule>
  </conditionalFormatting>
  <conditionalFormatting sqref="DS30">
    <cfRule type="expression" dxfId="2048" priority="11186">
      <formula>AND($H$12&gt;=10, $H$12&lt;&gt;"Please Select")</formula>
    </cfRule>
  </conditionalFormatting>
  <conditionalFormatting sqref="DS34">
    <cfRule type="expression" dxfId="2047" priority="11183">
      <formula>AND($H$12&gt;=10, $H$12&lt;&gt;"Please Select")</formula>
    </cfRule>
    <cfRule type="expression" dxfId="2046" priority="184">
      <formula>$DS$34="Pending"</formula>
    </cfRule>
  </conditionalFormatting>
  <conditionalFormatting sqref="DS35">
    <cfRule type="expression" dxfId="2045" priority="11163">
      <formula>DS$34&lt;&gt;""</formula>
    </cfRule>
  </conditionalFormatting>
  <conditionalFormatting sqref="DS87">
    <cfRule type="expression" dxfId="2044" priority="2760">
      <formula>AND($H$64&gt;=10, $H$64&lt;&gt;"Please Select")</formula>
    </cfRule>
  </conditionalFormatting>
  <conditionalFormatting sqref="DS150">
    <cfRule type="expression" dxfId="2043" priority="469">
      <formula>AND($H$141&gt;=10, $H$141&lt;&gt;"Please Select")</formula>
    </cfRule>
  </conditionalFormatting>
  <conditionalFormatting sqref="DS154">
    <cfRule type="expression" dxfId="2042" priority="466">
      <formula>AND($H$141&gt;=10, $H$141&lt;&gt;"Please Select")</formula>
    </cfRule>
    <cfRule type="expression" dxfId="2041" priority="108">
      <formula>$DS$154="Pending"</formula>
    </cfRule>
  </conditionalFormatting>
  <conditionalFormatting sqref="DS155">
    <cfRule type="expression" dxfId="2040" priority="107">
      <formula>$DS$154&lt;&gt;""</formula>
    </cfRule>
  </conditionalFormatting>
  <conditionalFormatting sqref="DT97:DU97">
    <cfRule type="expression" dxfId="2039" priority="1824">
      <formula>DT$97&lt;&gt;""</formula>
    </cfRule>
  </conditionalFormatting>
  <conditionalFormatting sqref="DT98:DU98">
    <cfRule type="expression" dxfId="2038" priority="1822">
      <formula>DR$98="Pending"</formula>
    </cfRule>
  </conditionalFormatting>
  <conditionalFormatting sqref="DT99:DU99">
    <cfRule type="expression" dxfId="2037" priority="1820">
      <formula>DR$99="Pending"</formula>
    </cfRule>
  </conditionalFormatting>
  <conditionalFormatting sqref="DT100:DU100">
    <cfRule type="expression" dxfId="2036" priority="1818">
      <formula>DR$100="Pending"</formula>
    </cfRule>
  </conditionalFormatting>
  <conditionalFormatting sqref="DT101:DU101">
    <cfRule type="expression" dxfId="2035" priority="1816">
      <formula>DR$101="Pending"</formula>
    </cfRule>
  </conditionalFormatting>
  <conditionalFormatting sqref="DT102:DU102">
    <cfRule type="expression" dxfId="2034" priority="1814">
      <formula>DR$102="Pending"</formula>
    </cfRule>
  </conditionalFormatting>
  <conditionalFormatting sqref="DT103:DU103">
    <cfRule type="expression" dxfId="2033" priority="1812">
      <formula>DR$103="Pending"</formula>
    </cfRule>
  </conditionalFormatting>
  <conditionalFormatting sqref="DT104:DU104">
    <cfRule type="expression" dxfId="2032" priority="1810">
      <formula>DR$104="Pending"</formula>
    </cfRule>
  </conditionalFormatting>
  <conditionalFormatting sqref="DT105:DU105">
    <cfRule type="expression" dxfId="2031" priority="1808">
      <formula>DR$105="Pending"</formula>
    </cfRule>
  </conditionalFormatting>
  <conditionalFormatting sqref="DT106:DU106">
    <cfRule type="expression" dxfId="2030" priority="1806">
      <formula>DR$106="Pending"</formula>
    </cfRule>
  </conditionalFormatting>
  <conditionalFormatting sqref="DT107:DU107">
    <cfRule type="expression" dxfId="2029" priority="1804">
      <formula>DR$107="Pending"</formula>
    </cfRule>
  </conditionalFormatting>
  <conditionalFormatting sqref="DT108:DU108">
    <cfRule type="expression" dxfId="2028" priority="1802">
      <formula>DR$108="Pending"</formula>
    </cfRule>
  </conditionalFormatting>
  <conditionalFormatting sqref="DT109:DU109">
    <cfRule type="expression" dxfId="2027" priority="1800">
      <formula>DR$109="Pending"</formula>
    </cfRule>
  </conditionalFormatting>
  <conditionalFormatting sqref="DT110:DU110">
    <cfRule type="expression" dxfId="2026" priority="1798">
      <formula>DR$110="Pending"</formula>
    </cfRule>
  </conditionalFormatting>
  <conditionalFormatting sqref="DT111:DU111">
    <cfRule type="expression" dxfId="2025" priority="1796">
      <formula>DR$111="Pending"</formula>
    </cfRule>
  </conditionalFormatting>
  <conditionalFormatting sqref="DT112:DU112">
    <cfRule type="expression" dxfId="2024" priority="1794">
      <formula>DR$112="Pending"</formula>
    </cfRule>
  </conditionalFormatting>
  <conditionalFormatting sqref="DT113:DU113">
    <cfRule type="expression" dxfId="2023" priority="1792">
      <formula>DR$113="Pending"</formula>
    </cfRule>
  </conditionalFormatting>
  <conditionalFormatting sqref="DT114:DU114">
    <cfRule type="expression" dxfId="2022" priority="1790">
      <formula>DR$114="Pending"</formula>
    </cfRule>
  </conditionalFormatting>
  <conditionalFormatting sqref="DT115:DU115">
    <cfRule type="expression" dxfId="2021" priority="1788">
      <formula>DR$115="Pending"</formula>
    </cfRule>
  </conditionalFormatting>
  <conditionalFormatting sqref="DT116:DU116">
    <cfRule type="expression" dxfId="2020" priority="1786">
      <formula>DR$116="Pending"</formula>
    </cfRule>
  </conditionalFormatting>
  <conditionalFormatting sqref="DT117:DU117">
    <cfRule type="expression" dxfId="2019" priority="1784">
      <formula>DR$117="Pending"</formula>
    </cfRule>
  </conditionalFormatting>
  <conditionalFormatting sqref="DT118:DU118">
    <cfRule type="expression" dxfId="2018" priority="1782">
      <formula>DR$118="Pending"</formula>
    </cfRule>
  </conditionalFormatting>
  <conditionalFormatting sqref="DT119:DU119">
    <cfRule type="expression" dxfId="2017" priority="1780">
      <formula>DR$119="Pending"</formula>
    </cfRule>
  </conditionalFormatting>
  <conditionalFormatting sqref="DT120:DU120">
    <cfRule type="expression" dxfId="2016" priority="1778">
      <formula>DR$120="Pending"</formula>
    </cfRule>
  </conditionalFormatting>
  <conditionalFormatting sqref="DT121:DU121">
    <cfRule type="expression" dxfId="2015" priority="1776">
      <formula>DR$121="Pending"</formula>
    </cfRule>
  </conditionalFormatting>
  <conditionalFormatting sqref="DT122:DU122">
    <cfRule type="expression" dxfId="2014" priority="1774">
      <formula>DR$122="Pending"</formula>
    </cfRule>
  </conditionalFormatting>
  <conditionalFormatting sqref="DV27:DY28">
    <cfRule type="expression" dxfId="2013" priority="5599">
      <formula>$DV$27&lt;&gt;""</formula>
    </cfRule>
  </conditionalFormatting>
  <conditionalFormatting sqref="DV84:DY85">
    <cfRule type="expression" dxfId="2012" priority="2764">
      <formula>DV$84&lt;&gt;""</formula>
    </cfRule>
  </conditionalFormatting>
  <conditionalFormatting sqref="DV147:DY148">
    <cfRule type="expression" dxfId="2011" priority="271">
      <formula>$DV$147&lt;&gt;""</formula>
    </cfRule>
  </conditionalFormatting>
  <conditionalFormatting sqref="DX55:EA55">
    <cfRule type="expression" dxfId="2010" priority="617">
      <formula>DX55&lt;&gt;""</formula>
    </cfRule>
  </conditionalFormatting>
  <conditionalFormatting sqref="DX129:EA129">
    <cfRule type="expression" dxfId="2009" priority="596">
      <formula>DX129&lt;&gt;""</formula>
    </cfRule>
  </conditionalFormatting>
  <conditionalFormatting sqref="DX164:EA164">
    <cfRule type="expression" dxfId="2008" priority="66">
      <formula>DX164&lt;&gt;""</formula>
    </cfRule>
  </conditionalFormatting>
  <conditionalFormatting sqref="EB41">
    <cfRule type="expression" dxfId="2007" priority="10906">
      <formula>AND($H$12&gt;=11, $H$12&lt;&gt;"Please Select")</formula>
    </cfRule>
  </conditionalFormatting>
  <conditionalFormatting sqref="EB44:EB48">
    <cfRule type="expression" dxfId="2006" priority="5513">
      <formula>AND($H$12&gt;=11, $H$12&lt;&gt;"Please Select")</formula>
    </cfRule>
  </conditionalFormatting>
  <conditionalFormatting sqref="EB96">
    <cfRule type="expression" dxfId="2005" priority="1770">
      <formula>AND($H$64&gt;=11, $H$64&lt;&gt;"Please Select")</formula>
    </cfRule>
  </conditionalFormatting>
  <conditionalFormatting sqref="EB98:ED122">
    <cfRule type="expression" dxfId="2004" priority="1772">
      <formula>AND($H$64&gt;=11, $H$64&lt;&gt;"Please Select")</formula>
    </cfRule>
  </conditionalFormatting>
  <conditionalFormatting sqref="EB43:EE43">
    <cfRule type="expression" dxfId="2003" priority="5514">
      <formula>AND($H$12&gt;=11, $H$12&lt;&gt;"Please Select")</formula>
    </cfRule>
  </conditionalFormatting>
  <conditionalFormatting sqref="EB39:EF40">
    <cfRule type="expression" dxfId="2002" priority="5516">
      <formula>AND($H$12&gt;=11, $H$12&lt;&gt;"Please Select")</formula>
    </cfRule>
  </conditionalFormatting>
  <conditionalFormatting sqref="EB97:EF97">
    <cfRule type="expression" dxfId="2001" priority="1773">
      <formula>AND($H$64&gt;=11, $H$64&lt;&gt;"Please Select")</formula>
    </cfRule>
  </conditionalFormatting>
  <conditionalFormatting sqref="EB25:EH25">
    <cfRule type="expression" dxfId="2000" priority="10919">
      <formula>AND($H$12&gt;=11, $H$12&lt;&gt;"Please Select")</formula>
    </cfRule>
  </conditionalFormatting>
  <conditionalFormatting sqref="EB82:EH82">
    <cfRule type="expression" dxfId="1999" priority="2743">
      <formula>AND($H$64&gt;=11, $H$64&lt;&gt;"Please Select")</formula>
    </cfRule>
  </conditionalFormatting>
  <conditionalFormatting sqref="EB51:EJ51">
    <cfRule type="expression" dxfId="1998" priority="10892">
      <formula>AND($H$12&gt;=11, $H$12&lt;&gt;"Please Select")</formula>
    </cfRule>
  </conditionalFormatting>
  <conditionalFormatting sqref="EB125:EJ125">
    <cfRule type="expression" dxfId="1997" priority="2738">
      <formula>AND($H$64&gt;=11, $H$64&lt;&gt;"Please Select")</formula>
    </cfRule>
  </conditionalFormatting>
  <conditionalFormatting sqref="EC30:ED30">
    <cfRule type="expression" dxfId="1996" priority="10915">
      <formula>AND($H$12&gt;=11, $H$12&lt;&gt;"Please Select")</formula>
    </cfRule>
  </conditionalFormatting>
  <conditionalFormatting sqref="EC87:ED87">
    <cfRule type="expression" dxfId="1995" priority="2741">
      <formula>AND($H$64&gt;=11, $H$64&lt;&gt;"Please Select")</formula>
    </cfRule>
  </conditionalFormatting>
  <conditionalFormatting sqref="EC44:EE48">
    <cfRule type="expression" dxfId="1994" priority="10899">
      <formula>AND($H$12&gt;=11, $H$12&lt;&gt;"Please Select")</formula>
    </cfRule>
  </conditionalFormatting>
  <conditionalFormatting sqref="EC27:EF29">
    <cfRule type="expression" dxfId="1993" priority="5517">
      <formula>AND($H$12&gt;=11, $H$12&lt;&gt;"Please Select")</formula>
    </cfRule>
  </conditionalFormatting>
  <conditionalFormatting sqref="EC41:EF41">
    <cfRule type="expression" dxfId="1992" priority="5515">
      <formula>AND($H$12&gt;=11, $H$12&lt;&gt;"Please Select")</formula>
    </cfRule>
  </conditionalFormatting>
  <conditionalFormatting sqref="EC84:EF86">
    <cfRule type="expression" dxfId="1991" priority="2742">
      <formula>AND($H$64&gt;=11, $H$64&lt;&gt;"Please Select")</formula>
    </cfRule>
  </conditionalFormatting>
  <conditionalFormatting sqref="ED31">
    <cfRule type="expression" dxfId="1990" priority="10913">
      <formula>AND($H$12&gt;=11, $H$12&lt;&gt;"Please Select")</formula>
    </cfRule>
  </conditionalFormatting>
  <conditionalFormatting sqref="ED88">
    <cfRule type="expression" dxfId="1989" priority="2739">
      <formula>AND($H$64&gt;=11, $H$64&lt;&gt;"Please Select")</formula>
    </cfRule>
  </conditionalFormatting>
  <conditionalFormatting sqref="ED91:EE91">
    <cfRule type="expression" dxfId="1988" priority="157">
      <formula>$ED$91="No"</formula>
    </cfRule>
    <cfRule type="expression" dxfId="1987" priority="158">
      <formula>AND($H$64&gt;=11, $H$64&lt;&gt;"Please Select")</formula>
    </cfRule>
  </conditionalFormatting>
  <conditionalFormatting sqref="ED92:EE92">
    <cfRule type="expression" dxfId="1986" priority="2729">
      <formula>AND($H$64&gt;=11, $H$64&lt;&gt;"Please Select")</formula>
    </cfRule>
  </conditionalFormatting>
  <conditionalFormatting sqref="ED95:EE95">
    <cfRule type="expression" dxfId="1985" priority="658">
      <formula>AND($H$64&gt;=11, $H$64&lt;&gt;"Please Select")</formula>
    </cfRule>
  </conditionalFormatting>
  <conditionalFormatting sqref="ED33:EF33">
    <cfRule type="expression" dxfId="1984" priority="10912">
      <formula>AND($H$12&gt;=11, $H$12&lt;&gt;"Please Select")</formula>
    </cfRule>
  </conditionalFormatting>
  <conditionalFormatting sqref="EE98">
    <cfRule type="expression" dxfId="1983" priority="1768">
      <formula>EE$98="Pending"</formula>
    </cfRule>
  </conditionalFormatting>
  <conditionalFormatting sqref="EE98:EF122">
    <cfRule type="expression" dxfId="1982" priority="1771">
      <formula>AND($H$64&gt;=11, $H$64&lt;&gt;"Please Select")</formula>
    </cfRule>
  </conditionalFormatting>
  <conditionalFormatting sqref="EE99:EF99">
    <cfRule type="expression" dxfId="1981" priority="1766">
      <formula>EE$99="Pending"</formula>
    </cfRule>
  </conditionalFormatting>
  <conditionalFormatting sqref="EE100:EF100">
    <cfRule type="expression" dxfId="1980" priority="1764">
      <formula>EE$100="Pending"</formula>
    </cfRule>
  </conditionalFormatting>
  <conditionalFormatting sqref="EE101:EF101">
    <cfRule type="expression" dxfId="1979" priority="1762">
      <formula>EE$101="Pending"</formula>
    </cfRule>
  </conditionalFormatting>
  <conditionalFormatting sqref="EE102:EF102">
    <cfRule type="expression" dxfId="1978" priority="1760">
      <formula>EE$102="Pending"</formula>
    </cfRule>
  </conditionalFormatting>
  <conditionalFormatting sqref="EE103:EF103">
    <cfRule type="expression" dxfId="1977" priority="1758">
      <formula>EE$103="Pending"</formula>
    </cfRule>
  </conditionalFormatting>
  <conditionalFormatting sqref="EE104:EF104">
    <cfRule type="expression" dxfId="1976" priority="1756">
      <formula>EE$104="Pending"</formula>
    </cfRule>
  </conditionalFormatting>
  <conditionalFormatting sqref="EE105:EF105">
    <cfRule type="expression" dxfId="1975" priority="1754">
      <formula>EE$105="Pending"</formula>
    </cfRule>
  </conditionalFormatting>
  <conditionalFormatting sqref="EE106:EF106">
    <cfRule type="expression" dxfId="1974" priority="1752">
      <formula>EE$106="Pending"</formula>
    </cfRule>
  </conditionalFormatting>
  <conditionalFormatting sqref="EE107:EF107">
    <cfRule type="expression" dxfId="1973" priority="1750">
      <formula>EE$107="Pending"</formula>
    </cfRule>
  </conditionalFormatting>
  <conditionalFormatting sqref="EE108:EF108">
    <cfRule type="expression" dxfId="1972" priority="1748">
      <formula>EE$108="Pending"</formula>
    </cfRule>
  </conditionalFormatting>
  <conditionalFormatting sqref="EE109:EF109">
    <cfRule type="expression" dxfId="1971" priority="1746">
      <formula>EE$109="Pending"</formula>
    </cfRule>
  </conditionalFormatting>
  <conditionalFormatting sqref="EE110:EF110">
    <cfRule type="expression" dxfId="1970" priority="1744">
      <formula>EE$110="Pending"</formula>
    </cfRule>
  </conditionalFormatting>
  <conditionalFormatting sqref="EE111:EF111">
    <cfRule type="expression" dxfId="1969" priority="1742">
      <formula>EE$111="Pending"</formula>
    </cfRule>
  </conditionalFormatting>
  <conditionalFormatting sqref="EE112:EF112">
    <cfRule type="expression" dxfId="1968" priority="1740">
      <formula>EE$112="Pending"</formula>
    </cfRule>
  </conditionalFormatting>
  <conditionalFormatting sqref="EE113:EF113">
    <cfRule type="expression" dxfId="1967" priority="1738">
      <formula>EE$113="Pending"</formula>
    </cfRule>
  </conditionalFormatting>
  <conditionalFormatting sqref="EE114:EF114">
    <cfRule type="expression" dxfId="1966" priority="1736">
      <formula>EE$114="Pending"</formula>
    </cfRule>
  </conditionalFormatting>
  <conditionalFormatting sqref="EE115:EF115">
    <cfRule type="expression" dxfId="1965" priority="1734">
      <formula>EE$115="Pending"</formula>
    </cfRule>
  </conditionalFormatting>
  <conditionalFormatting sqref="EE116:EF116">
    <cfRule type="expression" dxfId="1964" priority="1732">
      <formula>EE$116="Pending"</formula>
    </cfRule>
  </conditionalFormatting>
  <conditionalFormatting sqref="EE117:EF117">
    <cfRule type="expression" dxfId="1963" priority="1730">
      <formula>EE$117="Pending"</formula>
    </cfRule>
  </conditionalFormatting>
  <conditionalFormatting sqref="EE118:EF118">
    <cfRule type="expression" dxfId="1962" priority="1728">
      <formula>EE$118="Pending"</formula>
    </cfRule>
  </conditionalFormatting>
  <conditionalFormatting sqref="EE119:EF119">
    <cfRule type="expression" dxfId="1961" priority="1726">
      <formula>EE$119="Pending"</formula>
    </cfRule>
  </conditionalFormatting>
  <conditionalFormatting sqref="EE120:EF120">
    <cfRule type="expression" dxfId="1960" priority="1724">
      <formula>EE$120="Pending"</formula>
    </cfRule>
  </conditionalFormatting>
  <conditionalFormatting sqref="EE121:EF121">
    <cfRule type="expression" dxfId="1959" priority="1722">
      <formula>EE$121="Pending"</formula>
    </cfRule>
  </conditionalFormatting>
  <conditionalFormatting sqref="EE122:EF122">
    <cfRule type="expression" dxfId="1958" priority="1720">
      <formula>EE$122="Pending"</formula>
    </cfRule>
  </conditionalFormatting>
  <conditionalFormatting sqref="EE52:EJ52 EE55:EJ55">
    <cfRule type="expression" dxfId="1957" priority="10866">
      <formula>AND($H$12&gt;=11, $H$12&lt;&gt;"Please Select")</formula>
    </cfRule>
  </conditionalFormatting>
  <conditionalFormatting sqref="EE53:EJ54">
    <cfRule type="expression" dxfId="1956" priority="45">
      <formula>$EE$53&lt;&gt;""</formula>
    </cfRule>
  </conditionalFormatting>
  <conditionalFormatting sqref="EE126:EJ126 EE129:EJ129">
    <cfRule type="expression" dxfId="1955" priority="2737">
      <formula>AND($H$64&gt;=11, $H$64&lt;&gt;"Please Select")</formula>
    </cfRule>
  </conditionalFormatting>
  <conditionalFormatting sqref="EE127:EJ128">
    <cfRule type="expression" dxfId="1954" priority="16">
      <formula>$EE$127&lt;&gt;""</formula>
    </cfRule>
  </conditionalFormatting>
  <conditionalFormatting sqref="EF30">
    <cfRule type="expression" dxfId="1953" priority="10914">
      <formula>AND($H$12&gt;=11, $H$12&lt;&gt;"Please Select")</formula>
    </cfRule>
  </conditionalFormatting>
  <conditionalFormatting sqref="EF34">
    <cfRule type="expression" dxfId="1952" priority="10911">
      <formula>AND($H$12&gt;=11, $H$12&lt;&gt;"Please Select")</formula>
    </cfRule>
    <cfRule type="expression" dxfId="1951" priority="185">
      <formula>$EF$34="Pending"</formula>
    </cfRule>
  </conditionalFormatting>
  <conditionalFormatting sqref="EF35">
    <cfRule type="expression" dxfId="1950" priority="10891">
      <formula>EF$34&lt;&gt;""</formula>
    </cfRule>
  </conditionalFormatting>
  <conditionalFormatting sqref="EF87">
    <cfRule type="expression" dxfId="1949" priority="2740">
      <formula>AND($H$64&gt;=11, $H$64&lt;&gt;"Please Select")</formula>
    </cfRule>
  </conditionalFormatting>
  <conditionalFormatting sqref="EG97:EH97">
    <cfRule type="expression" dxfId="1948" priority="1769">
      <formula>EG$97&lt;&gt;""</formula>
    </cfRule>
  </conditionalFormatting>
  <conditionalFormatting sqref="EG98:EH98">
    <cfRule type="expression" dxfId="1947" priority="1767">
      <formula>EE$98="Pending"</formula>
    </cfRule>
  </conditionalFormatting>
  <conditionalFormatting sqref="EG99:EH99">
    <cfRule type="expression" dxfId="1946" priority="1765">
      <formula>EE$99="Pending"</formula>
    </cfRule>
  </conditionalFormatting>
  <conditionalFormatting sqref="EG100:EH100">
    <cfRule type="expression" dxfId="1945" priority="1763">
      <formula>EE$100="Pending"</formula>
    </cfRule>
  </conditionalFormatting>
  <conditionalFormatting sqref="EG101:EH101">
    <cfRule type="expression" dxfId="1944" priority="1761">
      <formula>EE$101="Pending"</formula>
    </cfRule>
  </conditionalFormatting>
  <conditionalFormatting sqref="EG102:EH102">
    <cfRule type="expression" dxfId="1943" priority="1759">
      <formula>EE$102="Pending"</formula>
    </cfRule>
  </conditionalFormatting>
  <conditionalFormatting sqref="EG103:EH103">
    <cfRule type="expression" dxfId="1942" priority="1757">
      <formula>EE$103="Pending"</formula>
    </cfRule>
  </conditionalFormatting>
  <conditionalFormatting sqref="EG104:EH104">
    <cfRule type="expression" dxfId="1941" priority="1755">
      <formula>EE$104="Pending"</formula>
    </cfRule>
  </conditionalFormatting>
  <conditionalFormatting sqref="EG105:EH105">
    <cfRule type="expression" dxfId="1940" priority="1753">
      <formula>EE$105="Pending"</formula>
    </cfRule>
  </conditionalFormatting>
  <conditionalFormatting sqref="EG106:EH106">
    <cfRule type="expression" dxfId="1939" priority="1751">
      <formula>EE$106="Pending"</formula>
    </cfRule>
  </conditionalFormatting>
  <conditionalFormatting sqref="EG107:EH107">
    <cfRule type="expression" dxfId="1938" priority="1749">
      <formula>EE$107="Pending"</formula>
    </cfRule>
  </conditionalFormatting>
  <conditionalFormatting sqref="EG108:EH108">
    <cfRule type="expression" dxfId="1937" priority="1747">
      <formula>EE$108="Pending"</formula>
    </cfRule>
  </conditionalFormatting>
  <conditionalFormatting sqref="EG109:EH109">
    <cfRule type="expression" dxfId="1936" priority="1745">
      <formula>EE$109="Pending"</formula>
    </cfRule>
  </conditionalFormatting>
  <conditionalFormatting sqref="EG110:EH110">
    <cfRule type="expression" dxfId="1935" priority="1743">
      <formula>EE$110="Pending"</formula>
    </cfRule>
  </conditionalFormatting>
  <conditionalFormatting sqref="EG111:EH111">
    <cfRule type="expression" dxfId="1934" priority="1741">
      <formula>EE$111="Pending"</formula>
    </cfRule>
  </conditionalFormatting>
  <conditionalFormatting sqref="EG112:EH112">
    <cfRule type="expression" dxfId="1933" priority="1739">
      <formula>EE$112="Pending"</formula>
    </cfRule>
  </conditionalFormatting>
  <conditionalFormatting sqref="EG113:EH113">
    <cfRule type="expression" dxfId="1932" priority="1737">
      <formula>EE$113="Pending"</formula>
    </cfRule>
  </conditionalFormatting>
  <conditionalFormatting sqref="EG114:EH114">
    <cfRule type="expression" dxfId="1931" priority="1735">
      <formula>EE$114="Pending"</formula>
    </cfRule>
  </conditionalFormatting>
  <conditionalFormatting sqref="EG115:EH115">
    <cfRule type="expression" dxfId="1930" priority="1733">
      <formula>EE$115="Pending"</formula>
    </cfRule>
  </conditionalFormatting>
  <conditionalFormatting sqref="EG116:EH116">
    <cfRule type="expression" dxfId="1929" priority="1731">
      <formula>EE$116="Pending"</formula>
    </cfRule>
  </conditionalFormatting>
  <conditionalFormatting sqref="EG117:EH117">
    <cfRule type="expression" dxfId="1928" priority="1729">
      <formula>EE$117="Pending"</formula>
    </cfRule>
  </conditionalFormatting>
  <conditionalFormatting sqref="EG118:EH118">
    <cfRule type="expression" dxfId="1927" priority="1727">
      <formula>EE$118="Pending"</formula>
    </cfRule>
  </conditionalFormatting>
  <conditionalFormatting sqref="EG119:EH119">
    <cfRule type="expression" dxfId="1926" priority="1725">
      <formula>EE$119="Pending"</formula>
    </cfRule>
  </conditionalFormatting>
  <conditionalFormatting sqref="EG120:EH120">
    <cfRule type="expression" dxfId="1925" priority="1723">
      <formula>EE$120="Pending"</formula>
    </cfRule>
  </conditionalFormatting>
  <conditionalFormatting sqref="EG121:EH121">
    <cfRule type="expression" dxfId="1924" priority="1721">
      <formula>EE$121="Pending"</formula>
    </cfRule>
  </conditionalFormatting>
  <conditionalFormatting sqref="EG122:EH122">
    <cfRule type="expression" dxfId="1923" priority="1719">
      <formula>EE$122="Pending"</formula>
    </cfRule>
  </conditionalFormatting>
  <conditionalFormatting sqref="EI27:EL28">
    <cfRule type="expression" dxfId="1922" priority="5598">
      <formula>$EI$27&lt;&gt;""</formula>
    </cfRule>
  </conditionalFormatting>
  <conditionalFormatting sqref="EI84:EL85">
    <cfRule type="expression" dxfId="1921" priority="2744">
      <formula>EI$84&lt;&gt;""</formula>
    </cfRule>
  </conditionalFormatting>
  <conditionalFormatting sqref="EI147:EL148">
    <cfRule type="expression" dxfId="1920" priority="270">
      <formula>$EI$27&lt;&gt;""</formula>
    </cfRule>
  </conditionalFormatting>
  <conditionalFormatting sqref="EK55:EN55">
    <cfRule type="expression" dxfId="1919" priority="618">
      <formula>EK55&lt;&gt;""</formula>
    </cfRule>
  </conditionalFormatting>
  <conditionalFormatting sqref="EK129:EN129">
    <cfRule type="expression" dxfId="1918" priority="595">
      <formula>EK129&lt;&gt;""</formula>
    </cfRule>
  </conditionalFormatting>
  <conditionalFormatting sqref="EO41">
    <cfRule type="expression" dxfId="1917" priority="10634">
      <formula>AND($H$12&gt;=12, $H$12&lt;&gt;"Please Select")</formula>
    </cfRule>
  </conditionalFormatting>
  <conditionalFormatting sqref="EO44:EO48">
    <cfRule type="expression" dxfId="1916" priority="5518">
      <formula>AND($H$12&gt;=12, $H$12&lt;&gt;"Please Select")</formula>
    </cfRule>
  </conditionalFormatting>
  <conditionalFormatting sqref="EO96">
    <cfRule type="expression" dxfId="1915" priority="1715">
      <formula>AND($H$64&gt;=12, $H$64&lt;&gt;"Please Select")</formula>
    </cfRule>
  </conditionalFormatting>
  <conditionalFormatting sqref="EO98:EQ122">
    <cfRule type="expression" dxfId="1914" priority="1717">
      <formula>AND($H$64&gt;=12, $H$64&lt;&gt;"Please Select")</formula>
    </cfRule>
  </conditionalFormatting>
  <conditionalFormatting sqref="EO43:ER43">
    <cfRule type="expression" dxfId="1913" priority="5519">
      <formula>AND($H$12&gt;=12, $H$12&lt;&gt;"Please Select")</formula>
    </cfRule>
  </conditionalFormatting>
  <conditionalFormatting sqref="EO39:ES40">
    <cfRule type="expression" dxfId="1912" priority="5521">
      <formula>AND($H$12&gt;=12, $H$12&lt;&gt;"Please Select")</formula>
    </cfRule>
  </conditionalFormatting>
  <conditionalFormatting sqref="EO97:ES97">
    <cfRule type="expression" dxfId="1911" priority="1718">
      <formula>AND($H$64&gt;=12, $H$64&lt;&gt;"Please Select")</formula>
    </cfRule>
  </conditionalFormatting>
  <conditionalFormatting sqref="EO25:EU25">
    <cfRule type="expression" dxfId="1910" priority="10647">
      <formula>AND($H$12&gt;=12, $H$12&lt;&gt;"Please Select")</formula>
    </cfRule>
  </conditionalFormatting>
  <conditionalFormatting sqref="EO82:EU82">
    <cfRule type="expression" dxfId="1909" priority="2723">
      <formula>AND($H$64&gt;=12, $H$64&lt;&gt;"Please Select")</formula>
    </cfRule>
  </conditionalFormatting>
  <conditionalFormatting sqref="EO51:EW51">
    <cfRule type="expression" dxfId="1908" priority="10620">
      <formula>AND($H$12&gt;=12, $H$12&lt;&gt;"Please Select")</formula>
    </cfRule>
  </conditionalFormatting>
  <conditionalFormatting sqref="EO125:EW125">
    <cfRule type="expression" dxfId="1907" priority="2718">
      <formula>AND($H$64&gt;=12, $H$64&lt;&gt;"Please Select")</formula>
    </cfRule>
  </conditionalFormatting>
  <conditionalFormatting sqref="EP30:EQ30">
    <cfRule type="expression" dxfId="1906" priority="10643">
      <formula>AND($H$12&gt;=12, $H$12&lt;&gt;"Please Select")</formula>
    </cfRule>
  </conditionalFormatting>
  <conditionalFormatting sqref="EP87:EQ87">
    <cfRule type="expression" dxfId="1905" priority="2721">
      <formula>AND($H$64&gt;=12, $H$64&lt;&gt;"Please Select")</formula>
    </cfRule>
  </conditionalFormatting>
  <conditionalFormatting sqref="EP44:ER48">
    <cfRule type="expression" dxfId="1904" priority="10627">
      <formula>AND($H$12&gt;=12, $H$12&lt;&gt;"Please Select")</formula>
    </cfRule>
  </conditionalFormatting>
  <conditionalFormatting sqref="EP27:ES29">
    <cfRule type="expression" dxfId="1903" priority="5522">
      <formula>AND($H$12&gt;=12, $H$12&lt;&gt;"Please Select")</formula>
    </cfRule>
  </conditionalFormatting>
  <conditionalFormatting sqref="EP41:ES41">
    <cfRule type="expression" dxfId="1902" priority="5520">
      <formula>AND($H$12&gt;=12, $H$12&lt;&gt;"Please Select")</formula>
    </cfRule>
  </conditionalFormatting>
  <conditionalFormatting sqref="EP84:ES86">
    <cfRule type="expression" dxfId="1901" priority="2722">
      <formula>AND($H$64&gt;=12, $H$64&lt;&gt;"Please Select")</formula>
    </cfRule>
  </conditionalFormatting>
  <conditionalFormatting sqref="EQ31">
    <cfRule type="expression" dxfId="1900" priority="10641">
      <formula>AND($H$12&gt;=12, $H$12&lt;&gt;"Please Select")</formula>
    </cfRule>
  </conditionalFormatting>
  <conditionalFormatting sqref="EQ88">
    <cfRule type="expression" dxfId="1899" priority="2719">
      <formula>AND($H$64&gt;=12, $H$64&lt;&gt;"Please Select")</formula>
    </cfRule>
  </conditionalFormatting>
  <conditionalFormatting sqref="EQ91:ER91">
    <cfRule type="expression" dxfId="1898" priority="155">
      <formula>$EQ$91="No"</formula>
    </cfRule>
    <cfRule type="expression" dxfId="1897" priority="156">
      <formula>AND($H$64&gt;=12, $H$64&lt;&gt;"Please Select")</formula>
    </cfRule>
  </conditionalFormatting>
  <conditionalFormatting sqref="EQ92:ER92">
    <cfRule type="expression" dxfId="1896" priority="2709">
      <formula>AND($H$64&gt;=12, $H$64&lt;&gt;"Please Select")</formula>
    </cfRule>
  </conditionalFormatting>
  <conditionalFormatting sqref="EQ95:ER95">
    <cfRule type="expression" dxfId="1895" priority="657">
      <formula>AND($H$64&gt;=12, $H$64&lt;&gt;"Please Select")</formula>
    </cfRule>
  </conditionalFormatting>
  <conditionalFormatting sqref="EQ33:ES33">
    <cfRule type="expression" dxfId="1894" priority="10640">
      <formula>AND($H$12&gt;=12, $H$12&lt;&gt;"Please Select")</formula>
    </cfRule>
  </conditionalFormatting>
  <conditionalFormatting sqref="ER98">
    <cfRule type="expression" dxfId="1893" priority="1713">
      <formula>ER$98="Pending"</formula>
    </cfRule>
  </conditionalFormatting>
  <conditionalFormatting sqref="ER98:ES122">
    <cfRule type="expression" dxfId="1892" priority="1716">
      <formula>AND($H$64&gt;=12, $H$64&lt;&gt;"Please Select")</formula>
    </cfRule>
  </conditionalFormatting>
  <conditionalFormatting sqref="ER99:ES99">
    <cfRule type="expression" dxfId="1891" priority="1711">
      <formula>ER$99="Pending"</formula>
    </cfRule>
  </conditionalFormatting>
  <conditionalFormatting sqref="ER100:ES100">
    <cfRule type="expression" dxfId="1890" priority="1709">
      <formula>ER$100="Pending"</formula>
    </cfRule>
  </conditionalFormatting>
  <conditionalFormatting sqref="ER101:ES101">
    <cfRule type="expression" dxfId="1889" priority="1707">
      <formula>ER$101="Pending"</formula>
    </cfRule>
  </conditionalFormatting>
  <conditionalFormatting sqref="ER102:ES102">
    <cfRule type="expression" dxfId="1888" priority="1705">
      <formula>ER$102="Pending"</formula>
    </cfRule>
  </conditionalFormatting>
  <conditionalFormatting sqref="ER103:ES103">
    <cfRule type="expression" dxfId="1887" priority="1703">
      <formula>ER$103="Pending"</formula>
    </cfRule>
  </conditionalFormatting>
  <conditionalFormatting sqref="ER104:ES104">
    <cfRule type="expression" dxfId="1886" priority="1701">
      <formula>ER$104="Pending"</formula>
    </cfRule>
  </conditionalFormatting>
  <conditionalFormatting sqref="ER105:ES105">
    <cfRule type="expression" dxfId="1885" priority="1699">
      <formula>ER$105="Pending"</formula>
    </cfRule>
  </conditionalFormatting>
  <conditionalFormatting sqref="ER106:ES106">
    <cfRule type="expression" dxfId="1884" priority="1697">
      <formula>ER$106="Pending"</formula>
    </cfRule>
  </conditionalFormatting>
  <conditionalFormatting sqref="ER107:ES107">
    <cfRule type="expression" dxfId="1883" priority="1695">
      <formula>ER$107="Pending"</formula>
    </cfRule>
  </conditionalFormatting>
  <conditionalFormatting sqref="ER108:ES108">
    <cfRule type="expression" dxfId="1882" priority="1693">
      <formula>ER$108="Pending"</formula>
    </cfRule>
  </conditionalFormatting>
  <conditionalFormatting sqref="ER109:ES109">
    <cfRule type="expression" dxfId="1881" priority="1691">
      <formula>ER$109="Pending"</formula>
    </cfRule>
  </conditionalFormatting>
  <conditionalFormatting sqref="ER110:ES110">
    <cfRule type="expression" dxfId="1880" priority="1689">
      <formula>ER$110="Pending"</formula>
    </cfRule>
  </conditionalFormatting>
  <conditionalFormatting sqref="ER111:ES111">
    <cfRule type="expression" dxfId="1879" priority="1687">
      <formula>ER$111="Pending"</formula>
    </cfRule>
  </conditionalFormatting>
  <conditionalFormatting sqref="ER112:ES112">
    <cfRule type="expression" dxfId="1878" priority="1685">
      <formula>ER$112="Pending"</formula>
    </cfRule>
  </conditionalFormatting>
  <conditionalFormatting sqref="ER113:ES113">
    <cfRule type="expression" dxfId="1877" priority="1683">
      <formula>ER$113="Pending"</formula>
    </cfRule>
  </conditionalFormatting>
  <conditionalFormatting sqref="ER114:ES114">
    <cfRule type="expression" dxfId="1876" priority="1681">
      <formula>ER$114="Pending"</formula>
    </cfRule>
  </conditionalFormatting>
  <conditionalFormatting sqref="ER115:ES115">
    <cfRule type="expression" dxfId="1875" priority="1679">
      <formula>ER$115="Pending"</formula>
    </cfRule>
  </conditionalFormatting>
  <conditionalFormatting sqref="ER116:ES116">
    <cfRule type="expression" dxfId="1874" priority="1677">
      <formula>ER$116="Pending"</formula>
    </cfRule>
  </conditionalFormatting>
  <conditionalFormatting sqref="ER117:ES117">
    <cfRule type="expression" dxfId="1873" priority="1675">
      <formula>ER$117="Pending"</formula>
    </cfRule>
  </conditionalFormatting>
  <conditionalFormatting sqref="ER118:ES118">
    <cfRule type="expression" dxfId="1872" priority="1673">
      <formula>ER$118="Pending"</formula>
    </cfRule>
  </conditionalFormatting>
  <conditionalFormatting sqref="ER119:ES119">
    <cfRule type="expression" dxfId="1871" priority="1671">
      <formula>ER$119="Pending"</formula>
    </cfRule>
  </conditionalFormatting>
  <conditionalFormatting sqref="ER120:ES120">
    <cfRule type="expression" dxfId="1870" priority="1669">
      <formula>ER$120="Pending"</formula>
    </cfRule>
  </conditionalFormatting>
  <conditionalFormatting sqref="ER121:ES121">
    <cfRule type="expression" dxfId="1869" priority="1667">
      <formula>ER$121="Pending"</formula>
    </cfRule>
  </conditionalFormatting>
  <conditionalFormatting sqref="ER122:ES122">
    <cfRule type="expression" dxfId="1868" priority="1665">
      <formula>ER$122="Pending"</formula>
    </cfRule>
  </conditionalFormatting>
  <conditionalFormatting sqref="ER52:EW52 ER55:EW55">
    <cfRule type="expression" dxfId="1867" priority="10594">
      <formula>AND($H$12&gt;=12, $H$12&lt;&gt;"Please Select")</formula>
    </cfRule>
  </conditionalFormatting>
  <conditionalFormatting sqref="ER53:EW54">
    <cfRule type="expression" dxfId="1866" priority="46">
      <formula>$ER$53&lt;&gt;""</formula>
    </cfRule>
  </conditionalFormatting>
  <conditionalFormatting sqref="ER126:EW126 ER129:EW129">
    <cfRule type="expression" dxfId="1865" priority="2717">
      <formula>AND($H$64&gt;=12, $H$64&lt;&gt;"Please Select")</formula>
    </cfRule>
  </conditionalFormatting>
  <conditionalFormatting sqref="ER127:EW128">
    <cfRule type="expression" dxfId="1864" priority="17">
      <formula>$ER$127&lt;&gt;""</formula>
    </cfRule>
  </conditionalFormatting>
  <conditionalFormatting sqref="ES30">
    <cfRule type="expression" dxfId="1863" priority="10642">
      <formula>AND($H$12&gt;=12, $H$12&lt;&gt;"Please Select")</formula>
    </cfRule>
  </conditionalFormatting>
  <conditionalFormatting sqref="ES34">
    <cfRule type="expression" dxfId="1862" priority="10639">
      <formula>AND($H$12&gt;=12, $H$12&lt;&gt;"Please Select")</formula>
    </cfRule>
    <cfRule type="expression" dxfId="1861" priority="186">
      <formula>$ES$34="Pending"</formula>
    </cfRule>
  </conditionalFormatting>
  <conditionalFormatting sqref="ES35">
    <cfRule type="expression" dxfId="1860" priority="10619">
      <formula>ES$34&lt;&gt;""</formula>
    </cfRule>
  </conditionalFormatting>
  <conditionalFormatting sqref="ES87">
    <cfRule type="expression" dxfId="1859" priority="2720">
      <formula>AND($H$64&gt;=12, $H$64&lt;&gt;"Please Select")</formula>
    </cfRule>
  </conditionalFormatting>
  <conditionalFormatting sqref="ET97:EU97">
    <cfRule type="expression" dxfId="1858" priority="1714">
      <formula>ET$97&lt;&gt;""</formula>
    </cfRule>
  </conditionalFormatting>
  <conditionalFormatting sqref="ET98:EU98">
    <cfRule type="expression" dxfId="1857" priority="1712">
      <formula>ER$98="Pending"</formula>
    </cfRule>
  </conditionalFormatting>
  <conditionalFormatting sqref="ET99:EU99">
    <cfRule type="expression" dxfId="1856" priority="1710">
      <formula>ER$99="Pending"</formula>
    </cfRule>
  </conditionalFormatting>
  <conditionalFormatting sqref="ET100:EU100">
    <cfRule type="expression" dxfId="1855" priority="1708">
      <formula>ER$100="Pending"</formula>
    </cfRule>
  </conditionalFormatting>
  <conditionalFormatting sqref="ET101:EU101">
    <cfRule type="expression" dxfId="1854" priority="1706">
      <formula>ER$101="Pending"</formula>
    </cfRule>
  </conditionalFormatting>
  <conditionalFormatting sqref="ET102:EU102">
    <cfRule type="expression" dxfId="1853" priority="1704">
      <formula>ER$102="Pending"</formula>
    </cfRule>
  </conditionalFormatting>
  <conditionalFormatting sqref="ET103:EU103">
    <cfRule type="expression" dxfId="1852" priority="1702">
      <formula>ER$103="Pending"</formula>
    </cfRule>
  </conditionalFormatting>
  <conditionalFormatting sqref="ET104:EU104">
    <cfRule type="expression" dxfId="1851" priority="1700">
      <formula>ER$104="Pending"</formula>
    </cfRule>
  </conditionalFormatting>
  <conditionalFormatting sqref="ET105:EU105">
    <cfRule type="expression" dxfId="1850" priority="1698">
      <formula>ER$105="Pending"</formula>
    </cfRule>
  </conditionalFormatting>
  <conditionalFormatting sqref="ET106:EU106">
    <cfRule type="expression" dxfId="1849" priority="1696">
      <formula>ER$106="Pending"</formula>
    </cfRule>
  </conditionalFormatting>
  <conditionalFormatting sqref="ET107:EU107">
    <cfRule type="expression" dxfId="1848" priority="1694">
      <formula>ER$107="Pending"</formula>
    </cfRule>
  </conditionalFormatting>
  <conditionalFormatting sqref="ET108:EU108">
    <cfRule type="expression" dxfId="1847" priority="1692">
      <formula>ER$108="Pending"</formula>
    </cfRule>
  </conditionalFormatting>
  <conditionalFormatting sqref="ET109:EU109">
    <cfRule type="expression" dxfId="1846" priority="1690">
      <formula>ER$109="Pending"</formula>
    </cfRule>
  </conditionalFormatting>
  <conditionalFormatting sqref="ET110:EU110">
    <cfRule type="expression" dxfId="1845" priority="1688">
      <formula>ER$110="Pending"</formula>
    </cfRule>
  </conditionalFormatting>
  <conditionalFormatting sqref="ET111:EU111">
    <cfRule type="expression" dxfId="1844" priority="1686">
      <formula>ER$111="Pending"</formula>
    </cfRule>
  </conditionalFormatting>
  <conditionalFormatting sqref="ET112:EU112">
    <cfRule type="expression" dxfId="1843" priority="1684">
      <formula>ER$112="Pending"</formula>
    </cfRule>
  </conditionalFormatting>
  <conditionalFormatting sqref="ET113:EU113">
    <cfRule type="expression" dxfId="1842" priority="1682">
      <formula>ER$113="Pending"</formula>
    </cfRule>
  </conditionalFormatting>
  <conditionalFormatting sqref="ET114:EU114">
    <cfRule type="expression" dxfId="1841" priority="1680">
      <formula>ER$114="Pending"</formula>
    </cfRule>
  </conditionalFormatting>
  <conditionalFormatting sqref="ET115:EU115">
    <cfRule type="expression" dxfId="1840" priority="1678">
      <formula>ER$115="Pending"</formula>
    </cfRule>
  </conditionalFormatting>
  <conditionalFormatting sqref="ET116:EU116">
    <cfRule type="expression" dxfId="1839" priority="1676">
      <formula>ER$116="Pending"</formula>
    </cfRule>
  </conditionalFormatting>
  <conditionalFormatting sqref="ET117:EU117">
    <cfRule type="expression" dxfId="1838" priority="1674">
      <formula>ER$117="Pending"</formula>
    </cfRule>
  </conditionalFormatting>
  <conditionalFormatting sqref="ET118:EU118">
    <cfRule type="expression" dxfId="1837" priority="1672">
      <formula>ER$118="Pending"</formula>
    </cfRule>
  </conditionalFormatting>
  <conditionalFormatting sqref="ET119:EU119">
    <cfRule type="expression" dxfId="1836" priority="1670">
      <formula>ER$119="Pending"</formula>
    </cfRule>
  </conditionalFormatting>
  <conditionalFormatting sqref="ET120:EU120">
    <cfRule type="expression" dxfId="1835" priority="1668">
      <formula>ER$120="Pending"</formula>
    </cfRule>
  </conditionalFormatting>
  <conditionalFormatting sqref="ET121:EU121">
    <cfRule type="expression" dxfId="1834" priority="1666">
      <formula>ER$121="Pending"</formula>
    </cfRule>
  </conditionalFormatting>
  <conditionalFormatting sqref="ET122:EU122">
    <cfRule type="expression" dxfId="1833" priority="1664">
      <formula>ER$122="Pending"</formula>
    </cfRule>
  </conditionalFormatting>
  <conditionalFormatting sqref="EV27:EY28">
    <cfRule type="expression" dxfId="1832" priority="5597">
      <formula>$EV$27&lt;&gt;""</formula>
    </cfRule>
  </conditionalFormatting>
  <conditionalFormatting sqref="EV84:EY85">
    <cfRule type="expression" dxfId="1831" priority="2724">
      <formula>EV$84&lt;&gt;""</formula>
    </cfRule>
  </conditionalFormatting>
  <conditionalFormatting sqref="EV147:EY148">
    <cfRule type="expression" dxfId="1830" priority="269">
      <formula>$EV$27&lt;&gt;""</formula>
    </cfRule>
  </conditionalFormatting>
  <conditionalFormatting sqref="EX55:FA55">
    <cfRule type="expression" dxfId="1829" priority="619">
      <formula>EX55&lt;&gt;""</formula>
    </cfRule>
  </conditionalFormatting>
  <conditionalFormatting sqref="EX129:FA129">
    <cfRule type="expression" dxfId="1828" priority="594">
      <formula>EX129&lt;&gt;""</formula>
    </cfRule>
  </conditionalFormatting>
  <conditionalFormatting sqref="FB41">
    <cfRule type="expression" dxfId="1827" priority="10362">
      <formula>AND($H$12&gt;=13, $H$12&lt;&gt;"Please Select")</formula>
    </cfRule>
  </conditionalFormatting>
  <conditionalFormatting sqref="FB44:FB48">
    <cfRule type="expression" dxfId="1826" priority="5524">
      <formula>AND($H$12&gt;=13, $H$12&lt;&gt;"Please Select")</formula>
    </cfRule>
  </conditionalFormatting>
  <conditionalFormatting sqref="FB96">
    <cfRule type="expression" dxfId="1825" priority="1660">
      <formula>AND($H$64&gt;=13, $H$64&lt;&gt;"Please Select")</formula>
    </cfRule>
  </conditionalFormatting>
  <conditionalFormatting sqref="FB98:FD122">
    <cfRule type="expression" dxfId="1824" priority="1662">
      <formula>AND($H$64&gt;=13, $H$64&lt;&gt;"Please Select")</formula>
    </cfRule>
  </conditionalFormatting>
  <conditionalFormatting sqref="FB43:FE43">
    <cfRule type="expression" dxfId="1823" priority="5525">
      <formula>AND($H$12&gt;=13, $H$12&lt;&gt;"Please Select")</formula>
    </cfRule>
  </conditionalFormatting>
  <conditionalFormatting sqref="FB39:FF40">
    <cfRule type="expression" dxfId="1822" priority="5527">
      <formula>AND($H$12&gt;=13, $H$12&lt;&gt;"Please Select")</formula>
    </cfRule>
  </conditionalFormatting>
  <conditionalFormatting sqref="FB97:FF97">
    <cfRule type="expression" dxfId="1821" priority="1663">
      <formula>AND($H$64&gt;=13, $H$64&lt;&gt;"Please Select")</formula>
    </cfRule>
  </conditionalFormatting>
  <conditionalFormatting sqref="FB25:FH25">
    <cfRule type="expression" dxfId="1820" priority="10375">
      <formula>AND($H$12&gt;=13, $H$12&lt;&gt;"Please Select")</formula>
    </cfRule>
  </conditionalFormatting>
  <conditionalFormatting sqref="FB82:FH82">
    <cfRule type="expression" dxfId="1819" priority="2703">
      <formula>AND($H$64&gt;=13, $H$64&lt;&gt;"Please Select")</formula>
    </cfRule>
  </conditionalFormatting>
  <conditionalFormatting sqref="FB51:FJ51">
    <cfRule type="expression" dxfId="1818" priority="10348">
      <formula>AND($H$12&gt;=13, $H$12&lt;&gt;"Please Select")</formula>
    </cfRule>
  </conditionalFormatting>
  <conditionalFormatting sqref="FB125:FJ125">
    <cfRule type="expression" dxfId="1817" priority="2698">
      <formula>AND($H$64&gt;=13, $H$64&lt;&gt;"Please Select")</formula>
    </cfRule>
  </conditionalFormatting>
  <conditionalFormatting sqref="FC30:FD30">
    <cfRule type="expression" dxfId="1816" priority="10371">
      <formula>AND($H$12&gt;=13, $H$12&lt;&gt;"Please Select")</formula>
    </cfRule>
  </conditionalFormatting>
  <conditionalFormatting sqref="FC87:FD87">
    <cfRule type="expression" dxfId="1815" priority="2701">
      <formula>AND($H$64&gt;=13, $H$64&lt;&gt;"Please Select")</formula>
    </cfRule>
  </conditionalFormatting>
  <conditionalFormatting sqref="FC44:FE48">
    <cfRule type="expression" dxfId="1814" priority="10355">
      <formula>AND($H$12&gt;=13, $H$12&lt;&gt;"Please Select")</formula>
    </cfRule>
  </conditionalFormatting>
  <conditionalFormatting sqref="FC27:FF29">
    <cfRule type="expression" dxfId="1813" priority="10372">
      <formula>AND($H$12&gt;=13, $H$12&lt;&gt;"Please Select")</formula>
    </cfRule>
  </conditionalFormatting>
  <conditionalFormatting sqref="FC41:FF41">
    <cfRule type="expression" dxfId="1812" priority="5526">
      <formula>AND($H$12&gt;=13, $H$12&lt;&gt;"Please Select")</formula>
    </cfRule>
  </conditionalFormatting>
  <conditionalFormatting sqref="FC84:FF86">
    <cfRule type="expression" dxfId="1811" priority="2702">
      <formula>AND($H$64&gt;=13, $H$64&lt;&gt;"Please Select")</formula>
    </cfRule>
  </conditionalFormatting>
  <conditionalFormatting sqref="FD31">
    <cfRule type="expression" dxfId="1810" priority="10369">
      <formula>AND($H$12&gt;=13, $H$12&lt;&gt;"Please Select")</formula>
    </cfRule>
  </conditionalFormatting>
  <conditionalFormatting sqref="FD88">
    <cfRule type="expression" dxfId="1809" priority="2699">
      <formula>AND($H$64&gt;=13, $H$64&lt;&gt;"Please Select")</formula>
    </cfRule>
  </conditionalFormatting>
  <conditionalFormatting sqref="FD91:FE91">
    <cfRule type="expression" dxfId="1808" priority="154">
      <formula>AND($H$64&gt;=13, $H$64&lt;&gt;"Please Select")</formula>
    </cfRule>
    <cfRule type="expression" dxfId="1807" priority="153">
      <formula>$FD$91="No"</formula>
    </cfRule>
  </conditionalFormatting>
  <conditionalFormatting sqref="FD92:FE92">
    <cfRule type="expression" dxfId="1806" priority="2689">
      <formula>AND($H$64&gt;=13, $H$64&lt;&gt;"Please Select")</formula>
    </cfRule>
  </conditionalFormatting>
  <conditionalFormatting sqref="FD95:FE95">
    <cfRule type="expression" dxfId="1805" priority="656">
      <formula>AND($H$64&gt;=13, $H$64&lt;&gt;"Please Select")</formula>
    </cfRule>
  </conditionalFormatting>
  <conditionalFormatting sqref="FD33:FF33">
    <cfRule type="expression" dxfId="1804" priority="10368">
      <formula>AND($H$12&gt;=13, $H$12&lt;&gt;"Please Select")</formula>
    </cfRule>
  </conditionalFormatting>
  <conditionalFormatting sqref="FE98">
    <cfRule type="expression" dxfId="1803" priority="1658">
      <formula>FE$98="Pending"</formula>
    </cfRule>
  </conditionalFormatting>
  <conditionalFormatting sqref="FE98:FF122">
    <cfRule type="expression" dxfId="1802" priority="1661">
      <formula>AND($H$64&gt;=13, $H$64&lt;&gt;"Please Select")</formula>
    </cfRule>
  </conditionalFormatting>
  <conditionalFormatting sqref="FE99:FF99">
    <cfRule type="expression" dxfId="1801" priority="1656">
      <formula>FE$99="Pending"</formula>
    </cfRule>
  </conditionalFormatting>
  <conditionalFormatting sqref="FE100:FF100">
    <cfRule type="expression" dxfId="1800" priority="1654">
      <formula>FE$100="Pending"</formula>
    </cfRule>
  </conditionalFormatting>
  <conditionalFormatting sqref="FE101:FF101">
    <cfRule type="expression" dxfId="1799" priority="1652">
      <formula>FE$101="Pending"</formula>
    </cfRule>
  </conditionalFormatting>
  <conditionalFormatting sqref="FE102:FF102">
    <cfRule type="expression" dxfId="1798" priority="1650">
      <formula>FE$102="Pending"</formula>
    </cfRule>
  </conditionalFormatting>
  <conditionalFormatting sqref="FE103:FF103">
    <cfRule type="expression" dxfId="1797" priority="1648">
      <formula>FE$103="Pending"</formula>
    </cfRule>
  </conditionalFormatting>
  <conditionalFormatting sqref="FE104:FF104">
    <cfRule type="expression" dxfId="1796" priority="1646">
      <formula>FE$104="Pending"</formula>
    </cfRule>
  </conditionalFormatting>
  <conditionalFormatting sqref="FE105:FF105">
    <cfRule type="expression" dxfId="1795" priority="1644">
      <formula>FE$105="Pending"</formula>
    </cfRule>
  </conditionalFormatting>
  <conditionalFormatting sqref="FE106:FF106">
    <cfRule type="expression" dxfId="1794" priority="1642">
      <formula>FE$106="Pending"</formula>
    </cfRule>
  </conditionalFormatting>
  <conditionalFormatting sqref="FE107:FF107">
    <cfRule type="expression" dxfId="1793" priority="1640">
      <formula>FE$107="Pending"</formula>
    </cfRule>
  </conditionalFormatting>
  <conditionalFormatting sqref="FE108:FF108">
    <cfRule type="expression" dxfId="1792" priority="1638">
      <formula>FE$108="Pending"</formula>
    </cfRule>
  </conditionalFormatting>
  <conditionalFormatting sqref="FE109:FF109">
    <cfRule type="expression" dxfId="1791" priority="1636">
      <formula>FE$109="Pending"</formula>
    </cfRule>
  </conditionalFormatting>
  <conditionalFormatting sqref="FE110:FF110">
    <cfRule type="expression" dxfId="1790" priority="1634">
      <formula>FE$110="Pending"</formula>
    </cfRule>
  </conditionalFormatting>
  <conditionalFormatting sqref="FE111:FF111">
    <cfRule type="expression" dxfId="1789" priority="1632">
      <formula>FE$111="Pending"</formula>
    </cfRule>
  </conditionalFormatting>
  <conditionalFormatting sqref="FE112:FF112">
    <cfRule type="expression" dxfId="1788" priority="1630">
      <formula>FE$112="Pending"</formula>
    </cfRule>
  </conditionalFormatting>
  <conditionalFormatting sqref="FE113:FF113">
    <cfRule type="expression" dxfId="1787" priority="1628">
      <formula>FE$113="Pending"</formula>
    </cfRule>
  </conditionalFormatting>
  <conditionalFormatting sqref="FE114:FF114">
    <cfRule type="expression" dxfId="1786" priority="1626">
      <formula>FE$114="Pending"</formula>
    </cfRule>
  </conditionalFormatting>
  <conditionalFormatting sqref="FE115:FF115">
    <cfRule type="expression" dxfId="1785" priority="1624">
      <formula>FE$115="Pending"</formula>
    </cfRule>
  </conditionalFormatting>
  <conditionalFormatting sqref="FE116:FF116">
    <cfRule type="expression" dxfId="1784" priority="1622">
      <formula>FE$116="Pending"</formula>
    </cfRule>
  </conditionalFormatting>
  <conditionalFormatting sqref="FE117:FF117">
    <cfRule type="expression" dxfId="1783" priority="1620">
      <formula>FE$117="Pending"</formula>
    </cfRule>
  </conditionalFormatting>
  <conditionalFormatting sqref="FE118:FF118">
    <cfRule type="expression" dxfId="1782" priority="1618">
      <formula>FE$118="Pending"</formula>
    </cfRule>
  </conditionalFormatting>
  <conditionalFormatting sqref="FE119:FF119">
    <cfRule type="expression" dxfId="1781" priority="1616">
      <formula>FE$119="Pending"</formula>
    </cfRule>
  </conditionalFormatting>
  <conditionalFormatting sqref="FE120:FF120">
    <cfRule type="expression" dxfId="1780" priority="1614">
      <formula>FE$120="Pending"</formula>
    </cfRule>
  </conditionalFormatting>
  <conditionalFormatting sqref="FE121:FF121">
    <cfRule type="expression" dxfId="1779" priority="1612">
      <formula>FE$121="Pending"</formula>
    </cfRule>
  </conditionalFormatting>
  <conditionalFormatting sqref="FE122:FF122">
    <cfRule type="expression" dxfId="1778" priority="1610">
      <formula>FE$122="Pending"</formula>
    </cfRule>
  </conditionalFormatting>
  <conditionalFormatting sqref="FE52:FJ52 FE55:FJ55">
    <cfRule type="expression" dxfId="1777" priority="10322">
      <formula>AND($H$12&gt;=13, $H$12&lt;&gt;"Please Select")</formula>
    </cfRule>
  </conditionalFormatting>
  <conditionalFormatting sqref="FE53:FJ54">
    <cfRule type="expression" dxfId="1776" priority="47">
      <formula>$FE$53&lt;&gt;""</formula>
    </cfRule>
  </conditionalFormatting>
  <conditionalFormatting sqref="FE126:FJ126 FE129:FJ129">
    <cfRule type="expression" dxfId="1775" priority="2697">
      <formula>AND($H$64&gt;=13, $H$64&lt;&gt;"Please Select")</formula>
    </cfRule>
  </conditionalFormatting>
  <conditionalFormatting sqref="FE127:FJ128">
    <cfRule type="expression" dxfId="1774" priority="18">
      <formula>$FE$127&lt;&gt;""</formula>
    </cfRule>
  </conditionalFormatting>
  <conditionalFormatting sqref="FF30">
    <cfRule type="expression" dxfId="1773" priority="10370">
      <formula>AND($H$12&gt;=13, $H$12&lt;&gt;"Please Select")</formula>
    </cfRule>
  </conditionalFormatting>
  <conditionalFormatting sqref="FF34">
    <cfRule type="expression" dxfId="1772" priority="187">
      <formula>$FF$34="Pending"</formula>
    </cfRule>
    <cfRule type="expression" dxfId="1771" priority="10367">
      <formula>AND($H$12&gt;=13, $H$12&lt;&gt;"Please Select")</formula>
    </cfRule>
  </conditionalFormatting>
  <conditionalFormatting sqref="FF35">
    <cfRule type="expression" dxfId="1770" priority="10347">
      <formula>FF$34&lt;&gt;""</formula>
    </cfRule>
  </conditionalFormatting>
  <conditionalFormatting sqref="FF87">
    <cfRule type="expression" dxfId="1769" priority="2700">
      <formula>AND($H$64&gt;=13, $H$64&lt;&gt;"Please Select")</formula>
    </cfRule>
  </conditionalFormatting>
  <conditionalFormatting sqref="FG97:FH97">
    <cfRule type="expression" dxfId="1768" priority="1659">
      <formula>FG$97&lt;&gt;""</formula>
    </cfRule>
  </conditionalFormatting>
  <conditionalFormatting sqref="FG98:FH98">
    <cfRule type="expression" dxfId="1767" priority="1657">
      <formula>FE$98="Pending"</formula>
    </cfRule>
  </conditionalFormatting>
  <conditionalFormatting sqref="FG99:FH99">
    <cfRule type="expression" dxfId="1766" priority="1655">
      <formula>FE$99="Pending"</formula>
    </cfRule>
  </conditionalFormatting>
  <conditionalFormatting sqref="FG100:FH100">
    <cfRule type="expression" dxfId="1765" priority="1653">
      <formula>FE$100="Pending"</formula>
    </cfRule>
  </conditionalFormatting>
  <conditionalFormatting sqref="FG101:FH101">
    <cfRule type="expression" dxfId="1764" priority="1651">
      <formula>FE$101="Pending"</formula>
    </cfRule>
  </conditionalFormatting>
  <conditionalFormatting sqref="FG102:FH102">
    <cfRule type="expression" dxfId="1763" priority="1649">
      <formula>FE$102="Pending"</formula>
    </cfRule>
  </conditionalFormatting>
  <conditionalFormatting sqref="FG103:FH103">
    <cfRule type="expression" dxfId="1762" priority="1647">
      <formula>FE$103="Pending"</formula>
    </cfRule>
  </conditionalFormatting>
  <conditionalFormatting sqref="FG104:FH104">
    <cfRule type="expression" dxfId="1761" priority="1645">
      <formula>FE$104="Pending"</formula>
    </cfRule>
  </conditionalFormatting>
  <conditionalFormatting sqref="FG105:FH105">
    <cfRule type="expression" dxfId="1760" priority="1643">
      <formula>FE$105="Pending"</formula>
    </cfRule>
  </conditionalFormatting>
  <conditionalFormatting sqref="FG106:FH106">
    <cfRule type="expression" dxfId="1759" priority="1641">
      <formula>FE$106="Pending"</formula>
    </cfRule>
  </conditionalFormatting>
  <conditionalFormatting sqref="FG107:FH107">
    <cfRule type="expression" dxfId="1758" priority="1639">
      <formula>FE$107="Pending"</formula>
    </cfRule>
  </conditionalFormatting>
  <conditionalFormatting sqref="FG108:FH108">
    <cfRule type="expression" dxfId="1757" priority="1637">
      <formula>FE$108="Pending"</formula>
    </cfRule>
  </conditionalFormatting>
  <conditionalFormatting sqref="FG109:FH109">
    <cfRule type="expression" dxfId="1756" priority="1635">
      <formula>FE$109="Pending"</formula>
    </cfRule>
  </conditionalFormatting>
  <conditionalFormatting sqref="FG110:FH110">
    <cfRule type="expression" dxfId="1755" priority="1633">
      <formula>FE$110="Pending"</formula>
    </cfRule>
  </conditionalFormatting>
  <conditionalFormatting sqref="FG111:FH111">
    <cfRule type="expression" dxfId="1754" priority="1631">
      <formula>FE$111="Pending"</formula>
    </cfRule>
  </conditionalFormatting>
  <conditionalFormatting sqref="FG112:FH112">
    <cfRule type="expression" dxfId="1753" priority="1629">
      <formula>FE$112="Pending"</formula>
    </cfRule>
  </conditionalFormatting>
  <conditionalFormatting sqref="FG113:FH113">
    <cfRule type="expression" dxfId="1752" priority="1627">
      <formula>FE$113="Pending"</formula>
    </cfRule>
  </conditionalFormatting>
  <conditionalFormatting sqref="FG114:FH114">
    <cfRule type="expression" dxfId="1751" priority="1625">
      <formula>FE$114="Pending"</formula>
    </cfRule>
  </conditionalFormatting>
  <conditionalFormatting sqref="FG115:FH115">
    <cfRule type="expression" dxfId="1750" priority="1623">
      <formula>FE$115="Pending"</formula>
    </cfRule>
  </conditionalFormatting>
  <conditionalFormatting sqref="FG116:FH116">
    <cfRule type="expression" dxfId="1749" priority="1621">
      <formula>FE$116="Pending"</formula>
    </cfRule>
  </conditionalFormatting>
  <conditionalFormatting sqref="FG117:FH117">
    <cfRule type="expression" dxfId="1748" priority="1619">
      <formula>FE$117="Pending"</formula>
    </cfRule>
  </conditionalFormatting>
  <conditionalFormatting sqref="FG118:FH118">
    <cfRule type="expression" dxfId="1747" priority="1617">
      <formula>FE$118="Pending"</formula>
    </cfRule>
  </conditionalFormatting>
  <conditionalFormatting sqref="FG119:FH119">
    <cfRule type="expression" dxfId="1746" priority="1615">
      <formula>FE$119="Pending"</formula>
    </cfRule>
  </conditionalFormatting>
  <conditionalFormatting sqref="FG120:FH120">
    <cfRule type="expression" dxfId="1745" priority="1613">
      <formula>FE$120="Pending"</formula>
    </cfRule>
  </conditionalFormatting>
  <conditionalFormatting sqref="FG121:FH121">
    <cfRule type="expression" dxfId="1744" priority="1611">
      <formula>FE$121="Pending"</formula>
    </cfRule>
  </conditionalFormatting>
  <conditionalFormatting sqref="FG122:FH122">
    <cfRule type="expression" dxfId="1743" priority="1609">
      <formula>FE$122="Pending"</formula>
    </cfRule>
  </conditionalFormatting>
  <conditionalFormatting sqref="FI27:FL28">
    <cfRule type="expression" dxfId="1742" priority="5596">
      <formula>$FI$27&lt;&gt;""</formula>
    </cfRule>
  </conditionalFormatting>
  <conditionalFormatting sqref="FI84:FL85">
    <cfRule type="expression" dxfId="1741" priority="2704">
      <formula>FI$84&lt;&gt;""</formula>
    </cfRule>
  </conditionalFormatting>
  <conditionalFormatting sqref="FI147:FL148">
    <cfRule type="expression" dxfId="1740" priority="268">
      <formula>$FI$27&lt;&gt;""</formula>
    </cfRule>
  </conditionalFormatting>
  <conditionalFormatting sqref="FK55:FN55">
    <cfRule type="expression" dxfId="1739" priority="620">
      <formula>FK55&lt;&gt;""</formula>
    </cfRule>
  </conditionalFormatting>
  <conditionalFormatting sqref="FK129:FN129">
    <cfRule type="expression" dxfId="1738" priority="593">
      <formula>FK129&lt;&gt;""</formula>
    </cfRule>
  </conditionalFormatting>
  <conditionalFormatting sqref="FO41">
    <cfRule type="expression" dxfId="1737" priority="10090">
      <formula>AND($H$12&gt;=14, $H$12&lt;&gt;"Please Select")</formula>
    </cfRule>
  </conditionalFormatting>
  <conditionalFormatting sqref="FO44:FO48">
    <cfRule type="expression" dxfId="1736" priority="10079">
      <formula>AND($H$12&gt;=14, $H$12&lt;&gt;"Please Select")</formula>
    </cfRule>
  </conditionalFormatting>
  <conditionalFormatting sqref="FO96">
    <cfRule type="expression" dxfId="1735" priority="1605">
      <formula>AND($H$64&gt;=14, $H$64&lt;&gt;"Please Select")</formula>
    </cfRule>
  </conditionalFormatting>
  <conditionalFormatting sqref="FO98:FQ122">
    <cfRule type="expression" dxfId="1734" priority="1607">
      <formula>AND($H$64&gt;=14, $H$64&lt;&gt;"Please Select")</formula>
    </cfRule>
  </conditionalFormatting>
  <conditionalFormatting sqref="FO43:FR43">
    <cfRule type="expression" dxfId="1733" priority="10077">
      <formula>AND($H$12&gt;=14, $H$12&lt;&gt;"Please Select")</formula>
    </cfRule>
  </conditionalFormatting>
  <conditionalFormatting sqref="FO39:FS40">
    <cfRule type="expression" dxfId="1732" priority="10091">
      <formula>AND($H$12&gt;=14, $H$12&lt;&gt;"Please Select")</formula>
    </cfRule>
  </conditionalFormatting>
  <conditionalFormatting sqref="FO97:FS97">
    <cfRule type="expression" dxfId="1731" priority="1608">
      <formula>AND($H$64&gt;=14, $H$64&lt;&gt;"Please Select")</formula>
    </cfRule>
  </conditionalFormatting>
  <conditionalFormatting sqref="FO25:FU25">
    <cfRule type="expression" dxfId="1730" priority="10103">
      <formula>AND($H$12&gt;=14, $H$12&lt;&gt;"Please Select")</formula>
    </cfRule>
  </conditionalFormatting>
  <conditionalFormatting sqref="FO82:FU82">
    <cfRule type="expression" dxfId="1729" priority="2683">
      <formula>AND($H$64&gt;=14, $H$64&lt;&gt;"Please Select")</formula>
    </cfRule>
  </conditionalFormatting>
  <conditionalFormatting sqref="FO51:FW51">
    <cfRule type="expression" dxfId="1728" priority="10076">
      <formula>AND($H$12&gt;=14, $H$12&lt;&gt;"Please Select")</formula>
    </cfRule>
  </conditionalFormatting>
  <conditionalFormatting sqref="FO125:FW125">
    <cfRule type="expression" dxfId="1727" priority="2678">
      <formula>AND($H$64&gt;=14, $H$64&lt;&gt;"Please Select")</formula>
    </cfRule>
  </conditionalFormatting>
  <conditionalFormatting sqref="FP30:FQ30">
    <cfRule type="expression" dxfId="1726" priority="10099">
      <formula>AND($H$12&gt;=14, $H$12&lt;&gt;"Please Select")</formula>
    </cfRule>
  </conditionalFormatting>
  <conditionalFormatting sqref="FP87:FQ87">
    <cfRule type="expression" dxfId="1725" priority="2681">
      <formula>AND($H$64&gt;=14, $H$64&lt;&gt;"Please Select")</formula>
    </cfRule>
  </conditionalFormatting>
  <conditionalFormatting sqref="FP44:FR48">
    <cfRule type="expression" dxfId="1724" priority="10083">
      <formula>AND($H$12&gt;=14, $H$12&lt;&gt;"Please Select")</formula>
    </cfRule>
  </conditionalFormatting>
  <conditionalFormatting sqref="FP27:FS29">
    <cfRule type="expression" dxfId="1723" priority="10100">
      <formula>AND($H$12&gt;=14, $H$12&lt;&gt;"Please Select")</formula>
    </cfRule>
  </conditionalFormatting>
  <conditionalFormatting sqref="FP41:FS41">
    <cfRule type="expression" dxfId="1722" priority="10085">
      <formula>AND($H$12&gt;=14, $H$12&lt;&gt;"Please Select")</formula>
    </cfRule>
  </conditionalFormatting>
  <conditionalFormatting sqref="FP84:FS86">
    <cfRule type="expression" dxfId="1721" priority="2682">
      <formula>AND($H$64&gt;=14, $H$64&lt;&gt;"Please Select")</formula>
    </cfRule>
  </conditionalFormatting>
  <conditionalFormatting sqref="FQ31">
    <cfRule type="expression" dxfId="1720" priority="10097">
      <formula>AND($H$12&gt;=14, $H$12&lt;&gt;"Please Select")</formula>
    </cfRule>
  </conditionalFormatting>
  <conditionalFormatting sqref="FQ88">
    <cfRule type="expression" dxfId="1719" priority="2679">
      <formula>AND($H$64&gt;=14, $H$64&lt;&gt;"Please Select")</formula>
    </cfRule>
  </conditionalFormatting>
  <conditionalFormatting sqref="FQ91:FR91">
    <cfRule type="expression" dxfId="1718" priority="151">
      <formula>$FQ$91="No"</formula>
    </cfRule>
    <cfRule type="expression" dxfId="1717" priority="152">
      <formula>AND($H$64&gt;=14, $H$64&lt;&gt;"Please Select")</formula>
    </cfRule>
  </conditionalFormatting>
  <conditionalFormatting sqref="FQ92:FR92">
    <cfRule type="expression" dxfId="1716" priority="2669">
      <formula>AND($H$64&gt;=14, $H$64&lt;&gt;"Please Select")</formula>
    </cfRule>
  </conditionalFormatting>
  <conditionalFormatting sqref="FQ95:FR95">
    <cfRule type="expression" dxfId="1715" priority="655">
      <formula>AND($H$64&gt;=14, $H$64&lt;&gt;"Please Select")</formula>
    </cfRule>
  </conditionalFormatting>
  <conditionalFormatting sqref="FQ33:FS33">
    <cfRule type="expression" dxfId="1714" priority="10096">
      <formula>AND($H$12&gt;=14, $H$12&lt;&gt;"Please Select")</formula>
    </cfRule>
  </conditionalFormatting>
  <conditionalFormatting sqref="FR98">
    <cfRule type="expression" dxfId="1713" priority="1603">
      <formula>FR$98="Pending"</formula>
    </cfRule>
  </conditionalFormatting>
  <conditionalFormatting sqref="FR98:FS122">
    <cfRule type="expression" dxfId="1712" priority="1606">
      <formula>AND($H$64&gt;=14, $H$64&lt;&gt;"Please Select")</formula>
    </cfRule>
  </conditionalFormatting>
  <conditionalFormatting sqref="FR99:FS99">
    <cfRule type="expression" dxfId="1711" priority="1601">
      <formula>FR$99="Pending"</formula>
    </cfRule>
  </conditionalFormatting>
  <conditionalFormatting sqref="FR100:FS100">
    <cfRule type="expression" dxfId="1710" priority="1599">
      <formula>FR$100="Pending"</formula>
    </cfRule>
  </conditionalFormatting>
  <conditionalFormatting sqref="FR101:FS101">
    <cfRule type="expression" dxfId="1709" priority="1597">
      <formula>FR$101="Pending"</formula>
    </cfRule>
  </conditionalFormatting>
  <conditionalFormatting sqref="FR102:FS102">
    <cfRule type="expression" dxfId="1708" priority="1595">
      <formula>FR$102="Pending"</formula>
    </cfRule>
  </conditionalFormatting>
  <conditionalFormatting sqref="FR103:FS103">
    <cfRule type="expression" dxfId="1707" priority="1593">
      <formula>FR$103="Pending"</formula>
    </cfRule>
  </conditionalFormatting>
  <conditionalFormatting sqref="FR104:FS104">
    <cfRule type="expression" dxfId="1706" priority="1591">
      <formula>FR$104="Pending"</formula>
    </cfRule>
  </conditionalFormatting>
  <conditionalFormatting sqref="FR105:FS105">
    <cfRule type="expression" dxfId="1705" priority="1589">
      <formula>FR$105="Pending"</formula>
    </cfRule>
  </conditionalFormatting>
  <conditionalFormatting sqref="FR106:FS106">
    <cfRule type="expression" dxfId="1704" priority="1587">
      <formula>FR$106="Pending"</formula>
    </cfRule>
  </conditionalFormatting>
  <conditionalFormatting sqref="FR107:FS107">
    <cfRule type="expression" dxfId="1703" priority="1585">
      <formula>FR$107="Pending"</formula>
    </cfRule>
  </conditionalFormatting>
  <conditionalFormatting sqref="FR108:FS108">
    <cfRule type="expression" dxfId="1702" priority="1583">
      <formula>FR$108="Pending"</formula>
    </cfRule>
  </conditionalFormatting>
  <conditionalFormatting sqref="FR109:FS109">
    <cfRule type="expression" dxfId="1701" priority="1581">
      <formula>FR$109="Pending"</formula>
    </cfRule>
  </conditionalFormatting>
  <conditionalFormatting sqref="FR110:FS110">
    <cfRule type="expression" dxfId="1700" priority="1579">
      <formula>FR$110="Pending"</formula>
    </cfRule>
  </conditionalFormatting>
  <conditionalFormatting sqref="FR111:FS111">
    <cfRule type="expression" dxfId="1699" priority="1577">
      <formula>FR$111="Pending"</formula>
    </cfRule>
  </conditionalFormatting>
  <conditionalFormatting sqref="FR112:FS112">
    <cfRule type="expression" dxfId="1698" priority="1575">
      <formula>FR$112="Pending"</formula>
    </cfRule>
  </conditionalFormatting>
  <conditionalFormatting sqref="FR113:FS113">
    <cfRule type="expression" dxfId="1697" priority="1573">
      <formula>FR$113="Pending"</formula>
    </cfRule>
  </conditionalFormatting>
  <conditionalFormatting sqref="FR114:FS114">
    <cfRule type="expression" dxfId="1696" priority="1571">
      <formula>FR$114="Pending"</formula>
    </cfRule>
  </conditionalFormatting>
  <conditionalFormatting sqref="FR115:FS115">
    <cfRule type="expression" dxfId="1695" priority="1569">
      <formula>FR$115="Pending"</formula>
    </cfRule>
  </conditionalFormatting>
  <conditionalFormatting sqref="FR116:FS116">
    <cfRule type="expression" dxfId="1694" priority="1567">
      <formula>FR$116="Pending"</formula>
    </cfRule>
  </conditionalFormatting>
  <conditionalFormatting sqref="FR117:FS117">
    <cfRule type="expression" dxfId="1693" priority="1565">
      <formula>FR$117="Pending"</formula>
    </cfRule>
  </conditionalFormatting>
  <conditionalFormatting sqref="FR118:FS118">
    <cfRule type="expression" dxfId="1692" priority="1563">
      <formula>FR$118="Pending"</formula>
    </cfRule>
  </conditionalFormatting>
  <conditionalFormatting sqref="FR119:FS119">
    <cfRule type="expression" dxfId="1691" priority="1561">
      <formula>FR$119="Pending"</formula>
    </cfRule>
  </conditionalFormatting>
  <conditionalFormatting sqref="FR120:FS120">
    <cfRule type="expression" dxfId="1690" priority="1559">
      <formula>FR$120="Pending"</formula>
    </cfRule>
  </conditionalFormatting>
  <conditionalFormatting sqref="FR121:FS121">
    <cfRule type="expression" dxfId="1689" priority="1557">
      <formula>FR$121="Pending"</formula>
    </cfRule>
  </conditionalFormatting>
  <conditionalFormatting sqref="FR122:FS122">
    <cfRule type="expression" dxfId="1688" priority="1555">
      <formula>FR$122="Pending"</formula>
    </cfRule>
  </conditionalFormatting>
  <conditionalFormatting sqref="FR52:FW52 FR55:FW55">
    <cfRule type="expression" dxfId="1687" priority="10050">
      <formula>AND($H$12&gt;=14, $H$12&lt;&gt;"Please Select")</formula>
    </cfRule>
  </conditionalFormatting>
  <conditionalFormatting sqref="FR53:FW54">
    <cfRule type="expression" dxfId="1686" priority="48">
      <formula>$FR$53&lt;&gt;""</formula>
    </cfRule>
  </conditionalFormatting>
  <conditionalFormatting sqref="FR126:FW126 FR129:FW129">
    <cfRule type="expression" dxfId="1685" priority="2677">
      <formula>AND($H$64&gt;=14, $H$64&lt;&gt;"Please Select")</formula>
    </cfRule>
  </conditionalFormatting>
  <conditionalFormatting sqref="FR127:FW128">
    <cfRule type="expression" dxfId="1684" priority="19">
      <formula>$FR$127&lt;&gt;""</formula>
    </cfRule>
  </conditionalFormatting>
  <conditionalFormatting sqref="FS30">
    <cfRule type="expression" dxfId="1683" priority="10098">
      <formula>AND($H$12&gt;=14, $H$12&lt;&gt;"Please Select")</formula>
    </cfRule>
  </conditionalFormatting>
  <conditionalFormatting sqref="FS34">
    <cfRule type="expression" dxfId="1682" priority="10095">
      <formula>AND($H$12&gt;=14, $H$12&lt;&gt;"Please Select")</formula>
    </cfRule>
    <cfRule type="expression" dxfId="1681" priority="188">
      <formula>$FS$34="Pending"</formula>
    </cfRule>
  </conditionalFormatting>
  <conditionalFormatting sqref="FS35">
    <cfRule type="expression" dxfId="1680" priority="10075">
      <formula>FS$34&lt;&gt;""</formula>
    </cfRule>
  </conditionalFormatting>
  <conditionalFormatting sqref="FS87">
    <cfRule type="expression" dxfId="1679" priority="2680">
      <formula>AND($H$64&gt;=14, $H$64&lt;&gt;"Please Select")</formula>
    </cfRule>
  </conditionalFormatting>
  <conditionalFormatting sqref="FT97:FU97">
    <cfRule type="expression" dxfId="1678" priority="1604">
      <formula>FT$97&lt;&gt;""</formula>
    </cfRule>
  </conditionalFormatting>
  <conditionalFormatting sqref="FT98:FU98">
    <cfRule type="expression" dxfId="1677" priority="1602">
      <formula>FR$98="Pending"</formula>
    </cfRule>
  </conditionalFormatting>
  <conditionalFormatting sqref="FT99:FU99">
    <cfRule type="expression" dxfId="1676" priority="1600">
      <formula>FR$99="Pending"</formula>
    </cfRule>
  </conditionalFormatting>
  <conditionalFormatting sqref="FT100:FU100">
    <cfRule type="expression" dxfId="1675" priority="1598">
      <formula>FR$100="Pending"</formula>
    </cfRule>
  </conditionalFormatting>
  <conditionalFormatting sqref="FT101:FU101">
    <cfRule type="expression" dxfId="1674" priority="1596">
      <formula>FR$101="Pending"</formula>
    </cfRule>
  </conditionalFormatting>
  <conditionalFormatting sqref="FT102:FU102">
    <cfRule type="expression" dxfId="1673" priority="1594">
      <formula>FR$102="Pending"</formula>
    </cfRule>
  </conditionalFormatting>
  <conditionalFormatting sqref="FT103:FU103">
    <cfRule type="expression" dxfId="1672" priority="1592">
      <formula>FR$103="Pending"</formula>
    </cfRule>
  </conditionalFormatting>
  <conditionalFormatting sqref="FT104:FU104">
    <cfRule type="expression" dxfId="1671" priority="1590">
      <formula>FR$104="Pending"</formula>
    </cfRule>
  </conditionalFormatting>
  <conditionalFormatting sqref="FT105:FU105">
    <cfRule type="expression" dxfId="1670" priority="1588">
      <formula>FR$105="Pending"</formula>
    </cfRule>
  </conditionalFormatting>
  <conditionalFormatting sqref="FT106:FU106">
    <cfRule type="expression" dxfId="1669" priority="1586">
      <formula>FR$106="Pending"</formula>
    </cfRule>
  </conditionalFormatting>
  <conditionalFormatting sqref="FT107:FU107">
    <cfRule type="expression" dxfId="1668" priority="1584">
      <formula>FR$107="Pending"</formula>
    </cfRule>
  </conditionalFormatting>
  <conditionalFormatting sqref="FT108:FU108">
    <cfRule type="expression" dxfId="1667" priority="1582">
      <formula>FR$108="Pending"</formula>
    </cfRule>
  </conditionalFormatting>
  <conditionalFormatting sqref="FT109:FU109">
    <cfRule type="expression" dxfId="1666" priority="1580">
      <formula>FR$109="Pending"</formula>
    </cfRule>
  </conditionalFormatting>
  <conditionalFormatting sqref="FT110:FU110">
    <cfRule type="expression" dxfId="1665" priority="1578">
      <formula>FR$110="Pending"</formula>
    </cfRule>
  </conditionalFormatting>
  <conditionalFormatting sqref="FT111:FU111">
    <cfRule type="expression" dxfId="1664" priority="1576">
      <formula>FR$111="Pending"</formula>
    </cfRule>
  </conditionalFormatting>
  <conditionalFormatting sqref="FT112:FU112">
    <cfRule type="expression" dxfId="1663" priority="1574">
      <formula>FR$112="Pending"</formula>
    </cfRule>
  </conditionalFormatting>
  <conditionalFormatting sqref="FT113:FU113">
    <cfRule type="expression" dxfId="1662" priority="1572">
      <formula>FR$113="Pending"</formula>
    </cfRule>
  </conditionalFormatting>
  <conditionalFormatting sqref="FT114:FU114">
    <cfRule type="expression" dxfId="1661" priority="1570">
      <formula>FR$114="Pending"</formula>
    </cfRule>
  </conditionalFormatting>
  <conditionalFormatting sqref="FT115:FU115">
    <cfRule type="expression" dxfId="1660" priority="1568">
      <formula>FR$115="Pending"</formula>
    </cfRule>
  </conditionalFormatting>
  <conditionalFormatting sqref="FT116:FU116">
    <cfRule type="expression" dxfId="1659" priority="1566">
      <formula>FR$116="Pending"</formula>
    </cfRule>
  </conditionalFormatting>
  <conditionalFormatting sqref="FT117:FU117">
    <cfRule type="expression" dxfId="1658" priority="1564">
      <formula>FR$117="Pending"</formula>
    </cfRule>
  </conditionalFormatting>
  <conditionalFormatting sqref="FT118:FU118">
    <cfRule type="expression" dxfId="1657" priority="1562">
      <formula>FR$118="Pending"</formula>
    </cfRule>
  </conditionalFormatting>
  <conditionalFormatting sqref="FT119:FU119">
    <cfRule type="expression" dxfId="1656" priority="1560">
      <formula>FR$119="Pending"</formula>
    </cfRule>
  </conditionalFormatting>
  <conditionalFormatting sqref="FT120:FU120">
    <cfRule type="expression" dxfId="1655" priority="1558">
      <formula>FR$120="Pending"</formula>
    </cfRule>
  </conditionalFormatting>
  <conditionalFormatting sqref="FT121:FU121">
    <cfRule type="expression" dxfId="1654" priority="1556">
      <formula>FR$121="Pending"</formula>
    </cfRule>
  </conditionalFormatting>
  <conditionalFormatting sqref="FT122:FU122">
    <cfRule type="expression" dxfId="1653" priority="1554">
      <formula>FR$122="Pending"</formula>
    </cfRule>
  </conditionalFormatting>
  <conditionalFormatting sqref="FV27:FY28">
    <cfRule type="expression" dxfId="1652" priority="5595">
      <formula>$FV$27&lt;&gt;""</formula>
    </cfRule>
  </conditionalFormatting>
  <conditionalFormatting sqref="FV84:FY85">
    <cfRule type="expression" dxfId="1651" priority="2684">
      <formula>FV$84&lt;&gt;""</formula>
    </cfRule>
  </conditionalFormatting>
  <conditionalFormatting sqref="FV147:FY148">
    <cfRule type="expression" dxfId="1650" priority="267">
      <formula>$FV$27&lt;&gt;""</formula>
    </cfRule>
  </conditionalFormatting>
  <conditionalFormatting sqref="FX55:GA55">
    <cfRule type="expression" dxfId="1649" priority="621">
      <formula>FX55&lt;&gt;""</formula>
    </cfRule>
  </conditionalFormatting>
  <conditionalFormatting sqref="FX129:GA129">
    <cfRule type="expression" dxfId="1648" priority="592">
      <formula>FX129&lt;&gt;""</formula>
    </cfRule>
  </conditionalFormatting>
  <conditionalFormatting sqref="GB41">
    <cfRule type="expression" dxfId="1647" priority="9564">
      <formula>AND($H$12&gt;=15, $H$12&lt;&gt;"Please Select")</formula>
    </cfRule>
  </conditionalFormatting>
  <conditionalFormatting sqref="GB44:GB48">
    <cfRule type="expression" dxfId="1646" priority="9560">
      <formula>AND($H$12&gt;=15, $H$12&lt;&gt;"Please Select")</formula>
    </cfRule>
  </conditionalFormatting>
  <conditionalFormatting sqref="GB96">
    <cfRule type="expression" dxfId="1645" priority="1550">
      <formula>AND($H$64&gt;=15, $H$64&lt;&gt;"Please Select")</formula>
    </cfRule>
  </conditionalFormatting>
  <conditionalFormatting sqref="GB98:GD122">
    <cfRule type="expression" dxfId="1644" priority="1552">
      <formula>AND($H$64&gt;=15, $H$64&lt;&gt;"Please Select")</formula>
    </cfRule>
  </conditionalFormatting>
  <conditionalFormatting sqref="GB43:GE43">
    <cfRule type="expression" dxfId="1643" priority="9559">
      <formula>AND($H$12&gt;=15, $H$12&lt;&gt;"Please Select")</formula>
    </cfRule>
  </conditionalFormatting>
  <conditionalFormatting sqref="GB39:GF40">
    <cfRule type="expression" dxfId="1642" priority="9565">
      <formula>AND($H$12&gt;=15, $H$12&lt;&gt;"Please Select")</formula>
    </cfRule>
  </conditionalFormatting>
  <conditionalFormatting sqref="GB97:GF97">
    <cfRule type="expression" dxfId="1641" priority="1553">
      <formula>AND($H$64&gt;=15, $H$64&lt;&gt;"Please Select")</formula>
    </cfRule>
  </conditionalFormatting>
  <conditionalFormatting sqref="GB25:GH25">
    <cfRule type="expression" dxfId="1640" priority="9572">
      <formula>AND($H$12&gt;=15, $H$12&lt;&gt;"Please Select")</formula>
    </cfRule>
  </conditionalFormatting>
  <conditionalFormatting sqref="GB82:GH82">
    <cfRule type="expression" dxfId="1639" priority="2663">
      <formula>AND($H$64&gt;=15, $H$64&lt;&gt;"Please Select")</formula>
    </cfRule>
  </conditionalFormatting>
  <conditionalFormatting sqref="GB51:GJ51">
    <cfRule type="expression" dxfId="1638" priority="9558">
      <formula>AND($H$12&gt;=15, $H$12&lt;&gt;"Please Select")</formula>
    </cfRule>
  </conditionalFormatting>
  <conditionalFormatting sqref="GB125:GJ125">
    <cfRule type="expression" dxfId="1637" priority="2658">
      <formula>AND($H$64&gt;=15, $H$64&lt;&gt;"Please Select")</formula>
    </cfRule>
  </conditionalFormatting>
  <conditionalFormatting sqref="GC30:GD30">
    <cfRule type="expression" dxfId="1636" priority="9570">
      <formula>AND($H$12&gt;=15, $H$12&lt;&gt;"Please Select")</formula>
    </cfRule>
  </conditionalFormatting>
  <conditionalFormatting sqref="GC87:GD87">
    <cfRule type="expression" dxfId="1635" priority="2661">
      <formula>AND($H$64&gt;=15, $H$64&lt;&gt;"Please Select")</formula>
    </cfRule>
  </conditionalFormatting>
  <conditionalFormatting sqref="GC44:GE48">
    <cfRule type="expression" dxfId="1634" priority="9554">
      <formula>AND($H$12&gt;=15, $H$12&lt;&gt;"Please Select")</formula>
    </cfRule>
  </conditionalFormatting>
  <conditionalFormatting sqref="GC27:GF29">
    <cfRule type="expression" dxfId="1633" priority="9571">
      <formula>AND($H$12&gt;=15, $H$12&lt;&gt;"Please Select")</formula>
    </cfRule>
  </conditionalFormatting>
  <conditionalFormatting sqref="GC41:GF41">
    <cfRule type="expression" dxfId="1632" priority="9555">
      <formula>AND($H$12&gt;=15, $H$12&lt;&gt;"Please Select")</formula>
    </cfRule>
  </conditionalFormatting>
  <conditionalFormatting sqref="GC84:GF86">
    <cfRule type="expression" dxfId="1631" priority="2662">
      <formula>AND($H$64&gt;=15, $H$64&lt;&gt;"Please Select")</formula>
    </cfRule>
  </conditionalFormatting>
  <conditionalFormatting sqref="GD31">
    <cfRule type="expression" dxfId="1630" priority="9568">
      <formula>AND($H$12&gt;=15, $H$12&lt;&gt;"Please Select")</formula>
    </cfRule>
  </conditionalFormatting>
  <conditionalFormatting sqref="GD88">
    <cfRule type="expression" dxfId="1629" priority="2659">
      <formula>AND($H$64&gt;=15, $H$64&lt;&gt;"Please Select")</formula>
    </cfRule>
  </conditionalFormatting>
  <conditionalFormatting sqref="GD91:GE91">
    <cfRule type="expression" dxfId="1628" priority="149">
      <formula>$GD$91="No"</formula>
    </cfRule>
    <cfRule type="expression" dxfId="1627" priority="150">
      <formula>AND($H$64&gt;=15, $H$64&lt;&gt;"Please Select")</formula>
    </cfRule>
  </conditionalFormatting>
  <conditionalFormatting sqref="GD92:GE92">
    <cfRule type="expression" dxfId="1626" priority="2649">
      <formula>AND($H$64&gt;=15, $H$64&lt;&gt;"Please Select")</formula>
    </cfRule>
  </conditionalFormatting>
  <conditionalFormatting sqref="GD95:GE95">
    <cfRule type="expression" dxfId="1625" priority="654">
      <formula>AND($H$64&gt;=15, $H$64&lt;&gt;"Please Select")</formula>
    </cfRule>
  </conditionalFormatting>
  <conditionalFormatting sqref="GD33:GF33">
    <cfRule type="expression" dxfId="1624" priority="9567">
      <formula>AND($H$12&gt;=15, $H$12&lt;&gt;"Please Select")</formula>
    </cfRule>
  </conditionalFormatting>
  <conditionalFormatting sqref="GE98">
    <cfRule type="expression" dxfId="1623" priority="1548">
      <formula>GE$98="Pending"</formula>
    </cfRule>
  </conditionalFormatting>
  <conditionalFormatting sqref="GE98:GF122">
    <cfRule type="expression" dxfId="1622" priority="1551">
      <formula>AND($H$64&gt;=15, $H$64&lt;&gt;"Please Select")</formula>
    </cfRule>
  </conditionalFormatting>
  <conditionalFormatting sqref="GE99:GF99">
    <cfRule type="expression" dxfId="1621" priority="1546">
      <formula>GE$99="Pending"</formula>
    </cfRule>
  </conditionalFormatting>
  <conditionalFormatting sqref="GE100:GF100">
    <cfRule type="expression" dxfId="1620" priority="1544">
      <formula>GE$100="Pending"</formula>
    </cfRule>
  </conditionalFormatting>
  <conditionalFormatting sqref="GE101:GF101">
    <cfRule type="expression" dxfId="1619" priority="1542">
      <formula>GE$101="Pending"</formula>
    </cfRule>
  </conditionalFormatting>
  <conditionalFormatting sqref="GE102:GF102">
    <cfRule type="expression" dxfId="1618" priority="1540">
      <formula>GE$102="Pending"</formula>
    </cfRule>
  </conditionalFormatting>
  <conditionalFormatting sqref="GE103:GF103">
    <cfRule type="expression" dxfId="1617" priority="1538">
      <formula>GE$103="Pending"</formula>
    </cfRule>
  </conditionalFormatting>
  <conditionalFormatting sqref="GE104:GF104">
    <cfRule type="expression" dxfId="1616" priority="1536">
      <formula>GE$104="Pending"</formula>
    </cfRule>
  </conditionalFormatting>
  <conditionalFormatting sqref="GE105:GF105">
    <cfRule type="expression" dxfId="1615" priority="1534">
      <formula>GE$105="Pending"</formula>
    </cfRule>
  </conditionalFormatting>
  <conditionalFormatting sqref="GE106:GF106">
    <cfRule type="expression" dxfId="1614" priority="1532">
      <formula>GE$106="Pending"</formula>
    </cfRule>
  </conditionalFormatting>
  <conditionalFormatting sqref="GE107:GF107">
    <cfRule type="expression" dxfId="1613" priority="1530">
      <formula>GE$107="Pending"</formula>
    </cfRule>
  </conditionalFormatting>
  <conditionalFormatting sqref="GE108:GF108">
    <cfRule type="expression" dxfId="1612" priority="1528">
      <formula>GE$108="Pending"</formula>
    </cfRule>
  </conditionalFormatting>
  <conditionalFormatting sqref="GE109:GF109">
    <cfRule type="expression" dxfId="1611" priority="1526">
      <formula>GE$109="Pending"</formula>
    </cfRule>
  </conditionalFormatting>
  <conditionalFormatting sqref="GE110:GF110">
    <cfRule type="expression" dxfId="1610" priority="1524">
      <formula>GE$110="Pending"</formula>
    </cfRule>
  </conditionalFormatting>
  <conditionalFormatting sqref="GE111:GF111">
    <cfRule type="expression" dxfId="1609" priority="1522">
      <formula>GE$111="Pending"</formula>
    </cfRule>
  </conditionalFormatting>
  <conditionalFormatting sqref="GE112:GF112">
    <cfRule type="expression" dxfId="1608" priority="1520">
      <formula>GE$112="Pending"</formula>
    </cfRule>
  </conditionalFormatting>
  <conditionalFormatting sqref="GE113:GF113">
    <cfRule type="expression" dxfId="1607" priority="1518">
      <formula>GE$113="Pending"</formula>
    </cfRule>
  </conditionalFormatting>
  <conditionalFormatting sqref="GE114:GF114">
    <cfRule type="expression" dxfId="1606" priority="1516">
      <formula>GE$114="Pending"</formula>
    </cfRule>
  </conditionalFormatting>
  <conditionalFormatting sqref="GE115:GF115">
    <cfRule type="expression" dxfId="1605" priority="1514">
      <formula>GE$115="Pending"</formula>
    </cfRule>
  </conditionalFormatting>
  <conditionalFormatting sqref="GE116:GF116">
    <cfRule type="expression" dxfId="1604" priority="1512">
      <formula>GE$116="Pending"</formula>
    </cfRule>
  </conditionalFormatting>
  <conditionalFormatting sqref="GE117:GF117">
    <cfRule type="expression" dxfId="1603" priority="1510">
      <formula>GE$117="Pending"</formula>
    </cfRule>
  </conditionalFormatting>
  <conditionalFormatting sqref="GE118:GF118">
    <cfRule type="expression" dxfId="1602" priority="1508">
      <formula>GE$118="Pending"</formula>
    </cfRule>
  </conditionalFormatting>
  <conditionalFormatting sqref="GE119:GF119">
    <cfRule type="expression" dxfId="1601" priority="1506">
      <formula>GE$119="Pending"</formula>
    </cfRule>
  </conditionalFormatting>
  <conditionalFormatting sqref="GE120:GF120">
    <cfRule type="expression" dxfId="1600" priority="1504">
      <formula>GE$120="Pending"</formula>
    </cfRule>
  </conditionalFormatting>
  <conditionalFormatting sqref="GE121:GF121">
    <cfRule type="expression" dxfId="1599" priority="1502">
      <formula>GE$121="Pending"</formula>
    </cfRule>
  </conditionalFormatting>
  <conditionalFormatting sqref="GE122:GF122">
    <cfRule type="expression" dxfId="1598" priority="1500">
      <formula>GE$122="Pending"</formula>
    </cfRule>
  </conditionalFormatting>
  <conditionalFormatting sqref="GE52:GJ52 GE55:GJ55">
    <cfRule type="expression" dxfId="1597" priority="9556">
      <formula>AND($H$12&gt;=15, $H$12&lt;&gt;"Please Select")</formula>
    </cfRule>
  </conditionalFormatting>
  <conditionalFormatting sqref="GE53:GJ54">
    <cfRule type="expression" dxfId="1596" priority="49">
      <formula>$GE$53&lt;&gt;""</formula>
    </cfRule>
  </conditionalFormatting>
  <conditionalFormatting sqref="GE126:GJ126 GE129:GJ129">
    <cfRule type="expression" dxfId="1595" priority="2657">
      <formula>AND($H$64&gt;=15, $H$64&lt;&gt;"Please Select")</formula>
    </cfRule>
  </conditionalFormatting>
  <conditionalFormatting sqref="GE127:GJ128">
    <cfRule type="expression" dxfId="1594" priority="20">
      <formula>$GE$127&lt;&gt;""</formula>
    </cfRule>
  </conditionalFormatting>
  <conditionalFormatting sqref="GF30">
    <cfRule type="expression" dxfId="1593" priority="9569">
      <formula>AND($H$12&gt;=15, $H$12&lt;&gt;"Please Select")</formula>
    </cfRule>
  </conditionalFormatting>
  <conditionalFormatting sqref="GF34">
    <cfRule type="expression" dxfId="1592" priority="189">
      <formula>$GF$34="Pending"</formula>
    </cfRule>
    <cfRule type="expression" dxfId="1591" priority="9566">
      <formula>AND($H$12&gt;=15, $H$12&lt;&gt;"Please Select")</formula>
    </cfRule>
  </conditionalFormatting>
  <conditionalFormatting sqref="GF35">
    <cfRule type="expression" dxfId="1590" priority="9557">
      <formula>GF$34&lt;&gt;""</formula>
    </cfRule>
  </conditionalFormatting>
  <conditionalFormatting sqref="GF87">
    <cfRule type="expression" dxfId="1589" priority="2660">
      <formula>AND($H$64&gt;=15, $H$64&lt;&gt;"Please Select")</formula>
    </cfRule>
  </conditionalFormatting>
  <conditionalFormatting sqref="GG97:GH97">
    <cfRule type="expression" dxfId="1588" priority="1549">
      <formula>GG$97&lt;&gt;""</formula>
    </cfRule>
  </conditionalFormatting>
  <conditionalFormatting sqref="GG98:GH98">
    <cfRule type="expression" dxfId="1587" priority="1547">
      <formula>GE$98="Pending"</formula>
    </cfRule>
  </conditionalFormatting>
  <conditionalFormatting sqref="GG99:GH99">
    <cfRule type="expression" dxfId="1586" priority="1545">
      <formula>GE$99="Pending"</formula>
    </cfRule>
  </conditionalFormatting>
  <conditionalFormatting sqref="GG100:GH100">
    <cfRule type="expression" dxfId="1585" priority="1543">
      <formula>GE$100="Pending"</formula>
    </cfRule>
  </conditionalFormatting>
  <conditionalFormatting sqref="GG101:GH101">
    <cfRule type="expression" dxfId="1584" priority="1541">
      <formula>GE$101="Pending"</formula>
    </cfRule>
  </conditionalFormatting>
  <conditionalFormatting sqref="GG102:GH102">
    <cfRule type="expression" dxfId="1583" priority="1539">
      <formula>GE$102="Pending"</formula>
    </cfRule>
  </conditionalFormatting>
  <conditionalFormatting sqref="GG103:GH103">
    <cfRule type="expression" dxfId="1582" priority="1537">
      <formula>GE$103="Pending"</formula>
    </cfRule>
  </conditionalFormatting>
  <conditionalFormatting sqref="GG104:GH104">
    <cfRule type="expression" dxfId="1581" priority="1535">
      <formula>GE$104="Pending"</formula>
    </cfRule>
  </conditionalFormatting>
  <conditionalFormatting sqref="GG105:GH105">
    <cfRule type="expression" dxfId="1580" priority="1533">
      <formula>GE$105="Pending"</formula>
    </cfRule>
  </conditionalFormatting>
  <conditionalFormatting sqref="GG106:GH106">
    <cfRule type="expression" dxfId="1579" priority="1531">
      <formula>GE$106="Pending"</formula>
    </cfRule>
  </conditionalFormatting>
  <conditionalFormatting sqref="GG107:GH107">
    <cfRule type="expression" dxfId="1578" priority="1529">
      <formula>GE$107="Pending"</formula>
    </cfRule>
  </conditionalFormatting>
  <conditionalFormatting sqref="GG108:GH108">
    <cfRule type="expression" dxfId="1577" priority="1527">
      <formula>GE$108="Pending"</formula>
    </cfRule>
  </conditionalFormatting>
  <conditionalFormatting sqref="GG109:GH109">
    <cfRule type="expression" dxfId="1576" priority="1525">
      <formula>GE$109="Pending"</formula>
    </cfRule>
  </conditionalFormatting>
  <conditionalFormatting sqref="GG110:GH110">
    <cfRule type="expression" dxfId="1575" priority="1523">
      <formula>GE$110="Pending"</formula>
    </cfRule>
  </conditionalFormatting>
  <conditionalFormatting sqref="GG111:GH111">
    <cfRule type="expression" dxfId="1574" priority="1521">
      <formula>GE$111="Pending"</formula>
    </cfRule>
  </conditionalFormatting>
  <conditionalFormatting sqref="GG112:GH112">
    <cfRule type="expression" dxfId="1573" priority="1519">
      <formula>GE$112="Pending"</formula>
    </cfRule>
  </conditionalFormatting>
  <conditionalFormatting sqref="GG113:GH113">
    <cfRule type="expression" dxfId="1572" priority="1517">
      <formula>GE$113="Pending"</formula>
    </cfRule>
  </conditionalFormatting>
  <conditionalFormatting sqref="GG114:GH114">
    <cfRule type="expression" dxfId="1571" priority="1515">
      <formula>GE$114="Pending"</formula>
    </cfRule>
  </conditionalFormatting>
  <conditionalFormatting sqref="GG115:GH115">
    <cfRule type="expression" dxfId="1570" priority="1513">
      <formula>GE$115="Pending"</formula>
    </cfRule>
  </conditionalFormatting>
  <conditionalFormatting sqref="GG116:GH116">
    <cfRule type="expression" dxfId="1569" priority="1511">
      <formula>GE$116="Pending"</formula>
    </cfRule>
  </conditionalFormatting>
  <conditionalFormatting sqref="GG117:GH117">
    <cfRule type="expression" dxfId="1568" priority="1509">
      <formula>GE$117="Pending"</formula>
    </cfRule>
  </conditionalFormatting>
  <conditionalFormatting sqref="GG118:GH118">
    <cfRule type="expression" dxfId="1567" priority="1507">
      <formula>GE$118="Pending"</formula>
    </cfRule>
  </conditionalFormatting>
  <conditionalFormatting sqref="GG119:GH119">
    <cfRule type="expression" dxfId="1566" priority="1505">
      <formula>GE$119="Pending"</formula>
    </cfRule>
  </conditionalFormatting>
  <conditionalFormatting sqref="GG120:GH120">
    <cfRule type="expression" dxfId="1565" priority="1503">
      <formula>GE$120="Pending"</formula>
    </cfRule>
  </conditionalFormatting>
  <conditionalFormatting sqref="GG121:GH121">
    <cfRule type="expression" dxfId="1564" priority="1501">
      <formula>GE$121="Pending"</formula>
    </cfRule>
  </conditionalFormatting>
  <conditionalFormatting sqref="GG122:GH122">
    <cfRule type="expression" dxfId="1563" priority="1499">
      <formula>GE$122="Pending"</formula>
    </cfRule>
  </conditionalFormatting>
  <conditionalFormatting sqref="GI27:GL28">
    <cfRule type="expression" dxfId="1562" priority="5594">
      <formula>$GI$27&lt;&gt;""</formula>
    </cfRule>
  </conditionalFormatting>
  <conditionalFormatting sqref="GI84:GL85">
    <cfRule type="expression" dxfId="1561" priority="2664">
      <formula>GI$84&lt;&gt;""</formula>
    </cfRule>
  </conditionalFormatting>
  <conditionalFormatting sqref="GI147:GL148">
    <cfRule type="expression" dxfId="1560" priority="266">
      <formula>$GI$27&lt;&gt;""</formula>
    </cfRule>
  </conditionalFormatting>
  <conditionalFormatting sqref="GK55:GN55">
    <cfRule type="expression" dxfId="1559" priority="622">
      <formula>GK55&lt;&gt;""</formula>
    </cfRule>
  </conditionalFormatting>
  <conditionalFormatting sqref="GK129:GN129">
    <cfRule type="expression" dxfId="1558" priority="591">
      <formula>GK129&lt;&gt;""</formula>
    </cfRule>
  </conditionalFormatting>
  <conditionalFormatting sqref="GO41">
    <cfRule type="expression" dxfId="1557" priority="9303">
      <formula>AND($H$12&gt;=16, $H$12&lt;&gt;"Please Select")</formula>
    </cfRule>
  </conditionalFormatting>
  <conditionalFormatting sqref="GO44:GO48">
    <cfRule type="expression" dxfId="1556" priority="9300">
      <formula>AND($H$12&gt;=16, $H$12&lt;&gt;"Please Select")</formula>
    </cfRule>
  </conditionalFormatting>
  <conditionalFormatting sqref="GO96">
    <cfRule type="expression" dxfId="1555" priority="1495">
      <formula>AND($H$64&gt;=16, $H$64&lt;&gt;"Please Select")</formula>
    </cfRule>
  </conditionalFormatting>
  <conditionalFormatting sqref="GO98:GQ122">
    <cfRule type="expression" dxfId="1554" priority="1497">
      <formula>AND($H$64&gt;=16, $H$64&lt;&gt;"Please Select")</formula>
    </cfRule>
  </conditionalFormatting>
  <conditionalFormatting sqref="GO43:GR43">
    <cfRule type="expression" dxfId="1553" priority="9299">
      <formula>AND($H$12&gt;=16, $H$12&lt;&gt;"Please Select")</formula>
    </cfRule>
  </conditionalFormatting>
  <conditionalFormatting sqref="GO39:GS40">
    <cfRule type="expression" dxfId="1552" priority="9304">
      <formula>AND($H$12&gt;=16, $H$12&lt;&gt;"Please Select")</formula>
    </cfRule>
  </conditionalFormatting>
  <conditionalFormatting sqref="GO97:GS97">
    <cfRule type="expression" dxfId="1551" priority="1498">
      <formula>AND($H$64&gt;=16, $H$64&lt;&gt;"Please Select")</formula>
    </cfRule>
  </conditionalFormatting>
  <conditionalFormatting sqref="GO25:GU25">
    <cfRule type="expression" dxfId="1550" priority="9311">
      <formula>AND($H$12&gt;=16, $H$12&lt;&gt;"Please Select")</formula>
    </cfRule>
  </conditionalFormatting>
  <conditionalFormatting sqref="GO82:GU82">
    <cfRule type="expression" dxfId="1549" priority="2643">
      <formula>AND($H$64&gt;=16, $H$64&lt;&gt;"Please Select")</formula>
    </cfRule>
  </conditionalFormatting>
  <conditionalFormatting sqref="GO51:GW51">
    <cfRule type="expression" dxfId="1548" priority="9298">
      <formula>AND($H$12&gt;=16, $H$12&lt;&gt;"Please Select")</formula>
    </cfRule>
  </conditionalFormatting>
  <conditionalFormatting sqref="GO125:GW125">
    <cfRule type="expression" dxfId="1547" priority="2638">
      <formula>AND($H$64&gt;=16, $H$64&lt;&gt;"Please Select")</formula>
    </cfRule>
  </conditionalFormatting>
  <conditionalFormatting sqref="GP44:GP48">
    <cfRule type="expression" dxfId="1546" priority="9294">
      <formula>AND($H$12&gt;=16, $H$12&lt;&gt;"Please Select")</formula>
    </cfRule>
  </conditionalFormatting>
  <conditionalFormatting sqref="GP30:GQ30">
    <cfRule type="expression" dxfId="1545" priority="9309">
      <formula>AND($H$12&gt;=16, $H$12&lt;&gt;"Please Select")</formula>
    </cfRule>
  </conditionalFormatting>
  <conditionalFormatting sqref="GP87:GQ87">
    <cfRule type="expression" dxfId="1544" priority="2641">
      <formula>AND($H$64&gt;=16, $H$64&lt;&gt;"Please Select")</formula>
    </cfRule>
  </conditionalFormatting>
  <conditionalFormatting sqref="GP27:GS29">
    <cfRule type="expression" dxfId="1543" priority="9310">
      <formula>AND($H$12&gt;=16, $H$12&lt;&gt;"Please Select")</formula>
    </cfRule>
  </conditionalFormatting>
  <conditionalFormatting sqref="GP41:GS41">
    <cfRule type="expression" dxfId="1542" priority="9302">
      <formula>AND($H$12&gt;=16, $H$12&lt;&gt;"Please Select")</formula>
    </cfRule>
  </conditionalFormatting>
  <conditionalFormatting sqref="GP84:GS86">
    <cfRule type="expression" dxfId="1541" priority="2642">
      <formula>AND($H$64&gt;=16, $H$64&lt;&gt;"Please Select")</formula>
    </cfRule>
  </conditionalFormatting>
  <conditionalFormatting sqref="GQ31">
    <cfRule type="expression" dxfId="1540" priority="9307">
      <formula>AND($H$12&gt;=16, $H$12&lt;&gt;"Please Select")</formula>
    </cfRule>
  </conditionalFormatting>
  <conditionalFormatting sqref="GQ88">
    <cfRule type="expression" dxfId="1539" priority="2639">
      <formula>AND($H$64&gt;=16, $H$64&lt;&gt;"Please Select")</formula>
    </cfRule>
  </conditionalFormatting>
  <conditionalFormatting sqref="GQ44:GR48">
    <cfRule type="expression" dxfId="1538" priority="9301">
      <formula>AND($H$12&gt;=16, $H$12&lt;&gt;"Please Select")</formula>
    </cfRule>
  </conditionalFormatting>
  <conditionalFormatting sqref="GQ91:GR91">
    <cfRule type="expression" dxfId="1537" priority="148">
      <formula>AND($H$64&gt;=16, $H$64&lt;&gt;"Please Select")</formula>
    </cfRule>
    <cfRule type="expression" dxfId="1536" priority="147">
      <formula>$GQ$91="No"</formula>
    </cfRule>
  </conditionalFormatting>
  <conditionalFormatting sqref="GQ92:GR92">
    <cfRule type="expression" dxfId="1535" priority="2629">
      <formula>AND($H$64&gt;=16, $H$64&lt;&gt;"Please Select")</formula>
    </cfRule>
  </conditionalFormatting>
  <conditionalFormatting sqref="GQ95:GR95">
    <cfRule type="expression" dxfId="1534" priority="653">
      <formula>AND($H$64&gt;=16, $H$64&lt;&gt;"Please Select")</formula>
    </cfRule>
  </conditionalFormatting>
  <conditionalFormatting sqref="GQ33:GS33">
    <cfRule type="expression" dxfId="1533" priority="9306">
      <formula>AND($H$12&gt;=16, $H$12&lt;&gt;"Please Select")</formula>
    </cfRule>
  </conditionalFormatting>
  <conditionalFormatting sqref="GR98">
    <cfRule type="expression" dxfId="1532" priority="1493">
      <formula>GR$98="Pending"</formula>
    </cfRule>
  </conditionalFormatting>
  <conditionalFormatting sqref="GR98:GS122">
    <cfRule type="expression" dxfId="1531" priority="1496">
      <formula>AND($H$64&gt;=16, $H$64&lt;&gt;"Please Select")</formula>
    </cfRule>
  </conditionalFormatting>
  <conditionalFormatting sqref="GR99:GS99">
    <cfRule type="expression" dxfId="1530" priority="1491">
      <formula>GR$99="Pending"</formula>
    </cfRule>
  </conditionalFormatting>
  <conditionalFormatting sqref="GR100:GS100">
    <cfRule type="expression" dxfId="1529" priority="1489">
      <formula>GR$100="Pending"</formula>
    </cfRule>
  </conditionalFormatting>
  <conditionalFormatting sqref="GR101:GS101">
    <cfRule type="expression" dxfId="1528" priority="1487">
      <formula>GR$101="Pending"</formula>
    </cfRule>
  </conditionalFormatting>
  <conditionalFormatting sqref="GR102:GS102">
    <cfRule type="expression" dxfId="1527" priority="1485">
      <formula>GR$102="Pending"</formula>
    </cfRule>
  </conditionalFormatting>
  <conditionalFormatting sqref="GR103:GS103">
    <cfRule type="expression" dxfId="1526" priority="1483">
      <formula>GR$103="Pending"</formula>
    </cfRule>
  </conditionalFormatting>
  <conditionalFormatting sqref="GR104:GS104">
    <cfRule type="expression" dxfId="1525" priority="1481">
      <formula>GR$104="Pending"</formula>
    </cfRule>
  </conditionalFormatting>
  <conditionalFormatting sqref="GR105:GS105">
    <cfRule type="expression" dxfId="1524" priority="1479">
      <formula>GR$105="Pending"</formula>
    </cfRule>
  </conditionalFormatting>
  <conditionalFormatting sqref="GR106:GS106">
    <cfRule type="expression" dxfId="1523" priority="1477">
      <formula>GR$106="Pending"</formula>
    </cfRule>
  </conditionalFormatting>
  <conditionalFormatting sqref="GR107:GS107">
    <cfRule type="expression" dxfId="1522" priority="1475">
      <formula>GR$107="Pending"</formula>
    </cfRule>
  </conditionalFormatting>
  <conditionalFormatting sqref="GR108:GS108">
    <cfRule type="expression" dxfId="1521" priority="1473">
      <formula>GR$108="Pending"</formula>
    </cfRule>
  </conditionalFormatting>
  <conditionalFormatting sqref="GR109:GS109">
    <cfRule type="expression" dxfId="1520" priority="1471">
      <formula>GR$109="Pending"</formula>
    </cfRule>
  </conditionalFormatting>
  <conditionalFormatting sqref="GR110:GS110">
    <cfRule type="expression" dxfId="1519" priority="1469">
      <formula>GR$110="Pending"</formula>
    </cfRule>
  </conditionalFormatting>
  <conditionalFormatting sqref="GR111:GS111">
    <cfRule type="expression" dxfId="1518" priority="1467">
      <formula>GR$111="Pending"</formula>
    </cfRule>
  </conditionalFormatting>
  <conditionalFormatting sqref="GR112:GS112">
    <cfRule type="expression" dxfId="1517" priority="1465">
      <formula>GR$112="Pending"</formula>
    </cfRule>
  </conditionalFormatting>
  <conditionalFormatting sqref="GR113:GS113">
    <cfRule type="expression" dxfId="1516" priority="1463">
      <formula>GR$113="Pending"</formula>
    </cfRule>
  </conditionalFormatting>
  <conditionalFormatting sqref="GR114:GS114">
    <cfRule type="expression" dxfId="1515" priority="1461">
      <formula>GR$114="Pending"</formula>
    </cfRule>
  </conditionalFormatting>
  <conditionalFormatting sqref="GR115:GS115">
    <cfRule type="expression" dxfId="1514" priority="1459">
      <formula>GR$115="Pending"</formula>
    </cfRule>
  </conditionalFormatting>
  <conditionalFormatting sqref="GR116:GS116">
    <cfRule type="expression" dxfId="1513" priority="1457">
      <formula>GR$116="Pending"</formula>
    </cfRule>
  </conditionalFormatting>
  <conditionalFormatting sqref="GR117:GS117">
    <cfRule type="expression" dxfId="1512" priority="1455">
      <formula>GR$117="Pending"</formula>
    </cfRule>
  </conditionalFormatting>
  <conditionalFormatting sqref="GR118:GS118">
    <cfRule type="expression" dxfId="1511" priority="1453">
      <formula>GR$118="Pending"</formula>
    </cfRule>
  </conditionalFormatting>
  <conditionalFormatting sqref="GR119:GS119">
    <cfRule type="expression" dxfId="1510" priority="1451">
      <formula>GR$119="Pending"</formula>
    </cfRule>
  </conditionalFormatting>
  <conditionalFormatting sqref="GR120:GS120">
    <cfRule type="expression" dxfId="1509" priority="1449">
      <formula>GR$120="Pending"</formula>
    </cfRule>
  </conditionalFormatting>
  <conditionalFormatting sqref="GR121:GS121">
    <cfRule type="expression" dxfId="1508" priority="1447">
      <formula>GR$121="Pending"</formula>
    </cfRule>
  </conditionalFormatting>
  <conditionalFormatting sqref="GR122:GS122">
    <cfRule type="expression" dxfId="1507" priority="1445">
      <formula>GR$122="Pending"</formula>
    </cfRule>
  </conditionalFormatting>
  <conditionalFormatting sqref="GR52:GW52 GR55:GW55">
    <cfRule type="expression" dxfId="1506" priority="9296">
      <formula>AND($H$12&gt;=16, $H$12&lt;&gt;"Please Select")</formula>
    </cfRule>
  </conditionalFormatting>
  <conditionalFormatting sqref="GR53:GW54">
    <cfRule type="expression" dxfId="1505" priority="50">
      <formula>$GR$53&lt;&gt;""</formula>
    </cfRule>
  </conditionalFormatting>
  <conditionalFormatting sqref="GR126:GW126 GR129:GW129">
    <cfRule type="expression" dxfId="1504" priority="2637">
      <formula>AND($H$64&gt;=16, $H$64&lt;&gt;"Please Select")</formula>
    </cfRule>
  </conditionalFormatting>
  <conditionalFormatting sqref="GR127:GW128">
    <cfRule type="expression" dxfId="1503" priority="21">
      <formula>$GR$127&lt;&gt;""</formula>
    </cfRule>
  </conditionalFormatting>
  <conditionalFormatting sqref="GS30">
    <cfRule type="expression" dxfId="1502" priority="9308">
      <formula>AND($H$12&gt;=16, $H$12&lt;&gt;"Please Select")</formula>
    </cfRule>
  </conditionalFormatting>
  <conditionalFormatting sqref="GS34">
    <cfRule type="expression" dxfId="1501" priority="190">
      <formula>$GS$34="Pending"</formula>
    </cfRule>
    <cfRule type="expression" dxfId="1500" priority="9305">
      <formula>AND($H$12&gt;=16, $H$12&lt;&gt;"Please Select")</formula>
    </cfRule>
  </conditionalFormatting>
  <conditionalFormatting sqref="GS35">
    <cfRule type="expression" dxfId="1499" priority="9297">
      <formula>GS$34&lt;&gt;""</formula>
    </cfRule>
  </conditionalFormatting>
  <conditionalFormatting sqref="GS41">
    <cfRule type="expression" dxfId="1498" priority="9295">
      <formula>AND($H$12&gt;=16, $H$12&lt;&gt;"Please Select")</formula>
    </cfRule>
  </conditionalFormatting>
  <conditionalFormatting sqref="GS87">
    <cfRule type="expression" dxfId="1497" priority="2640">
      <formula>AND($H$64&gt;=16, $H$64&lt;&gt;"Please Select")</formula>
    </cfRule>
  </conditionalFormatting>
  <conditionalFormatting sqref="GT97:GU97">
    <cfRule type="expression" dxfId="1496" priority="1494">
      <formula>GT$97&lt;&gt;""</formula>
    </cfRule>
  </conditionalFormatting>
  <conditionalFormatting sqref="GT98:GU98">
    <cfRule type="expression" dxfId="1495" priority="1492">
      <formula>GR$98="Pending"</formula>
    </cfRule>
  </conditionalFormatting>
  <conditionalFormatting sqref="GT99:GU99">
    <cfRule type="expression" dxfId="1494" priority="1490">
      <formula>GR$99="Pending"</formula>
    </cfRule>
  </conditionalFormatting>
  <conditionalFormatting sqref="GT100:GU100">
    <cfRule type="expression" dxfId="1493" priority="1488">
      <formula>GR$100="Pending"</formula>
    </cfRule>
  </conditionalFormatting>
  <conditionalFormatting sqref="GT101:GU101">
    <cfRule type="expression" dxfId="1492" priority="1486">
      <formula>GR$101="Pending"</formula>
    </cfRule>
  </conditionalFormatting>
  <conditionalFormatting sqref="GT102:GU102">
    <cfRule type="expression" dxfId="1491" priority="1484">
      <formula>GR$102="Pending"</formula>
    </cfRule>
  </conditionalFormatting>
  <conditionalFormatting sqref="GT103:GU103">
    <cfRule type="expression" dxfId="1490" priority="1482">
      <formula>GR$103="Pending"</formula>
    </cfRule>
  </conditionalFormatting>
  <conditionalFormatting sqref="GT104:GU104">
    <cfRule type="expression" dxfId="1489" priority="1480">
      <formula>GR$104="Pending"</formula>
    </cfRule>
  </conditionalFormatting>
  <conditionalFormatting sqref="GT105:GU105">
    <cfRule type="expression" dxfId="1488" priority="1478">
      <formula>GR$105="Pending"</formula>
    </cfRule>
  </conditionalFormatting>
  <conditionalFormatting sqref="GT106:GU106">
    <cfRule type="expression" dxfId="1487" priority="1476">
      <formula>GR$106="Pending"</formula>
    </cfRule>
  </conditionalFormatting>
  <conditionalFormatting sqref="GT107:GU107">
    <cfRule type="expression" dxfId="1486" priority="1474">
      <formula>GR$107="Pending"</formula>
    </cfRule>
  </conditionalFormatting>
  <conditionalFormatting sqref="GT108:GU108">
    <cfRule type="expression" dxfId="1485" priority="1472">
      <formula>GR$108="Pending"</formula>
    </cfRule>
  </conditionalFormatting>
  <conditionalFormatting sqref="GT109:GU109">
    <cfRule type="expression" dxfId="1484" priority="1470">
      <formula>GR$109="Pending"</formula>
    </cfRule>
  </conditionalFormatting>
  <conditionalFormatting sqref="GT110:GU110">
    <cfRule type="expression" dxfId="1483" priority="1468">
      <formula>GR$110="Pending"</formula>
    </cfRule>
  </conditionalFormatting>
  <conditionalFormatting sqref="GT111:GU111">
    <cfRule type="expression" dxfId="1482" priority="1466">
      <formula>GR$111="Pending"</formula>
    </cfRule>
  </conditionalFormatting>
  <conditionalFormatting sqref="GT112:GU112">
    <cfRule type="expression" dxfId="1481" priority="1464">
      <formula>GR$112="Pending"</formula>
    </cfRule>
  </conditionalFormatting>
  <conditionalFormatting sqref="GT113:GU113">
    <cfRule type="expression" dxfId="1480" priority="1462">
      <formula>GR$113="Pending"</formula>
    </cfRule>
  </conditionalFormatting>
  <conditionalFormatting sqref="GT114:GU114">
    <cfRule type="expression" dxfId="1479" priority="1460">
      <formula>GR$114="Pending"</formula>
    </cfRule>
  </conditionalFormatting>
  <conditionalFormatting sqref="GT115:GU115">
    <cfRule type="expression" dxfId="1478" priority="1458">
      <formula>GR$115="Pending"</formula>
    </cfRule>
  </conditionalFormatting>
  <conditionalFormatting sqref="GT116:GU116">
    <cfRule type="expression" dxfId="1477" priority="1456">
      <formula>GR$116="Pending"</formula>
    </cfRule>
  </conditionalFormatting>
  <conditionalFormatting sqref="GT117:GU117">
    <cfRule type="expression" dxfId="1476" priority="1454">
      <formula>GR$117="Pending"</formula>
    </cfRule>
  </conditionalFormatting>
  <conditionalFormatting sqref="GT118:GU118">
    <cfRule type="expression" dxfId="1475" priority="1452">
      <formula>GR$118="Pending"</formula>
    </cfRule>
  </conditionalFormatting>
  <conditionalFormatting sqref="GT119:GU119">
    <cfRule type="expression" dxfId="1474" priority="1450">
      <formula>GR$119="Pending"</formula>
    </cfRule>
  </conditionalFormatting>
  <conditionalFormatting sqref="GT120:GU120">
    <cfRule type="expression" dxfId="1473" priority="1448">
      <formula>GR$120="Pending"</formula>
    </cfRule>
  </conditionalFormatting>
  <conditionalFormatting sqref="GT121:GU121">
    <cfRule type="expression" dxfId="1472" priority="1446">
      <formula>GR$121="Pending"</formula>
    </cfRule>
  </conditionalFormatting>
  <conditionalFormatting sqref="GT122:GU122">
    <cfRule type="expression" dxfId="1471" priority="1444">
      <formula>GR$122="Pending"</formula>
    </cfRule>
  </conditionalFormatting>
  <conditionalFormatting sqref="GV27:GY28">
    <cfRule type="expression" dxfId="1470" priority="5593">
      <formula>$GV$27&lt;&gt;""</formula>
    </cfRule>
  </conditionalFormatting>
  <conditionalFormatting sqref="GV84:GY85">
    <cfRule type="expression" dxfId="1469" priority="2644">
      <formula>GV$84&lt;&gt;""</formula>
    </cfRule>
  </conditionalFormatting>
  <conditionalFormatting sqref="GV147:GY148">
    <cfRule type="expression" dxfId="1468" priority="265">
      <formula>$GV$27&lt;&gt;""</formula>
    </cfRule>
  </conditionalFormatting>
  <conditionalFormatting sqref="GX55:HA55">
    <cfRule type="expression" dxfId="1467" priority="623">
      <formula>GX55&lt;&gt;""</formula>
    </cfRule>
  </conditionalFormatting>
  <conditionalFormatting sqref="GX129:HA129">
    <cfRule type="expression" dxfId="1466" priority="590">
      <formula>GX129&lt;&gt;""</formula>
    </cfRule>
  </conditionalFormatting>
  <conditionalFormatting sqref="HB39:HB40">
    <cfRule type="expression" dxfId="1465" priority="5535">
      <formula>AND($H$12&gt;=17, $H$12&lt;&gt;"Please Select")</formula>
    </cfRule>
  </conditionalFormatting>
  <conditionalFormatting sqref="HB41">
    <cfRule type="expression" dxfId="1464" priority="9010">
      <formula>$HB$41&lt;&gt;""</formula>
    </cfRule>
  </conditionalFormatting>
  <conditionalFormatting sqref="HB43">
    <cfRule type="expression" dxfId="1463" priority="5530">
      <formula>AND($H$12&gt;=17, $H$12&lt;&gt;"Please Select")</formula>
    </cfRule>
  </conditionalFormatting>
  <conditionalFormatting sqref="HB44">
    <cfRule type="expression" dxfId="1462" priority="9008">
      <formula>AND($H$12&gt;=17, $H$12&lt;&gt;"Please Select")</formula>
    </cfRule>
  </conditionalFormatting>
  <conditionalFormatting sqref="HB45">
    <cfRule type="expression" dxfId="1461" priority="9002">
      <formula>AND($H$12&gt;=17, $H$12&lt;&gt;"Please Select")</formula>
    </cfRule>
  </conditionalFormatting>
  <conditionalFormatting sqref="HB46">
    <cfRule type="expression" dxfId="1460" priority="9001">
      <formula>AND($H$12&gt;=17, $H$12&lt;&gt;"Please Select")</formula>
    </cfRule>
  </conditionalFormatting>
  <conditionalFormatting sqref="HB47">
    <cfRule type="expression" dxfId="1459" priority="9000">
      <formula>AND($H$12&gt;=17, $H$12&lt;&gt;"Please Select")</formula>
    </cfRule>
  </conditionalFormatting>
  <conditionalFormatting sqref="HB48">
    <cfRule type="expression" dxfId="1458" priority="8999">
      <formula>AND($H$12&gt;=17, $H$12&lt;&gt;"Please Select")</formula>
    </cfRule>
  </conditionalFormatting>
  <conditionalFormatting sqref="HB96">
    <cfRule type="expression" dxfId="1457" priority="1440">
      <formula>AND($H$64&gt;=17, $H$64&lt;&gt;"Please Select")</formula>
    </cfRule>
  </conditionalFormatting>
  <conditionalFormatting sqref="HB98:HD122">
    <cfRule type="expression" dxfId="1456" priority="1442">
      <formula>AND($H$64&gt;=17, $H$64&lt;&gt;"Please Select")</formula>
    </cfRule>
  </conditionalFormatting>
  <conditionalFormatting sqref="HB97:HF97">
    <cfRule type="expression" dxfId="1455" priority="1443">
      <formula>AND($H$64&gt;=17, $H$64&lt;&gt;"Please Select")</formula>
    </cfRule>
  </conditionalFormatting>
  <conditionalFormatting sqref="HB25:HH25">
    <cfRule type="expression" dxfId="1454" priority="9023">
      <formula>AND($H$12&gt;=17, $H$12&lt;&gt;"Please Select")</formula>
    </cfRule>
  </conditionalFormatting>
  <conditionalFormatting sqref="HB82:HH82">
    <cfRule type="expression" dxfId="1453" priority="2623">
      <formula>AND($H$64&gt;=17, $H$64&lt;&gt;"Please Select")</formula>
    </cfRule>
  </conditionalFormatting>
  <conditionalFormatting sqref="HB51:HJ51">
    <cfRule type="expression" dxfId="1452" priority="8996">
      <formula>AND($H$12&gt;=17, $H$12&lt;&gt;"Please Select")</formula>
    </cfRule>
  </conditionalFormatting>
  <conditionalFormatting sqref="HB125:HJ125">
    <cfRule type="expression" dxfId="1451" priority="2618">
      <formula>AND($H$64&gt;=17, $H$64&lt;&gt;"Please Select")</formula>
    </cfRule>
  </conditionalFormatting>
  <conditionalFormatting sqref="HC39:HC40">
    <cfRule type="expression" dxfId="1450" priority="5534">
      <formula>AND($H$12&gt;=17, $H$12&lt;&gt;"Please Select")</formula>
    </cfRule>
  </conditionalFormatting>
  <conditionalFormatting sqref="HC41">
    <cfRule type="expression" dxfId="1449" priority="9007">
      <formula>AND($H$12&gt;=17, $H$12&lt;&gt;"Please Select")</formula>
    </cfRule>
  </conditionalFormatting>
  <conditionalFormatting sqref="HC43">
    <cfRule type="expression" dxfId="1448" priority="5529">
      <formula>AND($H$12&gt;=17, $H$12&lt;&gt;"Please Select")</formula>
    </cfRule>
  </conditionalFormatting>
  <conditionalFormatting sqref="HC44:HC48">
    <cfRule type="expression" dxfId="1447" priority="9004">
      <formula>AND($H$12&gt;=17, $H$12&lt;&gt;"Please Select")</formula>
    </cfRule>
  </conditionalFormatting>
  <conditionalFormatting sqref="HC30:HD30">
    <cfRule type="expression" dxfId="1446" priority="9019">
      <formula>AND($H$12&gt;=17, $H$12&lt;&gt;"Please Select")</formula>
    </cfRule>
  </conditionalFormatting>
  <conditionalFormatting sqref="HC87:HD87">
    <cfRule type="expression" dxfId="1445" priority="2621">
      <formula>AND($H$64&gt;=17, $H$64&lt;&gt;"Please Select")</formula>
    </cfRule>
  </conditionalFormatting>
  <conditionalFormatting sqref="HC27:HF27">
    <cfRule type="expression" dxfId="1444" priority="5537">
      <formula>AND($H$12&gt;=17, $H$12&lt;&gt;"Please Select")</formula>
    </cfRule>
  </conditionalFormatting>
  <conditionalFormatting sqref="HC28:HF28">
    <cfRule type="expression" dxfId="1443" priority="5536">
      <formula>AND($H$12&gt;=17, $H$12&lt;&gt;"Please Select")</formula>
    </cfRule>
  </conditionalFormatting>
  <conditionalFormatting sqref="HC29:HF29">
    <cfRule type="expression" dxfId="1442" priority="9020">
      <formula>AND($H$12&gt;=17, $H$12&lt;&gt;"Please Select")</formula>
    </cfRule>
  </conditionalFormatting>
  <conditionalFormatting sqref="HC84:HF86">
    <cfRule type="expression" dxfId="1441" priority="2622">
      <formula>AND($H$64&gt;=17, $H$64&lt;&gt;"Please Select")</formula>
    </cfRule>
  </conditionalFormatting>
  <conditionalFormatting sqref="HD31">
    <cfRule type="expression" dxfId="1440" priority="9017">
      <formula>AND($H$12&gt;=17, $H$12&lt;&gt;"Please Select")</formula>
    </cfRule>
  </conditionalFormatting>
  <conditionalFormatting sqref="HD88">
    <cfRule type="expression" dxfId="1439" priority="2619">
      <formula>AND($H$64&gt;=17, $H$64&lt;&gt;"Please Select")</formula>
    </cfRule>
  </conditionalFormatting>
  <conditionalFormatting sqref="HD39:HE40">
    <cfRule type="expression" dxfId="1438" priority="5533">
      <formula>AND($H$12&gt;=17, $H$12&lt;&gt;"Please Select")</formula>
    </cfRule>
  </conditionalFormatting>
  <conditionalFormatting sqref="HD41:HE41">
    <cfRule type="expression" dxfId="1437" priority="9006">
      <formula>AND($H$12&gt;=17, $H$12&lt;&gt;"Please Select")</formula>
    </cfRule>
  </conditionalFormatting>
  <conditionalFormatting sqref="HD43:HE43">
    <cfRule type="expression" dxfId="1436" priority="5528">
      <formula>AND($H$12&gt;=17, $H$12&lt;&gt;"Please Select")</formula>
    </cfRule>
  </conditionalFormatting>
  <conditionalFormatting sqref="HD44:HE48">
    <cfRule type="expression" dxfId="1435" priority="9003">
      <formula>AND($H$12&gt;=17, $H$12&lt;&gt;"Please Select")</formula>
    </cfRule>
  </conditionalFormatting>
  <conditionalFormatting sqref="HD91:HE91">
    <cfRule type="expression" dxfId="1434" priority="146">
      <formula>AND($H$64&gt;=17, $H$64&lt;&gt;"Please Select")</formula>
    </cfRule>
    <cfRule type="expression" dxfId="1433" priority="145">
      <formula>$HD$91="No"</formula>
    </cfRule>
  </conditionalFormatting>
  <conditionalFormatting sqref="HD92:HE92">
    <cfRule type="expression" dxfId="1432" priority="2609">
      <formula>AND($H$64&gt;=17, $H$64&lt;&gt;"Please Select")</formula>
    </cfRule>
  </conditionalFormatting>
  <conditionalFormatting sqref="HD95:HE95">
    <cfRule type="expression" dxfId="1431" priority="652">
      <formula>AND($H$64&gt;=17, $H$64&lt;&gt;"Please Select")</formula>
    </cfRule>
  </conditionalFormatting>
  <conditionalFormatting sqref="HD33:HF33">
    <cfRule type="expression" dxfId="1430" priority="9016">
      <formula>AND($H$12&gt;=17, $H$12&lt;&gt;"Please Select")</formula>
    </cfRule>
  </conditionalFormatting>
  <conditionalFormatting sqref="HE98">
    <cfRule type="expression" dxfId="1429" priority="1438">
      <formula>HE$98="Pending"</formula>
    </cfRule>
  </conditionalFormatting>
  <conditionalFormatting sqref="HE98:HF122">
    <cfRule type="expression" dxfId="1428" priority="1441">
      <formula>AND($H$64&gt;=17, $H$64&lt;&gt;"Please Select")</formula>
    </cfRule>
  </conditionalFormatting>
  <conditionalFormatting sqref="HE99:HF99">
    <cfRule type="expression" dxfId="1427" priority="1436">
      <formula>HE$99="Pending"</formula>
    </cfRule>
  </conditionalFormatting>
  <conditionalFormatting sqref="HE100:HF100">
    <cfRule type="expression" dxfId="1426" priority="1434">
      <formula>HE$100="Pending"</formula>
    </cfRule>
  </conditionalFormatting>
  <conditionalFormatting sqref="HE101:HF101">
    <cfRule type="expression" dxfId="1425" priority="1432">
      <formula>HE$101="Pending"</formula>
    </cfRule>
  </conditionalFormatting>
  <conditionalFormatting sqref="HE102:HF102">
    <cfRule type="expression" dxfId="1424" priority="1430">
      <formula>HE$102="Pending"</formula>
    </cfRule>
  </conditionalFormatting>
  <conditionalFormatting sqref="HE103:HF103">
    <cfRule type="expression" dxfId="1423" priority="1428">
      <formula>HE$103="Pending"</formula>
    </cfRule>
  </conditionalFormatting>
  <conditionalFormatting sqref="HE104:HF104">
    <cfRule type="expression" dxfId="1422" priority="1426">
      <formula>HE$104="Pending"</formula>
    </cfRule>
  </conditionalFormatting>
  <conditionalFormatting sqref="HE105:HF105">
    <cfRule type="expression" dxfId="1421" priority="1424">
      <formula>HE$105="Pending"</formula>
    </cfRule>
  </conditionalFormatting>
  <conditionalFormatting sqref="HE106:HF106">
    <cfRule type="expression" dxfId="1420" priority="1422">
      <formula>HE$106="Pending"</formula>
    </cfRule>
  </conditionalFormatting>
  <conditionalFormatting sqref="HE107:HF107">
    <cfRule type="expression" dxfId="1419" priority="1420">
      <formula>HE$107="Pending"</formula>
    </cfRule>
  </conditionalFormatting>
  <conditionalFormatting sqref="HE108:HF108">
    <cfRule type="expression" dxfId="1418" priority="1418">
      <formula>HE$108="Pending"</formula>
    </cfRule>
  </conditionalFormatting>
  <conditionalFormatting sqref="HE109:HF109">
    <cfRule type="expression" dxfId="1417" priority="1416">
      <formula>HE$109="Pending"</formula>
    </cfRule>
  </conditionalFormatting>
  <conditionalFormatting sqref="HE110:HF110">
    <cfRule type="expression" dxfId="1416" priority="1414">
      <formula>HE$110="Pending"</formula>
    </cfRule>
  </conditionalFormatting>
  <conditionalFormatting sqref="HE111:HF111">
    <cfRule type="expression" dxfId="1415" priority="1412">
      <formula>HE$111="Pending"</formula>
    </cfRule>
  </conditionalFormatting>
  <conditionalFormatting sqref="HE112:HF112">
    <cfRule type="expression" dxfId="1414" priority="1410">
      <formula>HE$112="Pending"</formula>
    </cfRule>
  </conditionalFormatting>
  <conditionalFormatting sqref="HE113:HF113">
    <cfRule type="expression" dxfId="1413" priority="1408">
      <formula>HE$113="Pending"</formula>
    </cfRule>
  </conditionalFormatting>
  <conditionalFormatting sqref="HE114:HF114">
    <cfRule type="expression" dxfId="1412" priority="1406">
      <formula>HE$114="Pending"</formula>
    </cfRule>
  </conditionalFormatting>
  <conditionalFormatting sqref="HE115:HF115">
    <cfRule type="expression" dxfId="1411" priority="1404">
      <formula>HE$115="Pending"</formula>
    </cfRule>
  </conditionalFormatting>
  <conditionalFormatting sqref="HE116:HF116">
    <cfRule type="expression" dxfId="1410" priority="1402">
      <formula>HE$116="Pending"</formula>
    </cfRule>
  </conditionalFormatting>
  <conditionalFormatting sqref="HE117:HF117">
    <cfRule type="expression" dxfId="1409" priority="1400">
      <formula>HE$117="Pending"</formula>
    </cfRule>
  </conditionalFormatting>
  <conditionalFormatting sqref="HE118:HF118">
    <cfRule type="expression" dxfId="1408" priority="1398">
      <formula>HE$118="Pending"</formula>
    </cfRule>
  </conditionalFormatting>
  <conditionalFormatting sqref="HE119:HF119">
    <cfRule type="expression" dxfId="1407" priority="1396">
      <formula>HE$119="Pending"</formula>
    </cfRule>
  </conditionalFormatting>
  <conditionalFormatting sqref="HE120:HF120">
    <cfRule type="expression" dxfId="1406" priority="1394">
      <formula>HE$120="Pending"</formula>
    </cfRule>
  </conditionalFormatting>
  <conditionalFormatting sqref="HE121:HF121">
    <cfRule type="expression" dxfId="1405" priority="1392">
      <formula>HE$121="Pending"</formula>
    </cfRule>
  </conditionalFormatting>
  <conditionalFormatting sqref="HE122:HF122">
    <cfRule type="expression" dxfId="1404" priority="1390">
      <formula>HE$122="Pending"</formula>
    </cfRule>
  </conditionalFormatting>
  <conditionalFormatting sqref="HE52:HJ52 HE55:HJ55">
    <cfRule type="expression" dxfId="1403" priority="8970">
      <formula>AND($H$12&gt;=17, $H$12&lt;&gt;"Please Select")</formula>
    </cfRule>
  </conditionalFormatting>
  <conditionalFormatting sqref="HE53:HJ54">
    <cfRule type="expression" dxfId="1402" priority="51">
      <formula>$HE$53&lt;&gt;""</formula>
    </cfRule>
  </conditionalFormatting>
  <conditionalFormatting sqref="HE126:HJ126 HE129:HJ129">
    <cfRule type="expression" dxfId="1401" priority="2617">
      <formula>AND($H$64&gt;=17, $H$64&lt;&gt;"Please Select")</formula>
    </cfRule>
  </conditionalFormatting>
  <conditionalFormatting sqref="HE127:HJ128">
    <cfRule type="expression" dxfId="1400" priority="22">
      <formula>$HE$127&lt;&gt;""</formula>
    </cfRule>
  </conditionalFormatting>
  <conditionalFormatting sqref="HF30">
    <cfRule type="expression" dxfId="1399" priority="9018">
      <formula>AND($H$12&gt;=17, $H$12&lt;&gt;"Please Select")</formula>
    </cfRule>
  </conditionalFormatting>
  <conditionalFormatting sqref="HF34">
    <cfRule type="expression" dxfId="1398" priority="191">
      <formula>$HF$34="Pending"</formula>
    </cfRule>
    <cfRule type="expression" dxfId="1397" priority="9015">
      <formula>AND($H$12&gt;=17, $H$12&lt;&gt;"Please Select")</formula>
    </cfRule>
  </conditionalFormatting>
  <conditionalFormatting sqref="HF35">
    <cfRule type="expression" dxfId="1396" priority="8995">
      <formula>HF$34&lt;&gt;""</formula>
    </cfRule>
  </conditionalFormatting>
  <conditionalFormatting sqref="HF39:HF40">
    <cfRule type="expression" dxfId="1395" priority="5532">
      <formula>AND($H$12&gt;=17, $H$12&lt;&gt;"Please Select")</formula>
    </cfRule>
  </conditionalFormatting>
  <conditionalFormatting sqref="HF41">
    <cfRule type="expression" dxfId="1394" priority="9005">
      <formula>AND($H$12&gt;=17, $H$12&lt;&gt;"Please Select")</formula>
    </cfRule>
  </conditionalFormatting>
  <conditionalFormatting sqref="HF87">
    <cfRule type="expression" dxfId="1393" priority="2620">
      <formula>AND($H$64&gt;=17, $H$64&lt;&gt;"Please Select")</formula>
    </cfRule>
  </conditionalFormatting>
  <conditionalFormatting sqref="HG97:HH97">
    <cfRule type="expression" dxfId="1392" priority="1439">
      <formula>HG$97&lt;&gt;""</formula>
    </cfRule>
  </conditionalFormatting>
  <conditionalFormatting sqref="HG98:HH98">
    <cfRule type="expression" dxfId="1391" priority="1437">
      <formula>HE$98="Pending"</formula>
    </cfRule>
  </conditionalFormatting>
  <conditionalFormatting sqref="HG99:HH99">
    <cfRule type="expression" dxfId="1390" priority="1435">
      <formula>HE$99="Pending"</formula>
    </cfRule>
  </conditionalFormatting>
  <conditionalFormatting sqref="HG100:HH100">
    <cfRule type="expression" dxfId="1389" priority="1433">
      <formula>HE$100="Pending"</formula>
    </cfRule>
  </conditionalFormatting>
  <conditionalFormatting sqref="HG101:HH101">
    <cfRule type="expression" dxfId="1388" priority="1431">
      <formula>HE$101="Pending"</formula>
    </cfRule>
  </conditionalFormatting>
  <conditionalFormatting sqref="HG102:HH102">
    <cfRule type="expression" dxfId="1387" priority="1429">
      <formula>HE$102="Pending"</formula>
    </cfRule>
  </conditionalFormatting>
  <conditionalFormatting sqref="HG103:HH103">
    <cfRule type="expression" dxfId="1386" priority="1427">
      <formula>HE$103="Pending"</formula>
    </cfRule>
  </conditionalFormatting>
  <conditionalFormatting sqref="HG104:HH104">
    <cfRule type="expression" dxfId="1385" priority="1425">
      <formula>HE$104="Pending"</formula>
    </cfRule>
  </conditionalFormatting>
  <conditionalFormatting sqref="HG105:HH105">
    <cfRule type="expression" dxfId="1384" priority="1423">
      <formula>HE$105="Pending"</formula>
    </cfRule>
  </conditionalFormatting>
  <conditionalFormatting sqref="HG106:HH106">
    <cfRule type="expression" dxfId="1383" priority="1421">
      <formula>HE$106="Pending"</formula>
    </cfRule>
  </conditionalFormatting>
  <conditionalFormatting sqref="HG107:HH107">
    <cfRule type="expression" dxfId="1382" priority="1419">
      <formula>HE$107="Pending"</formula>
    </cfRule>
  </conditionalFormatting>
  <conditionalFormatting sqref="HG108:HH108">
    <cfRule type="expression" dxfId="1381" priority="1417">
      <formula>HE$108="Pending"</formula>
    </cfRule>
  </conditionalFormatting>
  <conditionalFormatting sqref="HG109:HH109">
    <cfRule type="expression" dxfId="1380" priority="1415">
      <formula>HE$109="Pending"</formula>
    </cfRule>
  </conditionalFormatting>
  <conditionalFormatting sqref="HG110:HH110">
    <cfRule type="expression" dxfId="1379" priority="1413">
      <formula>HE$110="Pending"</formula>
    </cfRule>
  </conditionalFormatting>
  <conditionalFormatting sqref="HG111:HH111">
    <cfRule type="expression" dxfId="1378" priority="1411">
      <formula>HE$111="Pending"</formula>
    </cfRule>
  </conditionalFormatting>
  <conditionalFormatting sqref="HG112:HH112">
    <cfRule type="expression" dxfId="1377" priority="1409">
      <formula>HE$112="Pending"</formula>
    </cfRule>
  </conditionalFormatting>
  <conditionalFormatting sqref="HG113:HH113">
    <cfRule type="expression" dxfId="1376" priority="1407">
      <formula>HE$113="Pending"</formula>
    </cfRule>
  </conditionalFormatting>
  <conditionalFormatting sqref="HG114:HH114">
    <cfRule type="expression" dxfId="1375" priority="1405">
      <formula>HE$114="Pending"</formula>
    </cfRule>
  </conditionalFormatting>
  <conditionalFormatting sqref="HG115:HH115">
    <cfRule type="expression" dxfId="1374" priority="1403">
      <formula>HE$115="Pending"</formula>
    </cfRule>
  </conditionalFormatting>
  <conditionalFormatting sqref="HG116:HH116">
    <cfRule type="expression" dxfId="1373" priority="1401">
      <formula>HE$116="Pending"</formula>
    </cfRule>
  </conditionalFormatting>
  <conditionalFormatting sqref="HG117:HH117">
    <cfRule type="expression" dxfId="1372" priority="1399">
      <formula>HE$117="Pending"</formula>
    </cfRule>
  </conditionalFormatting>
  <conditionalFormatting sqref="HG118:HH118">
    <cfRule type="expression" dxfId="1371" priority="1397">
      <formula>HE$118="Pending"</formula>
    </cfRule>
  </conditionalFormatting>
  <conditionalFormatting sqref="HG119:HH119">
    <cfRule type="expression" dxfId="1370" priority="1395">
      <formula>HE$119="Pending"</formula>
    </cfRule>
  </conditionalFormatting>
  <conditionalFormatting sqref="HG120:HH120">
    <cfRule type="expression" dxfId="1369" priority="1393">
      <formula>HE$120="Pending"</formula>
    </cfRule>
  </conditionalFormatting>
  <conditionalFormatting sqref="HG121:HH121">
    <cfRule type="expression" dxfId="1368" priority="1391">
      <formula>HE$121="Pending"</formula>
    </cfRule>
  </conditionalFormatting>
  <conditionalFormatting sqref="HG122:HH122">
    <cfRule type="expression" dxfId="1367" priority="1389">
      <formula>HE$122="Pending"</formula>
    </cfRule>
  </conditionalFormatting>
  <conditionalFormatting sqref="HI27:HL28">
    <cfRule type="expression" dxfId="1366" priority="5592">
      <formula>$HI$27&lt;&gt;""</formula>
    </cfRule>
  </conditionalFormatting>
  <conditionalFormatting sqref="HI84:HL85">
    <cfRule type="expression" dxfId="1365" priority="2624">
      <formula>HI$84&lt;&gt;""</formula>
    </cfRule>
  </conditionalFormatting>
  <conditionalFormatting sqref="HI147:HL148">
    <cfRule type="expression" dxfId="1364" priority="264">
      <formula>$HI$27&lt;&gt;""</formula>
    </cfRule>
  </conditionalFormatting>
  <conditionalFormatting sqref="HK55:HN55">
    <cfRule type="expression" dxfId="1363" priority="624">
      <formula>HK55&lt;&gt;""</formula>
    </cfRule>
  </conditionalFormatting>
  <conditionalFormatting sqref="HK129:HN129">
    <cfRule type="expression" dxfId="1362" priority="589">
      <formula>HK129&lt;&gt;""</formula>
    </cfRule>
  </conditionalFormatting>
  <conditionalFormatting sqref="HO39:HO40">
    <cfRule type="expression" dxfId="1361" priority="8742">
      <formula>(AND($H$12&gt;=18, $H$12&lt;&gt;"Please Select"))</formula>
    </cfRule>
  </conditionalFormatting>
  <conditionalFormatting sqref="HO41">
    <cfRule type="expression" dxfId="1360" priority="8738">
      <formula>(AND($H$12&gt;=18, $H$12&lt;&gt;"Please Select"))</formula>
    </cfRule>
  </conditionalFormatting>
  <conditionalFormatting sqref="HO43">
    <cfRule type="expression" dxfId="1359" priority="8737">
      <formula>(AND($H$12&gt;=18, $H$12&lt;&gt;"Please Select"))</formula>
    </cfRule>
  </conditionalFormatting>
  <conditionalFormatting sqref="HO44">
    <cfRule type="expression" dxfId="1358" priority="8736">
      <formula>(AND($H$12&gt;=18, $H$12&lt;&gt;"Please Select"))</formula>
    </cfRule>
  </conditionalFormatting>
  <conditionalFormatting sqref="HO45">
    <cfRule type="expression" dxfId="1357" priority="8730">
      <formula>(AND($H$12&gt;=18, $H$12&lt;&gt;"Please Select"))</formula>
    </cfRule>
  </conditionalFormatting>
  <conditionalFormatting sqref="HO46">
    <cfRule type="expression" dxfId="1356" priority="8729">
      <formula>(AND($H$12&gt;=18, $H$12&lt;&gt;"Please Select"))</formula>
    </cfRule>
  </conditionalFormatting>
  <conditionalFormatting sqref="HO47">
    <cfRule type="expression" dxfId="1355" priority="8728">
      <formula>(AND($H$12&gt;=18, $H$12&lt;&gt;"Please Select"))</formula>
    </cfRule>
  </conditionalFormatting>
  <conditionalFormatting sqref="HO48">
    <cfRule type="expression" dxfId="1354" priority="8727">
      <formula>(AND($H$12&gt;=18, $H$12&lt;&gt;"Please Select"))</formula>
    </cfRule>
  </conditionalFormatting>
  <conditionalFormatting sqref="HO96">
    <cfRule type="expression" dxfId="1353" priority="1385">
      <formula>AND($H$64&gt;=18, $H$64&lt;&gt;"Please Select")</formula>
    </cfRule>
  </conditionalFormatting>
  <conditionalFormatting sqref="HO98:HQ122">
    <cfRule type="expression" dxfId="1352" priority="1387">
      <formula>AND($H$64&gt;=18, $H$64&lt;&gt;"Please Select")</formula>
    </cfRule>
  </conditionalFormatting>
  <conditionalFormatting sqref="HO97:HS97">
    <cfRule type="expression" dxfId="1351" priority="1388">
      <formula>AND($H$64&gt;=18, $H$64&lt;&gt;"Please Select")</formula>
    </cfRule>
  </conditionalFormatting>
  <conditionalFormatting sqref="HO25:HU25">
    <cfRule type="expression" dxfId="1350" priority="8751">
      <formula>(AND($H$12&gt;=18, $H$12&lt;&gt;"Please Select"))</formula>
    </cfRule>
  </conditionalFormatting>
  <conditionalFormatting sqref="HO82:HU82">
    <cfRule type="expression" dxfId="1349" priority="2603">
      <formula>AND($H$64&gt;=18, $H$64&lt;&gt;"Please Select")</formula>
    </cfRule>
  </conditionalFormatting>
  <conditionalFormatting sqref="HO51:HW51">
    <cfRule type="expression" dxfId="1348" priority="8724">
      <formula>(AND($H$12&gt;=18, $H$12&lt;&gt;"Please Select"))</formula>
    </cfRule>
  </conditionalFormatting>
  <conditionalFormatting sqref="HO125:HW125">
    <cfRule type="expression" dxfId="1347" priority="2598">
      <formula>AND($H$64&gt;=18, $H$64&lt;&gt;"Please Select")</formula>
    </cfRule>
  </conditionalFormatting>
  <conditionalFormatting sqref="HP39:HP40">
    <cfRule type="expression" dxfId="1346" priority="8741">
      <formula>(AND($H$12&gt;=18, $H$12&lt;&gt;"Please Select"))</formula>
    </cfRule>
  </conditionalFormatting>
  <conditionalFormatting sqref="HP41">
    <cfRule type="expression" dxfId="1345" priority="8735">
      <formula>(AND($H$12&gt;=18, $H$12&lt;&gt;"Please Select"))</formula>
    </cfRule>
  </conditionalFormatting>
  <conditionalFormatting sqref="HP43">
    <cfRule type="expression" dxfId="1344" priority="8726">
      <formula>(AND($H$12&gt;=18, $H$12&lt;&gt;"Please Select"))</formula>
    </cfRule>
  </conditionalFormatting>
  <conditionalFormatting sqref="HP44:HP48">
    <cfRule type="expression" dxfId="1343" priority="8732">
      <formula>(AND($H$12&gt;=18, $H$12&lt;&gt;"Please Select"))</formula>
    </cfRule>
  </conditionalFormatting>
  <conditionalFormatting sqref="HP30:HQ30">
    <cfRule type="expression" dxfId="1342" priority="8747">
      <formula>(AND($H$12&gt;=18, $H$12&lt;&gt;"Please Select"))</formula>
    </cfRule>
  </conditionalFormatting>
  <conditionalFormatting sqref="HP87:HQ87">
    <cfRule type="expression" dxfId="1341" priority="2601">
      <formula>AND($H$64&gt;=18, $H$64&lt;&gt;"Please Select")</formula>
    </cfRule>
  </conditionalFormatting>
  <conditionalFormatting sqref="HP27:HS27">
    <cfRule type="expression" dxfId="1340" priority="8750">
      <formula>(AND($H$12&gt;=18, $H$12&lt;&gt;"Please Select"))</formula>
    </cfRule>
  </conditionalFormatting>
  <conditionalFormatting sqref="HP28:HS28">
    <cfRule type="expression" dxfId="1339" priority="8749">
      <formula>(AND($H$12&gt;=18, $H$12&lt;&gt;"Please Select"))</formula>
    </cfRule>
  </conditionalFormatting>
  <conditionalFormatting sqref="HP29:HS29">
    <cfRule type="expression" dxfId="1338" priority="8748">
      <formula>(AND($H$12&gt;=18, $H$12&lt;&gt;"Please Select"))</formula>
    </cfRule>
  </conditionalFormatting>
  <conditionalFormatting sqref="HP84:HS86">
    <cfRule type="expression" dxfId="1337" priority="2602">
      <formula>AND($H$64&gt;=18, $H$64&lt;&gt;"Please Select")</formula>
    </cfRule>
  </conditionalFormatting>
  <conditionalFormatting sqref="HQ31">
    <cfRule type="expression" dxfId="1336" priority="8745">
      <formula>(AND($H$12&gt;=18, $H$12&lt;&gt;"Please Select"))</formula>
    </cfRule>
  </conditionalFormatting>
  <conditionalFormatting sqref="HQ88">
    <cfRule type="expression" dxfId="1335" priority="2599">
      <formula>AND($H$64&gt;=18, $H$64&lt;&gt;"Please Select")</formula>
    </cfRule>
  </conditionalFormatting>
  <conditionalFormatting sqref="HQ39:HR40">
    <cfRule type="expression" dxfId="1334" priority="8740">
      <formula>(AND($H$12&gt;=18, $H$12&lt;&gt;"Please Select"))</formula>
    </cfRule>
  </conditionalFormatting>
  <conditionalFormatting sqref="HQ41:HR41">
    <cfRule type="expression" dxfId="1333" priority="8734">
      <formula>(AND($H$12&gt;=18, $H$12&lt;&gt;"Please Select"))</formula>
    </cfRule>
  </conditionalFormatting>
  <conditionalFormatting sqref="HQ43:HR43">
    <cfRule type="expression" dxfId="1332" priority="8725">
      <formula>(AND($H$12&gt;=18, $H$12&lt;&gt;"Please Select"))</formula>
    </cfRule>
  </conditionalFormatting>
  <conditionalFormatting sqref="HQ44:HR48">
    <cfRule type="expression" dxfId="1331" priority="8731">
      <formula>(AND($H$12&gt;=18, $H$12&lt;&gt;"Please Select"))</formula>
    </cfRule>
  </conditionalFormatting>
  <conditionalFormatting sqref="HQ91:HR91">
    <cfRule type="expression" dxfId="1330" priority="144">
      <formula>AND($H$64&gt;=18, $H$64&lt;&gt;"Please Select")</formula>
    </cfRule>
    <cfRule type="expression" dxfId="1329" priority="143">
      <formula>$HQ$91="No"</formula>
    </cfRule>
  </conditionalFormatting>
  <conditionalFormatting sqref="HQ92:HR92">
    <cfRule type="expression" dxfId="1328" priority="2589">
      <formula>AND($H$64&gt;=18, $H$64&lt;&gt;"Please Select")</formula>
    </cfRule>
  </conditionalFormatting>
  <conditionalFormatting sqref="HQ95:HR95">
    <cfRule type="expression" dxfId="1327" priority="651">
      <formula>AND($H$64&gt;=18, $H$64&lt;&gt;"Please Select")</formula>
    </cfRule>
  </conditionalFormatting>
  <conditionalFormatting sqref="HQ33:HS33">
    <cfRule type="expression" dxfId="1326" priority="8744">
      <formula>(AND($H$12&gt;=18, $H$12&lt;&gt;"Please Select"))</formula>
    </cfRule>
  </conditionalFormatting>
  <conditionalFormatting sqref="HR98">
    <cfRule type="expression" dxfId="1325" priority="1383">
      <formula>HR$98="Pending"</formula>
    </cfRule>
  </conditionalFormatting>
  <conditionalFormatting sqref="HR98:HS122">
    <cfRule type="expression" dxfId="1324" priority="1386">
      <formula>AND($H$64&gt;=18, $H$64&lt;&gt;"Please Select")</formula>
    </cfRule>
  </conditionalFormatting>
  <conditionalFormatting sqref="HR99:HS99">
    <cfRule type="expression" dxfId="1323" priority="1381">
      <formula>HR$99="Pending"</formula>
    </cfRule>
  </conditionalFormatting>
  <conditionalFormatting sqref="HR100:HS100">
    <cfRule type="expression" dxfId="1322" priority="1379">
      <formula>HR$100="Pending"</formula>
    </cfRule>
  </conditionalFormatting>
  <conditionalFormatting sqref="HR101:HS101">
    <cfRule type="expression" dxfId="1321" priority="1377">
      <formula>HR$101="Pending"</formula>
    </cfRule>
  </conditionalFormatting>
  <conditionalFormatting sqref="HR102:HS102">
    <cfRule type="expression" dxfId="1320" priority="1375">
      <formula>HR$102="Pending"</formula>
    </cfRule>
  </conditionalFormatting>
  <conditionalFormatting sqref="HR103:HS103">
    <cfRule type="expression" dxfId="1319" priority="1373">
      <formula>HR$103="Pending"</formula>
    </cfRule>
  </conditionalFormatting>
  <conditionalFormatting sqref="HR104:HS104">
    <cfRule type="expression" dxfId="1318" priority="1371">
      <formula>HR$104="Pending"</formula>
    </cfRule>
  </conditionalFormatting>
  <conditionalFormatting sqref="HR105:HS105">
    <cfRule type="expression" dxfId="1317" priority="1369">
      <formula>HR$105="Pending"</formula>
    </cfRule>
  </conditionalFormatting>
  <conditionalFormatting sqref="HR106:HS106">
    <cfRule type="expression" dxfId="1316" priority="1367">
      <formula>HR$106="Pending"</formula>
    </cfRule>
  </conditionalFormatting>
  <conditionalFormatting sqref="HR107:HS107">
    <cfRule type="expression" dxfId="1315" priority="1365">
      <formula>HR$107="Pending"</formula>
    </cfRule>
  </conditionalFormatting>
  <conditionalFormatting sqref="HR108:HS108">
    <cfRule type="expression" dxfId="1314" priority="1363">
      <formula>HR$108="Pending"</formula>
    </cfRule>
  </conditionalFormatting>
  <conditionalFormatting sqref="HR109:HS109">
    <cfRule type="expression" dxfId="1313" priority="1361">
      <formula>HR$109="Pending"</formula>
    </cfRule>
  </conditionalFormatting>
  <conditionalFormatting sqref="HR110:HS110">
    <cfRule type="expression" dxfId="1312" priority="1359">
      <formula>HR$110="Pending"</formula>
    </cfRule>
  </conditionalFormatting>
  <conditionalFormatting sqref="HR111:HS111">
    <cfRule type="expression" dxfId="1311" priority="1357">
      <formula>HR$111="Pending"</formula>
    </cfRule>
  </conditionalFormatting>
  <conditionalFormatting sqref="HR112:HS112">
    <cfRule type="expression" dxfId="1310" priority="1355">
      <formula>HR$112="Pending"</formula>
    </cfRule>
  </conditionalFormatting>
  <conditionalFormatting sqref="HR113:HS113">
    <cfRule type="expression" dxfId="1309" priority="1353">
      <formula>HR$113="Pending"</formula>
    </cfRule>
  </conditionalFormatting>
  <conditionalFormatting sqref="HR114:HS114">
    <cfRule type="expression" dxfId="1308" priority="1351">
      <formula>HR$114="Pending"</formula>
    </cfRule>
  </conditionalFormatting>
  <conditionalFormatting sqref="HR115:HS115">
    <cfRule type="expression" dxfId="1307" priority="1349">
      <formula>HR$115="Pending"</formula>
    </cfRule>
  </conditionalFormatting>
  <conditionalFormatting sqref="HR116:HS116">
    <cfRule type="expression" dxfId="1306" priority="1347">
      <formula>HR$116="Pending"</formula>
    </cfRule>
  </conditionalFormatting>
  <conditionalFormatting sqref="HR117:HS117">
    <cfRule type="expression" dxfId="1305" priority="1345">
      <formula>HR$117="Pending"</formula>
    </cfRule>
  </conditionalFormatting>
  <conditionalFormatting sqref="HR118:HS118">
    <cfRule type="expression" dxfId="1304" priority="1343">
      <formula>HR$118="Pending"</formula>
    </cfRule>
  </conditionalFormatting>
  <conditionalFormatting sqref="HR119:HS119">
    <cfRule type="expression" dxfId="1303" priority="1341">
      <formula>HR$119="Pending"</formula>
    </cfRule>
  </conditionalFormatting>
  <conditionalFormatting sqref="HR120:HS120">
    <cfRule type="expression" dxfId="1302" priority="1339">
      <formula>HR$120="Pending"</formula>
    </cfRule>
  </conditionalFormatting>
  <conditionalFormatting sqref="HR121:HS121">
    <cfRule type="expression" dxfId="1301" priority="1337">
      <formula>HR$121="Pending"</formula>
    </cfRule>
  </conditionalFormatting>
  <conditionalFormatting sqref="HR122:HS122">
    <cfRule type="expression" dxfId="1300" priority="1335">
      <formula>HR$122="Pending"</formula>
    </cfRule>
  </conditionalFormatting>
  <conditionalFormatting sqref="HR52:HW52 HR55:HW55">
    <cfRule type="expression" dxfId="1299" priority="8698">
      <formula>(AND($H$12&gt;=18, $H$12&lt;&gt;"Please Select"))</formula>
    </cfRule>
  </conditionalFormatting>
  <conditionalFormatting sqref="HR53:HW54">
    <cfRule type="expression" dxfId="1298" priority="52">
      <formula>$HR$53&lt;&gt;""</formula>
    </cfRule>
  </conditionalFormatting>
  <conditionalFormatting sqref="HR126:HW126 HR129:HW129">
    <cfRule type="expression" dxfId="1297" priority="2597">
      <formula>AND($H$64&gt;=18, $H$64&lt;&gt;"Please Select")</formula>
    </cfRule>
  </conditionalFormatting>
  <conditionalFormatting sqref="HR127:HW128">
    <cfRule type="expression" dxfId="1296" priority="23">
      <formula>$HR$127&lt;&gt;""</formula>
    </cfRule>
  </conditionalFormatting>
  <conditionalFormatting sqref="HS30">
    <cfRule type="expression" dxfId="1295" priority="8746">
      <formula>(AND($H$12&gt;=18, $H$12&lt;&gt;"Please Select"))</formula>
    </cfRule>
  </conditionalFormatting>
  <conditionalFormatting sqref="HS34">
    <cfRule type="expression" dxfId="1294" priority="8743">
      <formula>(AND($H$12&gt;=18, $H$12&lt;&gt;"Please Select"))</formula>
    </cfRule>
    <cfRule type="expression" dxfId="1293" priority="192">
      <formula>$HS$34="Pending"</formula>
    </cfRule>
  </conditionalFormatting>
  <conditionalFormatting sqref="HS35">
    <cfRule type="expression" dxfId="1292" priority="8723">
      <formula>HS$34&lt;&gt;""</formula>
    </cfRule>
  </conditionalFormatting>
  <conditionalFormatting sqref="HS39:HS40">
    <cfRule type="expression" dxfId="1291" priority="8739">
      <formula>(AND($H$12&gt;=18, $H$12&lt;&gt;"Please Select"))</formula>
    </cfRule>
  </conditionalFormatting>
  <conditionalFormatting sqref="HS41">
    <cfRule type="expression" dxfId="1290" priority="8733">
      <formula>(AND($H$12&gt;=18, $H$12&lt;&gt;"Please Select"))</formula>
    </cfRule>
  </conditionalFormatting>
  <conditionalFormatting sqref="HS87">
    <cfRule type="expression" dxfId="1289" priority="2600">
      <formula>AND($H$64&gt;=18, $H$64&lt;&gt;"Please Select")</formula>
    </cfRule>
  </conditionalFormatting>
  <conditionalFormatting sqref="HT97:HU97">
    <cfRule type="expression" dxfId="1288" priority="1384">
      <formula>HT$97&lt;&gt;""</formula>
    </cfRule>
  </conditionalFormatting>
  <conditionalFormatting sqref="HT98:HU98">
    <cfRule type="expression" dxfId="1287" priority="1382">
      <formula>HR$98="Pending"</formula>
    </cfRule>
  </conditionalFormatting>
  <conditionalFormatting sqref="HT99:HU99">
    <cfRule type="expression" dxfId="1286" priority="1380">
      <formula>HR$99="Pending"</formula>
    </cfRule>
  </conditionalFormatting>
  <conditionalFormatting sqref="HT100:HU100">
    <cfRule type="expression" dxfId="1285" priority="1378">
      <formula>HR$100="Pending"</formula>
    </cfRule>
  </conditionalFormatting>
  <conditionalFormatting sqref="HT101:HU101">
    <cfRule type="expression" dxfId="1284" priority="1376">
      <formula>HR$101="Pending"</formula>
    </cfRule>
  </conditionalFormatting>
  <conditionalFormatting sqref="HT102:HU102">
    <cfRule type="expression" dxfId="1283" priority="1374">
      <formula>HR$102="Pending"</formula>
    </cfRule>
  </conditionalFormatting>
  <conditionalFormatting sqref="HT103:HU103">
    <cfRule type="expression" dxfId="1282" priority="1372">
      <formula>HR$103="Pending"</formula>
    </cfRule>
  </conditionalFormatting>
  <conditionalFormatting sqref="HT104:HU104">
    <cfRule type="expression" dxfId="1281" priority="1370">
      <formula>HR$104="Pending"</formula>
    </cfRule>
  </conditionalFormatting>
  <conditionalFormatting sqref="HT105:HU105">
    <cfRule type="expression" dxfId="1280" priority="1368">
      <formula>HR$105="Pending"</formula>
    </cfRule>
  </conditionalFormatting>
  <conditionalFormatting sqref="HT106:HU106">
    <cfRule type="expression" dxfId="1279" priority="1366">
      <formula>HR$106="Pending"</formula>
    </cfRule>
  </conditionalFormatting>
  <conditionalFormatting sqref="HT107:HU107">
    <cfRule type="expression" dxfId="1278" priority="1364">
      <formula>HR$107="Pending"</formula>
    </cfRule>
  </conditionalFormatting>
  <conditionalFormatting sqref="HT108:HU108">
    <cfRule type="expression" dxfId="1277" priority="1362">
      <formula>HR$108="Pending"</formula>
    </cfRule>
  </conditionalFormatting>
  <conditionalFormatting sqref="HT109:HU109">
    <cfRule type="expression" dxfId="1276" priority="1360">
      <formula>HR$109="Pending"</formula>
    </cfRule>
  </conditionalFormatting>
  <conditionalFormatting sqref="HT110:HU110">
    <cfRule type="expression" dxfId="1275" priority="1358">
      <formula>HR$110="Pending"</formula>
    </cfRule>
  </conditionalFormatting>
  <conditionalFormatting sqref="HT111:HU111">
    <cfRule type="expression" dxfId="1274" priority="1356">
      <formula>HR$111="Pending"</formula>
    </cfRule>
  </conditionalFormatting>
  <conditionalFormatting sqref="HT112:HU112">
    <cfRule type="expression" dxfId="1273" priority="1354">
      <formula>HR$112="Pending"</formula>
    </cfRule>
  </conditionalFormatting>
  <conditionalFormatting sqref="HT113:HU113">
    <cfRule type="expression" dxfId="1272" priority="1352">
      <formula>HR$113="Pending"</formula>
    </cfRule>
  </conditionalFormatting>
  <conditionalFormatting sqref="HT114:HU114">
    <cfRule type="expression" dxfId="1271" priority="1350">
      <formula>HR$114="Pending"</formula>
    </cfRule>
  </conditionalFormatting>
  <conditionalFormatting sqref="HT115:HU115">
    <cfRule type="expression" dxfId="1270" priority="1348">
      <formula>HR$115="Pending"</formula>
    </cfRule>
  </conditionalFormatting>
  <conditionalFormatting sqref="HT116:HU116">
    <cfRule type="expression" dxfId="1269" priority="1346">
      <formula>HR$116="Pending"</formula>
    </cfRule>
  </conditionalFormatting>
  <conditionalFormatting sqref="HT117:HU117">
    <cfRule type="expression" dxfId="1268" priority="1344">
      <formula>HR$117="Pending"</formula>
    </cfRule>
  </conditionalFormatting>
  <conditionalFormatting sqref="HT118:HU118">
    <cfRule type="expression" dxfId="1267" priority="1342">
      <formula>HR$118="Pending"</formula>
    </cfRule>
  </conditionalFormatting>
  <conditionalFormatting sqref="HT119:HU119">
    <cfRule type="expression" dxfId="1266" priority="1340">
      <formula>HR$119="Pending"</formula>
    </cfRule>
  </conditionalFormatting>
  <conditionalFormatting sqref="HT120:HU120">
    <cfRule type="expression" dxfId="1265" priority="1338">
      <formula>HR$120="Pending"</formula>
    </cfRule>
  </conditionalFormatting>
  <conditionalFormatting sqref="HT121:HU121">
    <cfRule type="expression" dxfId="1264" priority="1336">
      <formula>HR$121="Pending"</formula>
    </cfRule>
  </conditionalFormatting>
  <conditionalFormatting sqref="HT122:HU122">
    <cfRule type="expression" dxfId="1263" priority="1334">
      <formula>HR$122="Pending"</formula>
    </cfRule>
  </conditionalFormatting>
  <conditionalFormatting sqref="HV27:HY28">
    <cfRule type="expression" dxfId="1262" priority="5591">
      <formula>HV$27&lt;&gt;""</formula>
    </cfRule>
  </conditionalFormatting>
  <conditionalFormatting sqref="HV84:HY85">
    <cfRule type="expression" dxfId="1261" priority="2604">
      <formula>HV$84&lt;&gt;""</formula>
    </cfRule>
  </conditionalFormatting>
  <conditionalFormatting sqref="HV147:HY148">
    <cfRule type="expression" dxfId="1260" priority="263">
      <formula>HV$27&lt;&gt;""</formula>
    </cfRule>
  </conditionalFormatting>
  <conditionalFormatting sqref="HX55:IA55">
    <cfRule type="expression" dxfId="1259" priority="625">
      <formula>HX55&lt;&gt;""</formula>
    </cfRule>
  </conditionalFormatting>
  <conditionalFormatting sqref="HX129:IA129">
    <cfRule type="expression" dxfId="1258" priority="588">
      <formula>HX129&lt;&gt;""</formula>
    </cfRule>
  </conditionalFormatting>
  <conditionalFormatting sqref="IB39:IB40">
    <cfRule type="expression" dxfId="1257" priority="8470">
      <formula>(AND($H$12&gt;=19, $H$12&lt;&gt;"Please Select"))</formula>
    </cfRule>
  </conditionalFormatting>
  <conditionalFormatting sqref="IB41">
    <cfRule type="expression" dxfId="1256" priority="8466">
      <formula>(AND($H$12&gt;=19, $H$12&lt;&gt;"Please Select"))</formula>
    </cfRule>
  </conditionalFormatting>
  <conditionalFormatting sqref="IB43">
    <cfRule type="expression" dxfId="1255" priority="8465">
      <formula>(AND($H$12&gt;=19, $H$12&lt;&gt;"Please Select"))</formula>
    </cfRule>
  </conditionalFormatting>
  <conditionalFormatting sqref="IB44">
    <cfRule type="expression" dxfId="1254" priority="8464">
      <formula>(AND($H$12&gt;=19, $H$12&lt;&gt;"Please Select"))</formula>
    </cfRule>
  </conditionalFormatting>
  <conditionalFormatting sqref="IB45">
    <cfRule type="expression" dxfId="1253" priority="8458">
      <formula>(AND($H$12&gt;=19, $H$12&lt;&gt;"Please Select"))</formula>
    </cfRule>
  </conditionalFormatting>
  <conditionalFormatting sqref="IB46">
    <cfRule type="expression" dxfId="1252" priority="8457">
      <formula>(AND($H$12&gt;=19, $H$12&lt;&gt;"Please Select"))</formula>
    </cfRule>
  </conditionalFormatting>
  <conditionalFormatting sqref="IB47">
    <cfRule type="expression" dxfId="1251" priority="8456">
      <formula>(AND($H$12&gt;=19, $H$12&lt;&gt;"Please Select"))</formula>
    </cfRule>
  </conditionalFormatting>
  <conditionalFormatting sqref="IB48">
    <cfRule type="expression" dxfId="1250" priority="8455">
      <formula>(AND($H$12&gt;=19, $H$12&lt;&gt;"Please Select"))</formula>
    </cfRule>
  </conditionalFormatting>
  <conditionalFormatting sqref="IB96">
    <cfRule type="expression" dxfId="1249" priority="1330">
      <formula>AND($H$64&gt;=19, $H$64&lt;&gt;"Please Select")</formula>
    </cfRule>
  </conditionalFormatting>
  <conditionalFormatting sqref="IB98:ID122">
    <cfRule type="expression" dxfId="1248" priority="1332">
      <formula>AND($H$64&gt;=19, $H$64&lt;&gt;"Please Select")</formula>
    </cfRule>
  </conditionalFormatting>
  <conditionalFormatting sqref="IB97:IF97">
    <cfRule type="expression" dxfId="1247" priority="1333">
      <formula>AND($H$64&gt;=19, $H$64&lt;&gt;"Please Select")</formula>
    </cfRule>
  </conditionalFormatting>
  <conditionalFormatting sqref="IB25:IH25">
    <cfRule type="expression" dxfId="1246" priority="8479">
      <formula>(AND($H$12&gt;=19, $H$12&lt;&gt;"Please Select"))</formula>
    </cfRule>
  </conditionalFormatting>
  <conditionalFormatting sqref="IB82:IH82">
    <cfRule type="expression" dxfId="1245" priority="2583">
      <formula>AND($H$64&gt;=19, $H$64&lt;&gt;"Please Select")</formula>
    </cfRule>
  </conditionalFormatting>
  <conditionalFormatting sqref="IB51:IJ51">
    <cfRule type="expression" dxfId="1244" priority="8452">
      <formula>(AND($H$12&gt;=19, $H$12&lt;&gt;"Please Select"))</formula>
    </cfRule>
  </conditionalFormatting>
  <conditionalFormatting sqref="IB125:IJ125">
    <cfRule type="expression" dxfId="1243" priority="2578">
      <formula>AND($H$64&gt;=19, $H$64&lt;&gt;"Please Select")</formula>
    </cfRule>
  </conditionalFormatting>
  <conditionalFormatting sqref="IC39:IC40">
    <cfRule type="expression" dxfId="1242" priority="8469">
      <formula>(AND($H$12&gt;=19, $H$12&lt;&gt;"Please Select"))</formula>
    </cfRule>
  </conditionalFormatting>
  <conditionalFormatting sqref="IC41">
    <cfRule type="expression" dxfId="1241" priority="8463">
      <formula>(AND($H$12&gt;=19, $H$12&lt;&gt;"Please Select"))</formula>
    </cfRule>
  </conditionalFormatting>
  <conditionalFormatting sqref="IC43">
    <cfRule type="expression" dxfId="1240" priority="8454">
      <formula>(AND($H$12&gt;=19, $H$12&lt;&gt;"Please Select"))</formula>
    </cfRule>
  </conditionalFormatting>
  <conditionalFormatting sqref="IC44:IC48">
    <cfRule type="expression" dxfId="1239" priority="8460">
      <formula>(AND($H$12&gt;=19, $H$12&lt;&gt;"Please Select"))</formula>
    </cfRule>
  </conditionalFormatting>
  <conditionalFormatting sqref="IC30:ID30">
    <cfRule type="expression" dxfId="1238" priority="8475">
      <formula>(AND($H$12&gt;=19, $H$12&lt;&gt;"Please Select"))</formula>
    </cfRule>
  </conditionalFormatting>
  <conditionalFormatting sqref="IC87:ID87">
    <cfRule type="expression" dxfId="1237" priority="2581">
      <formula>AND($H$64&gt;=19, $H$64&lt;&gt;"Please Select")</formula>
    </cfRule>
  </conditionalFormatting>
  <conditionalFormatting sqref="IC27:IF27">
    <cfRule type="expression" dxfId="1236" priority="8478">
      <formula>(AND($H$12&gt;=19, $H$12&lt;&gt;"Please Select"))</formula>
    </cfRule>
  </conditionalFormatting>
  <conditionalFormatting sqref="IC28:IF28">
    <cfRule type="expression" dxfId="1235" priority="8477">
      <formula>(AND($H$12&gt;=19, $H$12&lt;&gt;"Please Select"))</formula>
    </cfRule>
  </conditionalFormatting>
  <conditionalFormatting sqref="IC29:IF29">
    <cfRule type="expression" dxfId="1234" priority="8476">
      <formula>(AND($H$12&gt;=19, $H$12&lt;&gt;"Please Select"))</formula>
    </cfRule>
  </conditionalFormatting>
  <conditionalFormatting sqref="IC84:IF86">
    <cfRule type="expression" dxfId="1233" priority="2582">
      <formula>AND($H$64&gt;=19, $H$64&lt;&gt;"Please Select")</formula>
    </cfRule>
  </conditionalFormatting>
  <conditionalFormatting sqref="ID31">
    <cfRule type="expression" dxfId="1232" priority="8473">
      <formula>(AND($H$12&gt;=19, $H$12&lt;&gt;"Please Select"))</formula>
    </cfRule>
  </conditionalFormatting>
  <conditionalFormatting sqref="ID88">
    <cfRule type="expression" dxfId="1231" priority="2579">
      <formula>AND($H$64&gt;=19, $H$64&lt;&gt;"Please Select")</formula>
    </cfRule>
  </conditionalFormatting>
  <conditionalFormatting sqref="ID39:IE40">
    <cfRule type="expression" dxfId="1230" priority="8468">
      <formula>(AND($H$12&gt;=19, $H$12&lt;&gt;"Please Select"))</formula>
    </cfRule>
  </conditionalFormatting>
  <conditionalFormatting sqref="ID41:IE41">
    <cfRule type="expression" dxfId="1229" priority="8462">
      <formula>(AND($H$12&gt;=19, $H$12&lt;&gt;"Please Select"))</formula>
    </cfRule>
  </conditionalFormatting>
  <conditionalFormatting sqref="ID43:IE43">
    <cfRule type="expression" dxfId="1228" priority="8453">
      <formula>(AND($H$12&gt;=19, $H$12&lt;&gt;"Please Select"))</formula>
    </cfRule>
  </conditionalFormatting>
  <conditionalFormatting sqref="ID44:IE48">
    <cfRule type="expression" dxfId="1227" priority="8459">
      <formula>(AND($H$12&gt;=19, $H$12&lt;&gt;"Please Select"))</formula>
    </cfRule>
  </conditionalFormatting>
  <conditionalFormatting sqref="ID91:IE91">
    <cfRule type="expression" dxfId="1226" priority="141">
      <formula>$ID$91="No"</formula>
    </cfRule>
    <cfRule type="expression" dxfId="1225" priority="142">
      <formula>AND($H$64&gt;=19, $H$64&lt;&gt;"Please Select")</formula>
    </cfRule>
  </conditionalFormatting>
  <conditionalFormatting sqref="ID92:IE92">
    <cfRule type="expression" dxfId="1224" priority="2569">
      <formula>AND($H$64&gt;=19, $H$64&lt;&gt;"Please Select")</formula>
    </cfRule>
  </conditionalFormatting>
  <conditionalFormatting sqref="ID95:IE95">
    <cfRule type="expression" dxfId="1223" priority="650">
      <formula>AND($H$64&gt;=19, $H$64&lt;&gt;"Please Select")</formula>
    </cfRule>
  </conditionalFormatting>
  <conditionalFormatting sqref="ID33:IF33">
    <cfRule type="expression" dxfId="1222" priority="8472">
      <formula>(AND($H$12&gt;=19, $H$12&lt;&gt;"Please Select"))</formula>
    </cfRule>
  </conditionalFormatting>
  <conditionalFormatting sqref="IE98">
    <cfRule type="expression" dxfId="1221" priority="1328">
      <formula>IE$98="Pending"</formula>
    </cfRule>
  </conditionalFormatting>
  <conditionalFormatting sqref="IE98:IF122">
    <cfRule type="expression" dxfId="1220" priority="1331">
      <formula>AND($H$64&gt;=19, $H$64&lt;&gt;"Please Select")</formula>
    </cfRule>
  </conditionalFormatting>
  <conditionalFormatting sqref="IE99:IF99">
    <cfRule type="expression" dxfId="1219" priority="1326">
      <formula>IE$99="Pending"</formula>
    </cfRule>
  </conditionalFormatting>
  <conditionalFormatting sqref="IE100:IF100">
    <cfRule type="expression" dxfId="1218" priority="1324">
      <formula>IE$100="Pending"</formula>
    </cfRule>
  </conditionalFormatting>
  <conditionalFormatting sqref="IE101:IF101">
    <cfRule type="expression" dxfId="1217" priority="1322">
      <formula>IE$101="Pending"</formula>
    </cfRule>
  </conditionalFormatting>
  <conditionalFormatting sqref="IE102:IF102">
    <cfRule type="expression" dxfId="1216" priority="1320">
      <formula>IE$102="Pending"</formula>
    </cfRule>
  </conditionalFormatting>
  <conditionalFormatting sqref="IE103:IF103">
    <cfRule type="expression" dxfId="1215" priority="1318">
      <formula>IE$103="Pending"</formula>
    </cfRule>
  </conditionalFormatting>
  <conditionalFormatting sqref="IE104:IF104">
    <cfRule type="expression" dxfId="1214" priority="1316">
      <formula>IE$104="Pending"</formula>
    </cfRule>
  </conditionalFormatting>
  <conditionalFormatting sqref="IE105:IF105">
    <cfRule type="expression" dxfId="1213" priority="1314">
      <formula>IE$105="Pending"</formula>
    </cfRule>
  </conditionalFormatting>
  <conditionalFormatting sqref="IE106:IF106">
    <cfRule type="expression" dxfId="1212" priority="1312">
      <formula>IE$106="Pending"</formula>
    </cfRule>
  </conditionalFormatting>
  <conditionalFormatting sqref="IE107:IF107">
    <cfRule type="expression" dxfId="1211" priority="1310">
      <formula>IE$107="Pending"</formula>
    </cfRule>
  </conditionalFormatting>
  <conditionalFormatting sqref="IE108:IF108">
    <cfRule type="expression" dxfId="1210" priority="1308">
      <formula>IE$108="Pending"</formula>
    </cfRule>
  </conditionalFormatting>
  <conditionalFormatting sqref="IE109:IF109">
    <cfRule type="expression" dxfId="1209" priority="1306">
      <formula>IE$109="Pending"</formula>
    </cfRule>
  </conditionalFormatting>
  <conditionalFormatting sqref="IE110:IF110">
    <cfRule type="expression" dxfId="1208" priority="1304">
      <formula>IE$110="Pending"</formula>
    </cfRule>
  </conditionalFormatting>
  <conditionalFormatting sqref="IE111:IF111">
    <cfRule type="expression" dxfId="1207" priority="1302">
      <formula>IE$111="Pending"</formula>
    </cfRule>
  </conditionalFormatting>
  <conditionalFormatting sqref="IE112:IF112">
    <cfRule type="expression" dxfId="1206" priority="1300">
      <formula>IE$112="Pending"</formula>
    </cfRule>
  </conditionalFormatting>
  <conditionalFormatting sqref="IE113:IF113">
    <cfRule type="expression" dxfId="1205" priority="1298">
      <formula>IE$113="Pending"</formula>
    </cfRule>
  </conditionalFormatting>
  <conditionalFormatting sqref="IE114:IF114">
    <cfRule type="expression" dxfId="1204" priority="1296">
      <formula>IE$114="Pending"</formula>
    </cfRule>
  </conditionalFormatting>
  <conditionalFormatting sqref="IE115:IF115">
    <cfRule type="expression" dxfId="1203" priority="1294">
      <formula>IE$115="Pending"</formula>
    </cfRule>
  </conditionalFormatting>
  <conditionalFormatting sqref="IE116:IF116">
    <cfRule type="expression" dxfId="1202" priority="1292">
      <formula>IE$116="Pending"</formula>
    </cfRule>
  </conditionalFormatting>
  <conditionalFormatting sqref="IE117:IF117">
    <cfRule type="expression" dxfId="1201" priority="1290">
      <formula>IE$117="Pending"</formula>
    </cfRule>
  </conditionalFormatting>
  <conditionalFormatting sqref="IE118:IF118">
    <cfRule type="expression" dxfId="1200" priority="1288">
      <formula>IE$118="Pending"</formula>
    </cfRule>
  </conditionalFormatting>
  <conditionalFormatting sqref="IE119:IF119">
    <cfRule type="expression" dxfId="1199" priority="1286">
      <formula>IE$119="Pending"</formula>
    </cfRule>
  </conditionalFormatting>
  <conditionalFormatting sqref="IE120:IF120">
    <cfRule type="expression" dxfId="1198" priority="1284">
      <formula>IE$120="Pending"</formula>
    </cfRule>
  </conditionalFormatting>
  <conditionalFormatting sqref="IE121:IF121">
    <cfRule type="expression" dxfId="1197" priority="1282">
      <formula>IE$121="Pending"</formula>
    </cfRule>
  </conditionalFormatting>
  <conditionalFormatting sqref="IE122:IF122">
    <cfRule type="expression" dxfId="1196" priority="1280">
      <formula>IE$122="Pending"</formula>
    </cfRule>
  </conditionalFormatting>
  <conditionalFormatting sqref="IE52:IJ52 IE55:IJ55">
    <cfRule type="expression" dxfId="1195" priority="8426">
      <formula>(AND($H$12&gt;=19, $H$12&lt;&gt;"Please Select"))</formula>
    </cfRule>
  </conditionalFormatting>
  <conditionalFormatting sqref="IE53:IJ54">
    <cfRule type="expression" dxfId="1194" priority="53">
      <formula>$IE$53&lt;&gt;""</formula>
    </cfRule>
  </conditionalFormatting>
  <conditionalFormatting sqref="IE126:IJ126 IE129:IJ129">
    <cfRule type="expression" dxfId="1193" priority="2577">
      <formula>AND($H$64&gt;=19, $H$64&lt;&gt;"Please Select")</formula>
    </cfRule>
  </conditionalFormatting>
  <conditionalFormatting sqref="IE127:IJ128">
    <cfRule type="expression" dxfId="1192" priority="24">
      <formula>$IE$127&lt;&gt;""</formula>
    </cfRule>
  </conditionalFormatting>
  <conditionalFormatting sqref="IF30">
    <cfRule type="expression" dxfId="1191" priority="8474">
      <formula>(AND($H$12&gt;=19, $H$12&lt;&gt;"Please Select"))</formula>
    </cfRule>
  </conditionalFormatting>
  <conditionalFormatting sqref="IF34">
    <cfRule type="expression" dxfId="1190" priority="8471">
      <formula>(AND($H$12&gt;=19, $H$12&lt;&gt;"Please Select"))</formula>
    </cfRule>
    <cfRule type="expression" dxfId="1189" priority="193">
      <formula>$IF$34="Pending"</formula>
    </cfRule>
  </conditionalFormatting>
  <conditionalFormatting sqref="IF35">
    <cfRule type="expression" dxfId="1188" priority="8451">
      <formula>IF$34&lt;&gt;""</formula>
    </cfRule>
  </conditionalFormatting>
  <conditionalFormatting sqref="IF39:IF40">
    <cfRule type="expression" dxfId="1187" priority="8467">
      <formula>(AND($H$12&gt;=19, $H$12&lt;&gt;"Please Select"))</formula>
    </cfRule>
  </conditionalFormatting>
  <conditionalFormatting sqref="IF41">
    <cfRule type="expression" dxfId="1186" priority="8461">
      <formula>(AND($H$12&gt;=19, $H$12&lt;&gt;"Please Select"))</formula>
    </cfRule>
  </conditionalFormatting>
  <conditionalFormatting sqref="IF87">
    <cfRule type="expression" dxfId="1185" priority="2580">
      <formula>AND($H$64&gt;=19, $H$64&lt;&gt;"Please Select")</formula>
    </cfRule>
  </conditionalFormatting>
  <conditionalFormatting sqref="IG97:IH97">
    <cfRule type="expression" dxfId="1184" priority="1329">
      <formula>IG$97&lt;&gt;""</formula>
    </cfRule>
  </conditionalFormatting>
  <conditionalFormatting sqref="IG98:IH98">
    <cfRule type="expression" dxfId="1183" priority="1327">
      <formula>IE$98="Pending"</formula>
    </cfRule>
  </conditionalFormatting>
  <conditionalFormatting sqref="IG99:IH99">
    <cfRule type="expression" dxfId="1182" priority="1325">
      <formula>IE$99="Pending"</formula>
    </cfRule>
  </conditionalFormatting>
  <conditionalFormatting sqref="IG100:IH100">
    <cfRule type="expression" dxfId="1181" priority="1323">
      <formula>IE$100="Pending"</formula>
    </cfRule>
  </conditionalFormatting>
  <conditionalFormatting sqref="IG101:IH101">
    <cfRule type="expression" dxfId="1180" priority="1321">
      <formula>IE$101="Pending"</formula>
    </cfRule>
  </conditionalFormatting>
  <conditionalFormatting sqref="IG102:IH102">
    <cfRule type="expression" dxfId="1179" priority="1319">
      <formula>IE$102="Pending"</formula>
    </cfRule>
  </conditionalFormatting>
  <conditionalFormatting sqref="IG103:IH103">
    <cfRule type="expression" dxfId="1178" priority="1317">
      <formula>IE$103="Pending"</formula>
    </cfRule>
  </conditionalFormatting>
  <conditionalFormatting sqref="IG104:IH104">
    <cfRule type="expression" dxfId="1177" priority="1315">
      <formula>IE$104="Pending"</formula>
    </cfRule>
  </conditionalFormatting>
  <conditionalFormatting sqref="IG105:IH105">
    <cfRule type="expression" dxfId="1176" priority="1313">
      <formula>IE$105="Pending"</formula>
    </cfRule>
  </conditionalFormatting>
  <conditionalFormatting sqref="IG106:IH106">
    <cfRule type="expression" dxfId="1175" priority="1311">
      <formula>IE$106="Pending"</formula>
    </cfRule>
  </conditionalFormatting>
  <conditionalFormatting sqref="IG107:IH107">
    <cfRule type="expression" dxfId="1174" priority="1309">
      <formula>IE$107="Pending"</formula>
    </cfRule>
  </conditionalFormatting>
  <conditionalFormatting sqref="IG108:IH108">
    <cfRule type="expression" dxfId="1173" priority="1307">
      <formula>IE$108="Pending"</formula>
    </cfRule>
  </conditionalFormatting>
  <conditionalFormatting sqref="IG109:IH109">
    <cfRule type="expression" dxfId="1172" priority="1305">
      <formula>IE$109="Pending"</formula>
    </cfRule>
  </conditionalFormatting>
  <conditionalFormatting sqref="IG110:IH110">
    <cfRule type="expression" dxfId="1171" priority="1303">
      <formula>IE$110="Pending"</formula>
    </cfRule>
  </conditionalFormatting>
  <conditionalFormatting sqref="IG111:IH111">
    <cfRule type="expression" dxfId="1170" priority="1301">
      <formula>IE$111="Pending"</formula>
    </cfRule>
  </conditionalFormatting>
  <conditionalFormatting sqref="IG112:IH112">
    <cfRule type="expression" dxfId="1169" priority="1299">
      <formula>IE$112="Pending"</formula>
    </cfRule>
  </conditionalFormatting>
  <conditionalFormatting sqref="IG113:IH113">
    <cfRule type="expression" dxfId="1168" priority="1297">
      <formula>IE$113="Pending"</formula>
    </cfRule>
  </conditionalFormatting>
  <conditionalFormatting sqref="IG114:IH114">
    <cfRule type="expression" dxfId="1167" priority="1295">
      <formula>IE$114="Pending"</formula>
    </cfRule>
  </conditionalFormatting>
  <conditionalFormatting sqref="IG115:IH115">
    <cfRule type="expression" dxfId="1166" priority="1293">
      <formula>IE$115="Pending"</formula>
    </cfRule>
  </conditionalFormatting>
  <conditionalFormatting sqref="IG116:IH116">
    <cfRule type="expression" dxfId="1165" priority="1291">
      <formula>IE$116="Pending"</formula>
    </cfRule>
  </conditionalFormatting>
  <conditionalFormatting sqref="IG117:IH117">
    <cfRule type="expression" dxfId="1164" priority="1289">
      <formula>IE$117="Pending"</formula>
    </cfRule>
  </conditionalFormatting>
  <conditionalFormatting sqref="IG118:IH118">
    <cfRule type="expression" dxfId="1163" priority="1287">
      <formula>IE$118="Pending"</formula>
    </cfRule>
  </conditionalFormatting>
  <conditionalFormatting sqref="IG119:IH119">
    <cfRule type="expression" dxfId="1162" priority="1285">
      <formula>IE$119="Pending"</formula>
    </cfRule>
  </conditionalFormatting>
  <conditionalFormatting sqref="IG120:IH120">
    <cfRule type="expression" dxfId="1161" priority="1283">
      <formula>IE$120="Pending"</formula>
    </cfRule>
  </conditionalFormatting>
  <conditionalFormatting sqref="IG121:IH121">
    <cfRule type="expression" dxfId="1160" priority="1281">
      <formula>IE$121="Pending"</formula>
    </cfRule>
  </conditionalFormatting>
  <conditionalFormatting sqref="IG122:IH122">
    <cfRule type="expression" dxfId="1159" priority="1279">
      <formula>IE$122="Pending"</formula>
    </cfRule>
  </conditionalFormatting>
  <conditionalFormatting sqref="II27:IL28">
    <cfRule type="expression" dxfId="1158" priority="5590">
      <formula>II$27&lt;&gt;""</formula>
    </cfRule>
  </conditionalFormatting>
  <conditionalFormatting sqref="II84:IL85">
    <cfRule type="expression" dxfId="1157" priority="2584">
      <formula>II$84&lt;&gt;""</formula>
    </cfRule>
  </conditionalFormatting>
  <conditionalFormatting sqref="II147:IL148">
    <cfRule type="expression" dxfId="1156" priority="262">
      <formula>II$27&lt;&gt;""</formula>
    </cfRule>
  </conditionalFormatting>
  <conditionalFormatting sqref="IK55:IN55">
    <cfRule type="expression" dxfId="1155" priority="626">
      <formula>IK55&lt;&gt;""</formula>
    </cfRule>
  </conditionalFormatting>
  <conditionalFormatting sqref="IK129:IN129">
    <cfRule type="expression" dxfId="1154" priority="587">
      <formula>IK129&lt;&gt;""</formula>
    </cfRule>
  </conditionalFormatting>
  <conditionalFormatting sqref="IO39:IO40">
    <cfRule type="expression" dxfId="1153" priority="8198">
      <formula>(AND($H$12&gt;=20, $H$12&lt;&gt;"Please Select"))</formula>
    </cfRule>
  </conditionalFormatting>
  <conditionalFormatting sqref="IO41">
    <cfRule type="expression" dxfId="1152" priority="8194">
      <formula>(AND($H$12&gt;=20, $H$12&lt;&gt;"Please Select"))</formula>
    </cfRule>
  </conditionalFormatting>
  <conditionalFormatting sqref="IO43">
    <cfRule type="expression" dxfId="1151" priority="8193">
      <formula>(AND($H$12&gt;=20, $H$12&lt;&gt;"Please Select"))</formula>
    </cfRule>
  </conditionalFormatting>
  <conditionalFormatting sqref="IO44">
    <cfRule type="expression" dxfId="1150" priority="8192">
      <formula>(AND($H$12&gt;=20, $H$12&lt;&gt;"Please Select"))</formula>
    </cfRule>
  </conditionalFormatting>
  <conditionalFormatting sqref="IO45">
    <cfRule type="expression" dxfId="1149" priority="8186">
      <formula>(AND($H$12&gt;=20, $H$12&lt;&gt;"Please Select"))</formula>
    </cfRule>
  </conditionalFormatting>
  <conditionalFormatting sqref="IO46">
    <cfRule type="expression" dxfId="1148" priority="8185">
      <formula>(AND($H$12&gt;=20, $H$12&lt;&gt;"Please Select"))</formula>
    </cfRule>
  </conditionalFormatting>
  <conditionalFormatting sqref="IO47">
    <cfRule type="expression" dxfId="1147" priority="8184">
      <formula>(AND($H$12&gt;=20, $H$12&lt;&gt;"Please Select"))</formula>
    </cfRule>
  </conditionalFormatting>
  <conditionalFormatting sqref="IO48">
    <cfRule type="expression" dxfId="1146" priority="8183">
      <formula>(AND($H$12&gt;=20, $H$12&lt;&gt;"Please Select"))</formula>
    </cfRule>
  </conditionalFormatting>
  <conditionalFormatting sqref="IO96">
    <cfRule type="expression" dxfId="1145" priority="1275">
      <formula>AND($H$64&gt;=20, $H$64&lt;&gt;"Please Select")</formula>
    </cfRule>
  </conditionalFormatting>
  <conditionalFormatting sqref="IO98:IQ122">
    <cfRule type="expression" dxfId="1144" priority="1277">
      <formula>AND($H$64&gt;=20, $H$64&lt;&gt;"Please Select")</formula>
    </cfRule>
  </conditionalFormatting>
  <conditionalFormatting sqref="IO97:IS97">
    <cfRule type="expression" dxfId="1143" priority="1278">
      <formula>AND($H$64&gt;=20, $H$64&lt;&gt;"Please Select")</formula>
    </cfRule>
  </conditionalFormatting>
  <conditionalFormatting sqref="IO25:IU25">
    <cfRule type="expression" dxfId="1142" priority="8207">
      <formula>(AND($H$12&gt;=20, $H$12&lt;&gt;"Please Select"))</formula>
    </cfRule>
  </conditionalFormatting>
  <conditionalFormatting sqref="IO82:IU82">
    <cfRule type="expression" dxfId="1141" priority="2563">
      <formula>AND($H$64&gt;=20, $H$64&lt;&gt;"Please Select")</formula>
    </cfRule>
  </conditionalFormatting>
  <conditionalFormatting sqref="IO51:IW51">
    <cfRule type="expression" dxfId="1140" priority="8180">
      <formula>(AND($H$12&gt;=20, $H$12&lt;&gt;"Please Select"))</formula>
    </cfRule>
  </conditionalFormatting>
  <conditionalFormatting sqref="IO125:IW125">
    <cfRule type="expression" dxfId="1139" priority="2558">
      <formula>AND($H$64&gt;=20, $H$64&lt;&gt;"Please Select")</formula>
    </cfRule>
  </conditionalFormatting>
  <conditionalFormatting sqref="IP39:IP40">
    <cfRule type="expression" dxfId="1138" priority="8197">
      <formula>(AND($H$12&gt;=20, $H$12&lt;&gt;"Please Select"))</formula>
    </cfRule>
  </conditionalFormatting>
  <conditionalFormatting sqref="IP41">
    <cfRule type="expression" dxfId="1137" priority="8191">
      <formula>(AND($H$12&gt;=20, $H$12&lt;&gt;"Please Select"))</formula>
    </cfRule>
  </conditionalFormatting>
  <conditionalFormatting sqref="IP43">
    <cfRule type="expression" dxfId="1136" priority="8182">
      <formula>(AND($H$12&gt;=20, $H$12&lt;&gt;"Please Select"))</formula>
    </cfRule>
  </conditionalFormatting>
  <conditionalFormatting sqref="IP44:IP48">
    <cfRule type="expression" dxfId="1135" priority="8188">
      <formula>(AND($H$12&gt;=20, $H$12&lt;&gt;"Please Select"))</formula>
    </cfRule>
  </conditionalFormatting>
  <conditionalFormatting sqref="IP30:IQ30">
    <cfRule type="expression" dxfId="1134" priority="8203">
      <formula>(AND($H$12&gt;=20, $H$12&lt;&gt;"Please Select"))</formula>
    </cfRule>
  </conditionalFormatting>
  <conditionalFormatting sqref="IP87:IQ87">
    <cfRule type="expression" dxfId="1133" priority="2561">
      <formula>AND($H$64&gt;=20, $H$64&lt;&gt;"Please Select")</formula>
    </cfRule>
  </conditionalFormatting>
  <conditionalFormatting sqref="IP27:IS27">
    <cfRule type="expression" dxfId="1132" priority="8206">
      <formula>(AND($H$12&gt;=20, $H$12&lt;&gt;"Please Select"))</formula>
    </cfRule>
  </conditionalFormatting>
  <conditionalFormatting sqref="IP28:IS28">
    <cfRule type="expression" dxfId="1131" priority="8205">
      <formula>(AND($H$12&gt;=20, $H$12&lt;&gt;"Please Select"))</formula>
    </cfRule>
  </conditionalFormatting>
  <conditionalFormatting sqref="IP29:IS29">
    <cfRule type="expression" dxfId="1130" priority="8204">
      <formula>(AND($H$12&gt;=20, $H$12&lt;&gt;"Please Select"))</formula>
    </cfRule>
  </conditionalFormatting>
  <conditionalFormatting sqref="IP84:IS86">
    <cfRule type="expression" dxfId="1129" priority="2562">
      <formula>AND($H$64&gt;=20, $H$64&lt;&gt;"Please Select")</formula>
    </cfRule>
  </conditionalFormatting>
  <conditionalFormatting sqref="IQ31">
    <cfRule type="expression" dxfId="1128" priority="8201">
      <formula>(AND($H$12&gt;=20, $H$12&lt;&gt;"Please Select"))</formula>
    </cfRule>
  </conditionalFormatting>
  <conditionalFormatting sqref="IQ88">
    <cfRule type="expression" dxfId="1127" priority="2559">
      <formula>AND($H$64&gt;=20, $H$64&lt;&gt;"Please Select")</formula>
    </cfRule>
  </conditionalFormatting>
  <conditionalFormatting sqref="IQ39:IR40">
    <cfRule type="expression" dxfId="1126" priority="8196">
      <formula>(AND($H$12&gt;=20, $H$12&lt;&gt;"Please Select"))</formula>
    </cfRule>
  </conditionalFormatting>
  <conditionalFormatting sqref="IQ41:IR41">
    <cfRule type="expression" dxfId="1125" priority="8190">
      <formula>(AND($H$12&gt;=20, $H$12&lt;&gt;"Please Select"))</formula>
    </cfRule>
  </conditionalFormatting>
  <conditionalFormatting sqref="IQ43:IR43">
    <cfRule type="expression" dxfId="1124" priority="8181">
      <formula>(AND($H$12&gt;=20, $H$12&lt;&gt;"Please Select"))</formula>
    </cfRule>
  </conditionalFormatting>
  <conditionalFormatting sqref="IQ44:IR48">
    <cfRule type="expression" dxfId="1123" priority="8187">
      <formula>(AND($H$12&gt;=20, $H$12&lt;&gt;"Please Select"))</formula>
    </cfRule>
  </conditionalFormatting>
  <conditionalFormatting sqref="IQ91:IR91">
    <cfRule type="expression" dxfId="1122" priority="139">
      <formula>$IQ$91="No"</formula>
    </cfRule>
    <cfRule type="expression" dxfId="1121" priority="140">
      <formula>AND($H$64&gt;=20, $H$64&lt;&gt;"Please Select")</formula>
    </cfRule>
  </conditionalFormatting>
  <conditionalFormatting sqref="IQ92:IR92">
    <cfRule type="expression" dxfId="1120" priority="2549">
      <formula>AND($H$64&gt;=20, $H$64&lt;&gt;"Please Select")</formula>
    </cfRule>
  </conditionalFormatting>
  <conditionalFormatting sqref="IQ95:IR95">
    <cfRule type="expression" dxfId="1119" priority="649">
      <formula>AND($H$64&gt;=20, $H$64&lt;&gt;"Please Select")</formula>
    </cfRule>
  </conditionalFormatting>
  <conditionalFormatting sqref="IQ33:IS33">
    <cfRule type="expression" dxfId="1118" priority="8200">
      <formula>(AND($H$12&gt;=20, $H$12&lt;&gt;"Please Select"))</formula>
    </cfRule>
  </conditionalFormatting>
  <conditionalFormatting sqref="IR98">
    <cfRule type="expression" dxfId="1117" priority="1273">
      <formula>IR$98="Pending"</formula>
    </cfRule>
  </conditionalFormatting>
  <conditionalFormatting sqref="IR98:IS122">
    <cfRule type="expression" dxfId="1116" priority="1276">
      <formula>AND($H$64&gt;=20, $H$64&lt;&gt;"Please Select")</formula>
    </cfRule>
  </conditionalFormatting>
  <conditionalFormatting sqref="IR99:IS99">
    <cfRule type="expression" dxfId="1115" priority="1271">
      <formula>IR$99="Pending"</formula>
    </cfRule>
  </conditionalFormatting>
  <conditionalFormatting sqref="IR100:IS100">
    <cfRule type="expression" dxfId="1114" priority="1269">
      <formula>IR$100="Pending"</formula>
    </cfRule>
  </conditionalFormatting>
  <conditionalFormatting sqref="IR101:IS101">
    <cfRule type="expression" dxfId="1113" priority="1267">
      <formula>IR$101="Pending"</formula>
    </cfRule>
  </conditionalFormatting>
  <conditionalFormatting sqref="IR102:IS102">
    <cfRule type="expression" dxfId="1112" priority="1265">
      <formula>IR$102="Pending"</formula>
    </cfRule>
  </conditionalFormatting>
  <conditionalFormatting sqref="IR103:IS103">
    <cfRule type="expression" dxfId="1111" priority="1263">
      <formula>IR$103="Pending"</formula>
    </cfRule>
  </conditionalFormatting>
  <conditionalFormatting sqref="IR104:IS104">
    <cfRule type="expression" dxfId="1110" priority="1261">
      <formula>IR$104="Pending"</formula>
    </cfRule>
  </conditionalFormatting>
  <conditionalFormatting sqref="IR105:IS105">
    <cfRule type="expression" dxfId="1109" priority="1259">
      <formula>IR$105="Pending"</formula>
    </cfRule>
  </conditionalFormatting>
  <conditionalFormatting sqref="IR106:IS106">
    <cfRule type="expression" dxfId="1108" priority="1257">
      <formula>IR$106="Pending"</formula>
    </cfRule>
  </conditionalFormatting>
  <conditionalFormatting sqref="IR107:IS107">
    <cfRule type="expression" dxfId="1107" priority="1255">
      <formula>IR$107="Pending"</formula>
    </cfRule>
  </conditionalFormatting>
  <conditionalFormatting sqref="IR108:IS108">
    <cfRule type="expression" dxfId="1106" priority="1253">
      <formula>IR$108="Pending"</formula>
    </cfRule>
  </conditionalFormatting>
  <conditionalFormatting sqref="IR109:IS109">
    <cfRule type="expression" dxfId="1105" priority="1251">
      <formula>IR$109="Pending"</formula>
    </cfRule>
  </conditionalFormatting>
  <conditionalFormatting sqref="IR110:IS110">
    <cfRule type="expression" dxfId="1104" priority="1249">
      <formula>IR$110="Pending"</formula>
    </cfRule>
  </conditionalFormatting>
  <conditionalFormatting sqref="IR111:IS111">
    <cfRule type="expression" dxfId="1103" priority="1247">
      <formula>IR$111="Pending"</formula>
    </cfRule>
  </conditionalFormatting>
  <conditionalFormatting sqref="IR112:IS112">
    <cfRule type="expression" dxfId="1102" priority="1245">
      <formula>IR$112="Pending"</formula>
    </cfRule>
  </conditionalFormatting>
  <conditionalFormatting sqref="IR113:IS113">
    <cfRule type="expression" dxfId="1101" priority="1243">
      <formula>IR$113="Pending"</formula>
    </cfRule>
  </conditionalFormatting>
  <conditionalFormatting sqref="IR114:IS114">
    <cfRule type="expression" dxfId="1100" priority="1241">
      <formula>IR$114="Pending"</formula>
    </cfRule>
  </conditionalFormatting>
  <conditionalFormatting sqref="IR115:IS115">
    <cfRule type="expression" dxfId="1099" priority="1239">
      <formula>IR$115="Pending"</formula>
    </cfRule>
  </conditionalFormatting>
  <conditionalFormatting sqref="IR116:IS116">
    <cfRule type="expression" dxfId="1098" priority="1237">
      <formula>IR$116="Pending"</formula>
    </cfRule>
  </conditionalFormatting>
  <conditionalFormatting sqref="IR117:IS117">
    <cfRule type="expression" dxfId="1097" priority="1235">
      <formula>IR$117="Pending"</formula>
    </cfRule>
  </conditionalFormatting>
  <conditionalFormatting sqref="IR118:IS118">
    <cfRule type="expression" dxfId="1096" priority="1233">
      <formula>IR$118="Pending"</formula>
    </cfRule>
  </conditionalFormatting>
  <conditionalFormatting sqref="IR119:IS119">
    <cfRule type="expression" dxfId="1095" priority="1231">
      <formula>IR$119="Pending"</formula>
    </cfRule>
  </conditionalFormatting>
  <conditionalFormatting sqref="IR120:IS120">
    <cfRule type="expression" dxfId="1094" priority="1229">
      <formula>IR$120="Pending"</formula>
    </cfRule>
  </conditionalFormatting>
  <conditionalFormatting sqref="IR121:IS121">
    <cfRule type="expression" dxfId="1093" priority="1227">
      <formula>IR$121="Pending"</formula>
    </cfRule>
  </conditionalFormatting>
  <conditionalFormatting sqref="IR122:IS122">
    <cfRule type="expression" dxfId="1092" priority="1225">
      <formula>IR$122="Pending"</formula>
    </cfRule>
  </conditionalFormatting>
  <conditionalFormatting sqref="IR52:IW52 IR55:IW55">
    <cfRule type="expression" dxfId="1091" priority="8154">
      <formula>(AND($H$12&gt;=20, $H$12&lt;&gt;"Please Select"))</formula>
    </cfRule>
  </conditionalFormatting>
  <conditionalFormatting sqref="IR53:IW54">
    <cfRule type="expression" dxfId="1090" priority="54">
      <formula>$IR$53&lt;&gt;""</formula>
    </cfRule>
  </conditionalFormatting>
  <conditionalFormatting sqref="IR126:IW126 IR129:IW129">
    <cfRule type="expression" dxfId="1089" priority="2557">
      <formula>AND($H$64&gt;=20, $H$64&lt;&gt;"Please Select")</formula>
    </cfRule>
  </conditionalFormatting>
  <conditionalFormatting sqref="IR127:IW128">
    <cfRule type="expression" dxfId="1088" priority="25">
      <formula>$IR$127&lt;&gt;""</formula>
    </cfRule>
  </conditionalFormatting>
  <conditionalFormatting sqref="IS30">
    <cfRule type="expression" dxfId="1087" priority="8202">
      <formula>(AND($H$12&gt;=20, $H$12&lt;&gt;"Please Select"))</formula>
    </cfRule>
  </conditionalFormatting>
  <conditionalFormatting sqref="IS34">
    <cfRule type="expression" dxfId="1086" priority="8199">
      <formula>(AND($H$12&gt;=20, $H$12&lt;&gt;"Please Select"))</formula>
    </cfRule>
    <cfRule type="expression" dxfId="1085" priority="194">
      <formula>$IS$34="Pending"</formula>
    </cfRule>
  </conditionalFormatting>
  <conditionalFormatting sqref="IS35">
    <cfRule type="expression" dxfId="1084" priority="8179">
      <formula>IS$34&lt;&gt;""</formula>
    </cfRule>
  </conditionalFormatting>
  <conditionalFormatting sqref="IS39:IS40">
    <cfRule type="expression" dxfId="1083" priority="8195">
      <formula>(AND($H$12&gt;=20, $H$12&lt;&gt;"Please Select"))</formula>
    </cfRule>
  </conditionalFormatting>
  <conditionalFormatting sqref="IS41">
    <cfRule type="expression" dxfId="1082" priority="8189">
      <formula>(AND($H$12&gt;=20, $H$12&lt;&gt;"Please Select"))</formula>
    </cfRule>
  </conditionalFormatting>
  <conditionalFormatting sqref="IS87">
    <cfRule type="expression" dxfId="1081" priority="2560">
      <formula>AND($H$64&gt;=20, $H$64&lt;&gt;"Please Select")</formula>
    </cfRule>
  </conditionalFormatting>
  <conditionalFormatting sqref="IT97:IU97">
    <cfRule type="expression" dxfId="1080" priority="1274">
      <formula>IT$97&lt;&gt;""</formula>
    </cfRule>
  </conditionalFormatting>
  <conditionalFormatting sqref="IT98:IU98">
    <cfRule type="expression" dxfId="1079" priority="1272">
      <formula>IR$98="Pending"</formula>
    </cfRule>
  </conditionalFormatting>
  <conditionalFormatting sqref="IT99:IU99">
    <cfRule type="expression" dxfId="1078" priority="1270">
      <formula>IR$99="Pending"</formula>
    </cfRule>
  </conditionalFormatting>
  <conditionalFormatting sqref="IT100:IU100">
    <cfRule type="expression" dxfId="1077" priority="1268">
      <formula>IR$100="Pending"</formula>
    </cfRule>
  </conditionalFormatting>
  <conditionalFormatting sqref="IT101:IU101">
    <cfRule type="expression" dxfId="1076" priority="1266">
      <formula>IR$101="Pending"</formula>
    </cfRule>
  </conditionalFormatting>
  <conditionalFormatting sqref="IT102:IU102">
    <cfRule type="expression" dxfId="1075" priority="1264">
      <formula>IR$102="Pending"</formula>
    </cfRule>
  </conditionalFormatting>
  <conditionalFormatting sqref="IT103:IU103">
    <cfRule type="expression" dxfId="1074" priority="1262">
      <formula>IR$103="Pending"</formula>
    </cfRule>
  </conditionalFormatting>
  <conditionalFormatting sqref="IT104:IU104">
    <cfRule type="expression" dxfId="1073" priority="1260">
      <formula>IR$104="Pending"</formula>
    </cfRule>
  </conditionalFormatting>
  <conditionalFormatting sqref="IT105:IU105">
    <cfRule type="expression" dxfId="1072" priority="1258">
      <formula>IR$105="Pending"</formula>
    </cfRule>
  </conditionalFormatting>
  <conditionalFormatting sqref="IT106:IU106">
    <cfRule type="expression" dxfId="1071" priority="1256">
      <formula>IR$106="Pending"</formula>
    </cfRule>
  </conditionalFormatting>
  <conditionalFormatting sqref="IT107:IU107">
    <cfRule type="expression" dxfId="1070" priority="1254">
      <formula>IR$107="Pending"</formula>
    </cfRule>
  </conditionalFormatting>
  <conditionalFormatting sqref="IT108:IU108">
    <cfRule type="expression" dxfId="1069" priority="1252">
      <formula>IR$108="Pending"</formula>
    </cfRule>
  </conditionalFormatting>
  <conditionalFormatting sqref="IT109:IU109">
    <cfRule type="expression" dxfId="1068" priority="1250">
      <formula>IR$109="Pending"</formula>
    </cfRule>
  </conditionalFormatting>
  <conditionalFormatting sqref="IT110:IU110">
    <cfRule type="expression" dxfId="1067" priority="1248">
      <formula>IR$110="Pending"</formula>
    </cfRule>
  </conditionalFormatting>
  <conditionalFormatting sqref="IT111:IU111">
    <cfRule type="expression" dxfId="1066" priority="1246">
      <formula>IR$111="Pending"</formula>
    </cfRule>
  </conditionalFormatting>
  <conditionalFormatting sqref="IT112:IU112">
    <cfRule type="expression" dxfId="1065" priority="1244">
      <formula>IR$112="Pending"</formula>
    </cfRule>
  </conditionalFormatting>
  <conditionalFormatting sqref="IT113:IU113">
    <cfRule type="expression" dxfId="1064" priority="1242">
      <formula>IR$113="Pending"</formula>
    </cfRule>
  </conditionalFormatting>
  <conditionalFormatting sqref="IT114:IU114">
    <cfRule type="expression" dxfId="1063" priority="1240">
      <formula>IR$114="Pending"</formula>
    </cfRule>
  </conditionalFormatting>
  <conditionalFormatting sqref="IT115:IU115">
    <cfRule type="expression" dxfId="1062" priority="1238">
      <formula>IR$115="Pending"</formula>
    </cfRule>
  </conditionalFormatting>
  <conditionalFormatting sqref="IT116:IU116">
    <cfRule type="expression" dxfId="1061" priority="1236">
      <formula>IR$116="Pending"</formula>
    </cfRule>
  </conditionalFormatting>
  <conditionalFormatting sqref="IT117:IU117">
    <cfRule type="expression" dxfId="1060" priority="1234">
      <formula>IR$117="Pending"</formula>
    </cfRule>
  </conditionalFormatting>
  <conditionalFormatting sqref="IT118:IU118">
    <cfRule type="expression" dxfId="1059" priority="1232">
      <formula>IR$118="Pending"</formula>
    </cfRule>
  </conditionalFormatting>
  <conditionalFormatting sqref="IT119:IU119">
    <cfRule type="expression" dxfId="1058" priority="1230">
      <formula>IR$119="Pending"</formula>
    </cfRule>
  </conditionalFormatting>
  <conditionalFormatting sqref="IT120:IU120">
    <cfRule type="expression" dxfId="1057" priority="1228">
      <formula>IR$120="Pending"</formula>
    </cfRule>
  </conditionalFormatting>
  <conditionalFormatting sqref="IT121:IU121">
    <cfRule type="expression" dxfId="1056" priority="1226">
      <formula>IR$121="Pending"</formula>
    </cfRule>
  </conditionalFormatting>
  <conditionalFormatting sqref="IT122:IU122">
    <cfRule type="expression" dxfId="1055" priority="1224">
      <formula>IR$122="Pending"</formula>
    </cfRule>
  </conditionalFormatting>
  <conditionalFormatting sqref="IV27:IY28">
    <cfRule type="expression" dxfId="1054" priority="5589">
      <formula>IV$27&lt;&gt;""</formula>
    </cfRule>
  </conditionalFormatting>
  <conditionalFormatting sqref="IV84:IY85">
    <cfRule type="expression" dxfId="1053" priority="2564">
      <formula>IV$84&lt;&gt;""</formula>
    </cfRule>
  </conditionalFormatting>
  <conditionalFormatting sqref="IV147:IY148">
    <cfRule type="expression" dxfId="1052" priority="261">
      <formula>IV$27&lt;&gt;""</formula>
    </cfRule>
  </conditionalFormatting>
  <conditionalFormatting sqref="IX55:JA55">
    <cfRule type="expression" dxfId="1051" priority="627">
      <formula>IX55&lt;&gt;""</formula>
    </cfRule>
  </conditionalFormatting>
  <conditionalFormatting sqref="IX129:JA129">
    <cfRule type="expression" dxfId="1050" priority="586">
      <formula>IX129&lt;&gt;""</formula>
    </cfRule>
  </conditionalFormatting>
  <conditionalFormatting sqref="JB39:JB40">
    <cfRule type="expression" dxfId="1049" priority="7926">
      <formula>(AND($H$12&gt;=21, $H$12&lt;&gt;"Please Select"))</formula>
    </cfRule>
  </conditionalFormatting>
  <conditionalFormatting sqref="JB41">
    <cfRule type="expression" dxfId="1048" priority="7922">
      <formula>(AND($H$12&gt;=21, $H$12&lt;&gt;"Please Select"))</formula>
    </cfRule>
  </conditionalFormatting>
  <conditionalFormatting sqref="JB43">
    <cfRule type="expression" dxfId="1047" priority="7921">
      <formula>(AND($H$12&gt;=21, $H$12&lt;&gt;"Please Select"))</formula>
    </cfRule>
  </conditionalFormatting>
  <conditionalFormatting sqref="JB44">
    <cfRule type="expression" dxfId="1046" priority="7920">
      <formula>(AND($H$12&gt;=21, $H$12&lt;&gt;"Please Select"))</formula>
    </cfRule>
  </conditionalFormatting>
  <conditionalFormatting sqref="JB45">
    <cfRule type="expression" dxfId="1045" priority="7914">
      <formula>(AND($H$12&gt;=21, $H$12&lt;&gt;"Please Select"))</formula>
    </cfRule>
  </conditionalFormatting>
  <conditionalFormatting sqref="JB46">
    <cfRule type="expression" dxfId="1044" priority="7913">
      <formula>(AND($H$12&gt;=21, $H$12&lt;&gt;"Please Select"))</formula>
    </cfRule>
  </conditionalFormatting>
  <conditionalFormatting sqref="JB47">
    <cfRule type="expression" dxfId="1043" priority="7912">
      <formula>(AND($H$12&gt;=21, $H$12&lt;&gt;"Please Select"))</formula>
    </cfRule>
  </conditionalFormatting>
  <conditionalFormatting sqref="JB48">
    <cfRule type="expression" dxfId="1042" priority="7911">
      <formula>(AND($H$12&gt;=21, $H$12&lt;&gt;"Please Select"))</formula>
    </cfRule>
  </conditionalFormatting>
  <conditionalFormatting sqref="JB96">
    <cfRule type="expression" dxfId="1041" priority="1220">
      <formula>AND($H$64&gt;=21, $H$64&lt;&gt;"Please Select")</formula>
    </cfRule>
  </conditionalFormatting>
  <conditionalFormatting sqref="JB98:JD122">
    <cfRule type="expression" dxfId="1040" priority="1222">
      <formula>AND($H$64&gt;=21, $H$64&lt;&gt;"Please Select")</formula>
    </cfRule>
  </conditionalFormatting>
  <conditionalFormatting sqref="JB97:JF97">
    <cfRule type="expression" dxfId="1039" priority="1223">
      <formula>AND($H$64&gt;=21, $H$64&lt;&gt;"Please Select")</formula>
    </cfRule>
  </conditionalFormatting>
  <conditionalFormatting sqref="JB25:JH25">
    <cfRule type="expression" dxfId="1038" priority="7935">
      <formula>(AND($H$12&gt;=21, $H$12&lt;&gt;"Please Select"))</formula>
    </cfRule>
  </conditionalFormatting>
  <conditionalFormatting sqref="JB82:JH82">
    <cfRule type="expression" dxfId="1037" priority="2543">
      <formula>AND($H$64&gt;=21, $H$64&lt;&gt;"Please Select")</formula>
    </cfRule>
  </conditionalFormatting>
  <conditionalFormatting sqref="JB51:JJ51">
    <cfRule type="expression" dxfId="1036" priority="7908">
      <formula>(AND($H$12&gt;=21, $H$12&lt;&gt;"Please Select"))</formula>
    </cfRule>
  </conditionalFormatting>
  <conditionalFormatting sqref="JB125:JJ125">
    <cfRule type="expression" dxfId="1035" priority="2538">
      <formula>AND($H$64&gt;=21, $H$64&lt;&gt;"Please Select")</formula>
    </cfRule>
  </conditionalFormatting>
  <conditionalFormatting sqref="JC39:JC40">
    <cfRule type="expression" dxfId="1034" priority="7925">
      <formula>(AND($H$12&gt;=21, $H$12&lt;&gt;"Please Select"))</formula>
    </cfRule>
  </conditionalFormatting>
  <conditionalFormatting sqref="JC41">
    <cfRule type="expression" dxfId="1033" priority="7919">
      <formula>(AND($H$12&gt;=21, $H$12&lt;&gt;"Please Select"))</formula>
    </cfRule>
  </conditionalFormatting>
  <conditionalFormatting sqref="JC43">
    <cfRule type="expression" dxfId="1032" priority="7910">
      <formula>(AND($H$12&gt;=21, $H$12&lt;&gt;"Please Select"))</formula>
    </cfRule>
  </conditionalFormatting>
  <conditionalFormatting sqref="JC44:JC48">
    <cfRule type="expression" dxfId="1031" priority="7916">
      <formula>(AND($H$12&gt;=21, $H$12&lt;&gt;"Please Select"))</formula>
    </cfRule>
  </conditionalFormatting>
  <conditionalFormatting sqref="JC30:JD30">
    <cfRule type="expression" dxfId="1030" priority="7931">
      <formula>(AND($H$12&gt;=21, $H$12&lt;&gt;"Please Select"))</formula>
    </cfRule>
  </conditionalFormatting>
  <conditionalFormatting sqref="JC87:JD87">
    <cfRule type="expression" dxfId="1029" priority="2541">
      <formula>AND($H$64&gt;=21, $H$64&lt;&gt;"Please Select")</formula>
    </cfRule>
  </conditionalFormatting>
  <conditionalFormatting sqref="JC27:JF27">
    <cfRule type="expression" dxfId="1028" priority="7934">
      <formula>(AND($H$12&gt;=21, $H$12&lt;&gt;"Please Select"))</formula>
    </cfRule>
  </conditionalFormatting>
  <conditionalFormatting sqref="JC28:JF28">
    <cfRule type="expression" dxfId="1027" priority="7933">
      <formula>(AND($H$12&gt;=21, $H$12&lt;&gt;"Please Select"))</formula>
    </cfRule>
  </conditionalFormatting>
  <conditionalFormatting sqref="JC29:JF29">
    <cfRule type="expression" dxfId="1026" priority="7932">
      <formula>(AND($H$12&gt;=21, $H$12&lt;&gt;"Please Select"))</formula>
    </cfRule>
  </conditionalFormatting>
  <conditionalFormatting sqref="JC84:JF86">
    <cfRule type="expression" dxfId="1025" priority="2542">
      <formula>AND($H$64&gt;=21, $H$64&lt;&gt;"Please Select")</formula>
    </cfRule>
  </conditionalFormatting>
  <conditionalFormatting sqref="JD31">
    <cfRule type="expression" dxfId="1024" priority="7929">
      <formula>(AND($H$12&gt;=21, $H$12&lt;&gt;"Please Select"))</formula>
    </cfRule>
  </conditionalFormatting>
  <conditionalFormatting sqref="JD88">
    <cfRule type="expression" dxfId="1023" priority="2539">
      <formula>AND($H$64&gt;=21, $H$64&lt;&gt;"Please Select")</formula>
    </cfRule>
  </conditionalFormatting>
  <conditionalFormatting sqref="JD39:JE40">
    <cfRule type="expression" dxfId="1022" priority="7924">
      <formula>(AND($H$12&gt;=21, $H$12&lt;&gt;"Please Select"))</formula>
    </cfRule>
  </conditionalFormatting>
  <conditionalFormatting sqref="JD41:JE41">
    <cfRule type="expression" dxfId="1021" priority="7918">
      <formula>(AND($H$12&gt;=21, $H$12&lt;&gt;"Please Select"))</formula>
    </cfRule>
  </conditionalFormatting>
  <conditionalFormatting sqref="JD43:JE43">
    <cfRule type="expression" dxfId="1020" priority="7909">
      <formula>(AND($H$12&gt;=21, $H$12&lt;&gt;"Please Select"))</formula>
    </cfRule>
  </conditionalFormatting>
  <conditionalFormatting sqref="JD44:JE48">
    <cfRule type="expression" dxfId="1019" priority="7915">
      <formula>(AND($H$12&gt;=21, $H$12&lt;&gt;"Please Select"))</formula>
    </cfRule>
  </conditionalFormatting>
  <conditionalFormatting sqref="JD91:JE91">
    <cfRule type="expression" dxfId="1018" priority="138">
      <formula>AND($H$64&gt;=21, $H$64&lt;&gt;"Please Select")</formula>
    </cfRule>
    <cfRule type="expression" dxfId="1017" priority="137">
      <formula>$JD$91="No"</formula>
    </cfRule>
  </conditionalFormatting>
  <conditionalFormatting sqref="JD92:JE92">
    <cfRule type="expression" dxfId="1016" priority="2529">
      <formula>AND($H$64&gt;=21, $H$64&lt;&gt;"Please Select")</formula>
    </cfRule>
  </conditionalFormatting>
  <conditionalFormatting sqref="JD95:JE95">
    <cfRule type="expression" dxfId="1015" priority="648">
      <formula>AND($H$64&gt;=21, $H$64&lt;&gt;"Please Select")</formula>
    </cfRule>
  </conditionalFormatting>
  <conditionalFormatting sqref="JD33:JF33">
    <cfRule type="expression" dxfId="1014" priority="7928">
      <formula>(AND($H$12&gt;=21, $H$12&lt;&gt;"Please Select"))</formula>
    </cfRule>
  </conditionalFormatting>
  <conditionalFormatting sqref="JE98">
    <cfRule type="expression" dxfId="1013" priority="1218">
      <formula>JE$98="Pending"</formula>
    </cfRule>
  </conditionalFormatting>
  <conditionalFormatting sqref="JE98:JF122">
    <cfRule type="expression" dxfId="1012" priority="1221">
      <formula>AND($H$64&gt;=21, $H$64&lt;&gt;"Please Select")</formula>
    </cfRule>
  </conditionalFormatting>
  <conditionalFormatting sqref="JE99:JF99">
    <cfRule type="expression" dxfId="1011" priority="1216">
      <formula>JE$99="Pending"</formula>
    </cfRule>
  </conditionalFormatting>
  <conditionalFormatting sqref="JE100:JF100">
    <cfRule type="expression" dxfId="1010" priority="1214">
      <formula>JE$100="Pending"</formula>
    </cfRule>
  </conditionalFormatting>
  <conditionalFormatting sqref="JE101:JF101">
    <cfRule type="expression" dxfId="1009" priority="1212">
      <formula>JE$101="Pending"</formula>
    </cfRule>
  </conditionalFormatting>
  <conditionalFormatting sqref="JE102:JF102">
    <cfRule type="expression" dxfId="1008" priority="1210">
      <formula>JE$102="Pending"</formula>
    </cfRule>
  </conditionalFormatting>
  <conditionalFormatting sqref="JE103:JF103">
    <cfRule type="expression" dxfId="1007" priority="1208">
      <formula>JE$103="Pending"</formula>
    </cfRule>
  </conditionalFormatting>
  <conditionalFormatting sqref="JE104:JF104">
    <cfRule type="expression" dxfId="1006" priority="1206">
      <formula>JE$104="Pending"</formula>
    </cfRule>
  </conditionalFormatting>
  <conditionalFormatting sqref="JE105:JF105">
    <cfRule type="expression" dxfId="1005" priority="1204">
      <formula>JE$105="Pending"</formula>
    </cfRule>
  </conditionalFormatting>
  <conditionalFormatting sqref="JE106:JF106">
    <cfRule type="expression" dxfId="1004" priority="1202">
      <formula>JE$106="Pending"</formula>
    </cfRule>
  </conditionalFormatting>
  <conditionalFormatting sqref="JE107:JF107">
    <cfRule type="expression" dxfId="1003" priority="1200">
      <formula>JE$107="Pending"</formula>
    </cfRule>
  </conditionalFormatting>
  <conditionalFormatting sqref="JE108:JF108">
    <cfRule type="expression" dxfId="1002" priority="1198">
      <formula>JE$108="Pending"</formula>
    </cfRule>
  </conditionalFormatting>
  <conditionalFormatting sqref="JE109:JF109">
    <cfRule type="expression" dxfId="1001" priority="1196">
      <formula>JE$109="Pending"</formula>
    </cfRule>
  </conditionalFormatting>
  <conditionalFormatting sqref="JE110:JF110">
    <cfRule type="expression" dxfId="1000" priority="1194">
      <formula>JE$110="Pending"</formula>
    </cfRule>
  </conditionalFormatting>
  <conditionalFormatting sqref="JE111:JF111">
    <cfRule type="expression" dxfId="999" priority="1192">
      <formula>JE$111="Pending"</formula>
    </cfRule>
  </conditionalFormatting>
  <conditionalFormatting sqref="JE112:JF112">
    <cfRule type="expression" dxfId="998" priority="1190">
      <formula>JE$112="Pending"</formula>
    </cfRule>
  </conditionalFormatting>
  <conditionalFormatting sqref="JE113:JF113">
    <cfRule type="expression" dxfId="997" priority="1188">
      <formula>JE$113="Pending"</formula>
    </cfRule>
  </conditionalFormatting>
  <conditionalFormatting sqref="JE114:JF114">
    <cfRule type="expression" dxfId="996" priority="1186">
      <formula>JE$114="Pending"</formula>
    </cfRule>
  </conditionalFormatting>
  <conditionalFormatting sqref="JE115:JF115">
    <cfRule type="expression" dxfId="995" priority="1184">
      <formula>JE$115="Pending"</formula>
    </cfRule>
  </conditionalFormatting>
  <conditionalFormatting sqref="JE116:JF116">
    <cfRule type="expression" dxfId="994" priority="1182">
      <formula>JE$116="Pending"</formula>
    </cfRule>
  </conditionalFormatting>
  <conditionalFormatting sqref="JE117:JF117">
    <cfRule type="expression" dxfId="993" priority="1180">
      <formula>JE$117="Pending"</formula>
    </cfRule>
  </conditionalFormatting>
  <conditionalFormatting sqref="JE118:JF118">
    <cfRule type="expression" dxfId="992" priority="1178">
      <formula>JE$118="Pending"</formula>
    </cfRule>
  </conditionalFormatting>
  <conditionalFormatting sqref="JE119:JF119">
    <cfRule type="expression" dxfId="991" priority="1176">
      <formula>JE$119="Pending"</formula>
    </cfRule>
  </conditionalFormatting>
  <conditionalFormatting sqref="JE120:JF120">
    <cfRule type="expression" dxfId="990" priority="1174">
      <formula>JE$120="Pending"</formula>
    </cfRule>
  </conditionalFormatting>
  <conditionalFormatting sqref="JE121:JF121">
    <cfRule type="expression" dxfId="989" priority="1172">
      <formula>JE$121="Pending"</formula>
    </cfRule>
  </conditionalFormatting>
  <conditionalFormatting sqref="JE122:JF122">
    <cfRule type="expression" dxfId="988" priority="1170">
      <formula>JE$122="Pending"</formula>
    </cfRule>
  </conditionalFormatting>
  <conditionalFormatting sqref="JE52:JJ52 JE55:JJ55">
    <cfRule type="expression" dxfId="987" priority="7882">
      <formula>(AND($H$12&gt;=21, $H$12&lt;&gt;"Please Select"))</formula>
    </cfRule>
  </conditionalFormatting>
  <conditionalFormatting sqref="JE53:JJ54">
    <cfRule type="expression" dxfId="986" priority="55">
      <formula>$JE$53&lt;&gt;""</formula>
    </cfRule>
  </conditionalFormatting>
  <conditionalFormatting sqref="JE126:JJ126 JE129:JJ129">
    <cfRule type="expression" dxfId="985" priority="2537">
      <formula>AND($H$64&gt;=21, $H$64&lt;&gt;"Please Select")</formula>
    </cfRule>
  </conditionalFormatting>
  <conditionalFormatting sqref="JE127:JJ128">
    <cfRule type="expression" dxfId="984" priority="26">
      <formula>$JE$127&lt;&gt;""</formula>
    </cfRule>
  </conditionalFormatting>
  <conditionalFormatting sqref="JF30">
    <cfRule type="expression" dxfId="983" priority="7930">
      <formula>(AND($H$12&gt;=21, $H$12&lt;&gt;"Please Select"))</formula>
    </cfRule>
  </conditionalFormatting>
  <conditionalFormatting sqref="JF34">
    <cfRule type="expression" dxfId="982" priority="195">
      <formula>$JF$34="Pending"</formula>
    </cfRule>
    <cfRule type="expression" dxfId="981" priority="7927">
      <formula>(AND($H$12&gt;=21, $H$12&lt;&gt;"Please Select"))</formula>
    </cfRule>
  </conditionalFormatting>
  <conditionalFormatting sqref="JF35">
    <cfRule type="expression" dxfId="980" priority="7907">
      <formula>JF$34&lt;&gt;""</formula>
    </cfRule>
  </conditionalFormatting>
  <conditionalFormatting sqref="JF39:JF40">
    <cfRule type="expression" dxfId="979" priority="7923">
      <formula>(AND($H$12&gt;=21, $H$12&lt;&gt;"Please Select"))</formula>
    </cfRule>
  </conditionalFormatting>
  <conditionalFormatting sqref="JF41">
    <cfRule type="expression" dxfId="978" priority="7917">
      <formula>(AND($H$12&gt;=21, $H$12&lt;&gt;"Please Select"))</formula>
    </cfRule>
  </conditionalFormatting>
  <conditionalFormatting sqref="JF87">
    <cfRule type="expression" dxfId="977" priority="2540">
      <formula>AND($H$64&gt;=21, $H$64&lt;&gt;"Please Select")</formula>
    </cfRule>
  </conditionalFormatting>
  <conditionalFormatting sqref="JG97:JH97">
    <cfRule type="expression" dxfId="976" priority="1219">
      <formula>JG$97&lt;&gt;""</formula>
    </cfRule>
  </conditionalFormatting>
  <conditionalFormatting sqref="JG98:JH98">
    <cfRule type="expression" dxfId="975" priority="1217">
      <formula>JE$98="Pending"</formula>
    </cfRule>
  </conditionalFormatting>
  <conditionalFormatting sqref="JG99:JH99">
    <cfRule type="expression" dxfId="974" priority="1215">
      <formula>JE$99="Pending"</formula>
    </cfRule>
  </conditionalFormatting>
  <conditionalFormatting sqref="JG100:JH100">
    <cfRule type="expression" dxfId="973" priority="1213">
      <formula>JE$100="Pending"</formula>
    </cfRule>
  </conditionalFormatting>
  <conditionalFormatting sqref="JG101:JH101">
    <cfRule type="expression" dxfId="972" priority="1211">
      <formula>JE$101="Pending"</formula>
    </cfRule>
  </conditionalFormatting>
  <conditionalFormatting sqref="JG102:JH102">
    <cfRule type="expression" dxfId="971" priority="1209">
      <formula>JE$102="Pending"</formula>
    </cfRule>
  </conditionalFormatting>
  <conditionalFormatting sqref="JG103:JH103">
    <cfRule type="expression" dxfId="970" priority="1207">
      <formula>JE$103="Pending"</formula>
    </cfRule>
  </conditionalFormatting>
  <conditionalFormatting sqref="JG104:JH104">
    <cfRule type="expression" dxfId="969" priority="1205">
      <formula>JE$104="Pending"</formula>
    </cfRule>
  </conditionalFormatting>
  <conditionalFormatting sqref="JG105:JH105">
    <cfRule type="expression" dxfId="968" priority="1203">
      <formula>JE$105="Pending"</formula>
    </cfRule>
  </conditionalFormatting>
  <conditionalFormatting sqref="JG106:JH106">
    <cfRule type="expression" dxfId="967" priority="1201">
      <formula>JE$106="Pending"</formula>
    </cfRule>
  </conditionalFormatting>
  <conditionalFormatting sqref="JG107:JH107">
    <cfRule type="expression" dxfId="966" priority="1199">
      <formula>JE$107="Pending"</formula>
    </cfRule>
  </conditionalFormatting>
  <conditionalFormatting sqref="JG108:JH108">
    <cfRule type="expression" dxfId="965" priority="1197">
      <formula>JE$108="Pending"</formula>
    </cfRule>
  </conditionalFormatting>
  <conditionalFormatting sqref="JG109:JH109">
    <cfRule type="expression" dxfId="964" priority="1195">
      <formula>JE$109="Pending"</formula>
    </cfRule>
  </conditionalFormatting>
  <conditionalFormatting sqref="JG110:JH110">
    <cfRule type="expression" dxfId="963" priority="1193">
      <formula>JE$110="Pending"</formula>
    </cfRule>
  </conditionalFormatting>
  <conditionalFormatting sqref="JG111:JH111">
    <cfRule type="expression" dxfId="962" priority="1191">
      <formula>JE$111="Pending"</formula>
    </cfRule>
  </conditionalFormatting>
  <conditionalFormatting sqref="JG112:JH112">
    <cfRule type="expression" dxfId="961" priority="1189">
      <formula>JE$112="Pending"</formula>
    </cfRule>
  </conditionalFormatting>
  <conditionalFormatting sqref="JG113:JH113">
    <cfRule type="expression" dxfId="960" priority="1187">
      <formula>JE$113="Pending"</formula>
    </cfRule>
  </conditionalFormatting>
  <conditionalFormatting sqref="JG114:JH114">
    <cfRule type="expression" dxfId="959" priority="1185">
      <formula>JE$114="Pending"</formula>
    </cfRule>
  </conditionalFormatting>
  <conditionalFormatting sqref="JG115:JH115">
    <cfRule type="expression" dxfId="958" priority="1183">
      <formula>JE$115="Pending"</formula>
    </cfRule>
  </conditionalFormatting>
  <conditionalFormatting sqref="JG116:JH116">
    <cfRule type="expression" dxfId="957" priority="1181">
      <formula>JE$116="Pending"</formula>
    </cfRule>
  </conditionalFormatting>
  <conditionalFormatting sqref="JG117:JH117">
    <cfRule type="expression" dxfId="956" priority="1179">
      <formula>JE$117="Pending"</formula>
    </cfRule>
  </conditionalFormatting>
  <conditionalFormatting sqref="JG118:JH118">
    <cfRule type="expression" dxfId="955" priority="1177">
      <formula>JE$118="Pending"</formula>
    </cfRule>
  </conditionalFormatting>
  <conditionalFormatting sqref="JG119:JH119">
    <cfRule type="expression" dxfId="954" priority="1175">
      <formula>JE$119="Pending"</formula>
    </cfRule>
  </conditionalFormatting>
  <conditionalFormatting sqref="JG120:JH120">
    <cfRule type="expression" dxfId="953" priority="1173">
      <formula>JE$120="Pending"</formula>
    </cfRule>
  </conditionalFormatting>
  <conditionalFormatting sqref="JG121:JH121">
    <cfRule type="expression" dxfId="952" priority="1171">
      <formula>JE$121="Pending"</formula>
    </cfRule>
  </conditionalFormatting>
  <conditionalFormatting sqref="JG122:JH122">
    <cfRule type="expression" dxfId="951" priority="1169">
      <formula>JE$122="Pending"</formula>
    </cfRule>
  </conditionalFormatting>
  <conditionalFormatting sqref="JI27:JL28">
    <cfRule type="expression" dxfId="950" priority="5588">
      <formula>JI$27&lt;&gt;""</formula>
    </cfRule>
  </conditionalFormatting>
  <conditionalFormatting sqref="JI84:JL85">
    <cfRule type="expression" dxfId="949" priority="2544">
      <formula>JI$84&lt;&gt;""</formula>
    </cfRule>
  </conditionalFormatting>
  <conditionalFormatting sqref="JI147:JL148">
    <cfRule type="expression" dxfId="948" priority="260">
      <formula>JI$27&lt;&gt;""</formula>
    </cfRule>
  </conditionalFormatting>
  <conditionalFormatting sqref="JK55:JN55">
    <cfRule type="expression" dxfId="947" priority="628">
      <formula>JK55&lt;&gt;""</formula>
    </cfRule>
  </conditionalFormatting>
  <conditionalFormatting sqref="JK129:JN129">
    <cfRule type="expression" dxfId="946" priority="585">
      <formula>JK129&lt;&gt;""</formula>
    </cfRule>
  </conditionalFormatting>
  <conditionalFormatting sqref="JO39:JO40">
    <cfRule type="expression" dxfId="945" priority="7654">
      <formula>AND($H$12&gt;=22, $H$12&lt;&gt;"Please Select")</formula>
    </cfRule>
  </conditionalFormatting>
  <conditionalFormatting sqref="JO41">
    <cfRule type="expression" dxfId="944" priority="7650">
      <formula>AND($H$12&gt;=22, $H$12&lt;&gt;"Please Select")</formula>
    </cfRule>
  </conditionalFormatting>
  <conditionalFormatting sqref="JO43">
    <cfRule type="expression" dxfId="943" priority="7649">
      <formula>AND($H$12&gt;=22, $H$12&lt;&gt;"Please Select")</formula>
    </cfRule>
  </conditionalFormatting>
  <conditionalFormatting sqref="JO44">
    <cfRule type="expression" dxfId="942" priority="7648">
      <formula>AND($H$12&gt;=22, $H$12&lt;&gt;"Please Select")</formula>
    </cfRule>
  </conditionalFormatting>
  <conditionalFormatting sqref="JO45">
    <cfRule type="expression" dxfId="941" priority="7642">
      <formula>AND($H$12&gt;=22, $H$12&lt;&gt;"Please Select")</formula>
    </cfRule>
  </conditionalFormatting>
  <conditionalFormatting sqref="JO46">
    <cfRule type="expression" dxfId="940" priority="7641">
      <formula>AND($H$12&gt;=22, $H$12&lt;&gt;"Please Select")</formula>
    </cfRule>
  </conditionalFormatting>
  <conditionalFormatting sqref="JO47">
    <cfRule type="expression" dxfId="939" priority="7640">
      <formula>AND($H$12&gt;=22, $H$12&lt;&gt;"Please Select")</formula>
    </cfRule>
  </conditionalFormatting>
  <conditionalFormatting sqref="JO48">
    <cfRule type="expression" dxfId="938" priority="7639">
      <formula>AND($H$12&gt;=22, $H$12&lt;&gt;"Please Select")</formula>
    </cfRule>
  </conditionalFormatting>
  <conditionalFormatting sqref="JO96">
    <cfRule type="expression" dxfId="937" priority="1165">
      <formula>AND($H$64&gt;=22, $H$64&lt;&gt;"Please Select")</formula>
    </cfRule>
  </conditionalFormatting>
  <conditionalFormatting sqref="JO98:JQ122">
    <cfRule type="expression" dxfId="936" priority="1167">
      <formula>AND($H$64&gt;=22, $H$64&lt;&gt;"Please Select")</formula>
    </cfRule>
  </conditionalFormatting>
  <conditionalFormatting sqref="JO97:JS97">
    <cfRule type="expression" dxfId="935" priority="1168">
      <formula>AND($H$64&gt;=22, $H$64&lt;&gt;"Please Select")</formula>
    </cfRule>
  </conditionalFormatting>
  <conditionalFormatting sqref="JO25:JU25">
    <cfRule type="expression" dxfId="934" priority="7663">
      <formula>AND($H$12&gt;=22, $H$12&lt;&gt;"Please Select")</formula>
    </cfRule>
  </conditionalFormatting>
  <conditionalFormatting sqref="JO82:JU82">
    <cfRule type="expression" dxfId="933" priority="2523">
      <formula>AND($H$64&gt;=22, $H$64&lt;&gt;"Please Select")</formula>
    </cfRule>
  </conditionalFormatting>
  <conditionalFormatting sqref="JO51:JW51">
    <cfRule type="expression" dxfId="932" priority="7636">
      <formula>(AND($H$12&gt;=22, $H$12&lt;&gt;"Please Select"))</formula>
    </cfRule>
  </conditionalFormatting>
  <conditionalFormatting sqref="JO125:JW125">
    <cfRule type="expression" dxfId="931" priority="2518">
      <formula>AND($H$64&gt;=22, $H$64&lt;&gt;"Please Select")</formula>
    </cfRule>
  </conditionalFormatting>
  <conditionalFormatting sqref="JP39:JP40">
    <cfRule type="expression" dxfId="930" priority="7653">
      <formula>AND($H$12&gt;=22, $H$12&lt;&gt;"Please Select")</formula>
    </cfRule>
  </conditionalFormatting>
  <conditionalFormatting sqref="JP41">
    <cfRule type="expression" dxfId="929" priority="7647">
      <formula>AND($H$12&gt;=22, $H$12&lt;&gt;"Please Select")</formula>
    </cfRule>
  </conditionalFormatting>
  <conditionalFormatting sqref="JP43">
    <cfRule type="expression" dxfId="928" priority="7638">
      <formula>AND($H$12&gt;=22, $H$12&lt;&gt;"Please Select")</formula>
    </cfRule>
  </conditionalFormatting>
  <conditionalFormatting sqref="JP44:JP48">
    <cfRule type="expression" dxfId="927" priority="7644">
      <formula>AND($H$12&gt;=22, $H$12&lt;&gt;"Please Select")</formula>
    </cfRule>
  </conditionalFormatting>
  <conditionalFormatting sqref="JP30:JQ30">
    <cfRule type="expression" dxfId="926" priority="7659">
      <formula>AND($H$12&gt;=22, $H$12&lt;&gt;"Please Select")</formula>
    </cfRule>
  </conditionalFormatting>
  <conditionalFormatting sqref="JP87:JQ87">
    <cfRule type="expression" dxfId="925" priority="2521">
      <formula>AND($H$64&gt;=22, $H$64&lt;&gt;"Please Select")</formula>
    </cfRule>
  </conditionalFormatting>
  <conditionalFormatting sqref="JP27:JS27">
    <cfRule type="expression" dxfId="924" priority="7662">
      <formula>AND($H$12&gt;=22, $H$12&lt;&gt;"Please Select")</formula>
    </cfRule>
  </conditionalFormatting>
  <conditionalFormatting sqref="JP28:JS28">
    <cfRule type="expression" dxfId="923" priority="7661">
      <formula>AND($H$12&gt;=22, $H$12&lt;&gt;"Please Select")</formula>
    </cfRule>
  </conditionalFormatting>
  <conditionalFormatting sqref="JP29:JS29">
    <cfRule type="expression" dxfId="922" priority="7660">
      <formula>AND($H$12&gt;=22, $H$12&lt;&gt;"Please Select")</formula>
    </cfRule>
  </conditionalFormatting>
  <conditionalFormatting sqref="JP84:JS86">
    <cfRule type="expression" dxfId="921" priority="2522">
      <formula>AND($H$64&gt;=22, $H$64&lt;&gt;"Please Select")</formula>
    </cfRule>
  </conditionalFormatting>
  <conditionalFormatting sqref="JQ31">
    <cfRule type="expression" dxfId="920" priority="7657">
      <formula>AND($H$12&gt;=22, $H$12&lt;&gt;"Please Select")</formula>
    </cfRule>
  </conditionalFormatting>
  <conditionalFormatting sqref="JQ88">
    <cfRule type="expression" dxfId="919" priority="2519">
      <formula>AND($H$64&gt;=22, $H$64&lt;&gt;"Please Select")</formula>
    </cfRule>
  </conditionalFormatting>
  <conditionalFormatting sqref="JQ39:JR40">
    <cfRule type="expression" dxfId="918" priority="7652">
      <formula>AND($H$12&gt;=22, $H$12&lt;&gt;"Please Select")</formula>
    </cfRule>
  </conditionalFormatting>
  <conditionalFormatting sqref="JQ41:JR41">
    <cfRule type="expression" dxfId="917" priority="7646">
      <formula>AND($H$12&gt;=22, $H$12&lt;&gt;"Please Select")</formula>
    </cfRule>
  </conditionalFormatting>
  <conditionalFormatting sqref="JQ43:JR43">
    <cfRule type="expression" dxfId="916" priority="7637">
      <formula>AND($H$12&gt;=22, $H$12&lt;&gt;"Please Select")</formula>
    </cfRule>
  </conditionalFormatting>
  <conditionalFormatting sqref="JQ44:JR48">
    <cfRule type="expression" dxfId="915" priority="7643">
      <formula>AND($H$12&gt;=22, $H$12&lt;&gt;"Please Select")</formula>
    </cfRule>
  </conditionalFormatting>
  <conditionalFormatting sqref="JQ91:JR91">
    <cfRule type="expression" dxfId="914" priority="136">
      <formula>AND($H$64&gt;=22, $H$64&lt;&gt;"Please Select")</formula>
    </cfRule>
    <cfRule type="expression" dxfId="913" priority="135">
      <formula>$JQ$91="No"</formula>
    </cfRule>
  </conditionalFormatting>
  <conditionalFormatting sqref="JQ92:JR92">
    <cfRule type="expression" dxfId="912" priority="2509">
      <formula>AND($H$64&gt;=22, $H$64&lt;&gt;"Please Select")</formula>
    </cfRule>
  </conditionalFormatting>
  <conditionalFormatting sqref="JQ95:JR95">
    <cfRule type="expression" dxfId="911" priority="647">
      <formula>AND($H$64&gt;=22, $H$64&lt;&gt;"Please Select")</formula>
    </cfRule>
  </conditionalFormatting>
  <conditionalFormatting sqref="JQ33:JS33">
    <cfRule type="expression" dxfId="910" priority="7656">
      <formula>AND($H$12&gt;=22, $H$12&lt;&gt;"Please Select")</formula>
    </cfRule>
  </conditionalFormatting>
  <conditionalFormatting sqref="JR98">
    <cfRule type="expression" dxfId="909" priority="1163">
      <formula>JR$98="Pending"</formula>
    </cfRule>
  </conditionalFormatting>
  <conditionalFormatting sqref="JR98:JS122">
    <cfRule type="expression" dxfId="908" priority="1166">
      <formula>AND($H$64&gt;=22, $H$64&lt;&gt;"Please Select")</formula>
    </cfRule>
  </conditionalFormatting>
  <conditionalFormatting sqref="JR99:JS99">
    <cfRule type="expression" dxfId="907" priority="1161">
      <formula>JR$99="Pending"</formula>
    </cfRule>
  </conditionalFormatting>
  <conditionalFormatting sqref="JR100:JS100">
    <cfRule type="expression" dxfId="906" priority="1159">
      <formula>JR$100="Pending"</formula>
    </cfRule>
  </conditionalFormatting>
  <conditionalFormatting sqref="JR101:JS101">
    <cfRule type="expression" dxfId="905" priority="1157">
      <formula>JR$101="Pending"</formula>
    </cfRule>
  </conditionalFormatting>
  <conditionalFormatting sqref="JR102:JS102">
    <cfRule type="expression" dxfId="904" priority="1155">
      <formula>JR$102="Pending"</formula>
    </cfRule>
  </conditionalFormatting>
  <conditionalFormatting sqref="JR103:JS103">
    <cfRule type="expression" dxfId="903" priority="1153">
      <formula>JR$103="Pending"</formula>
    </cfRule>
  </conditionalFormatting>
  <conditionalFormatting sqref="JR104:JS104">
    <cfRule type="expression" dxfId="902" priority="1151">
      <formula>JR$104="Pending"</formula>
    </cfRule>
  </conditionalFormatting>
  <conditionalFormatting sqref="JR105:JS105">
    <cfRule type="expression" dxfId="901" priority="1149">
      <formula>JR$105="Pending"</formula>
    </cfRule>
  </conditionalFormatting>
  <conditionalFormatting sqref="JR106:JS106">
    <cfRule type="expression" dxfId="900" priority="1147">
      <formula>JR$106="Pending"</formula>
    </cfRule>
  </conditionalFormatting>
  <conditionalFormatting sqref="JR107:JS107">
    <cfRule type="expression" dxfId="899" priority="1145">
      <formula>JR$107="Pending"</formula>
    </cfRule>
  </conditionalFormatting>
  <conditionalFormatting sqref="JR108:JS108">
    <cfRule type="expression" dxfId="898" priority="1143">
      <formula>JR$108="Pending"</formula>
    </cfRule>
  </conditionalFormatting>
  <conditionalFormatting sqref="JR109:JS109">
    <cfRule type="expression" dxfId="897" priority="1141">
      <formula>JR$109="Pending"</formula>
    </cfRule>
  </conditionalFormatting>
  <conditionalFormatting sqref="JR110:JS110">
    <cfRule type="expression" dxfId="896" priority="1139">
      <formula>JR$110="Pending"</formula>
    </cfRule>
  </conditionalFormatting>
  <conditionalFormatting sqref="JR111:JS111">
    <cfRule type="expression" dxfId="895" priority="1137">
      <formula>JR$111="Pending"</formula>
    </cfRule>
  </conditionalFormatting>
  <conditionalFormatting sqref="JR112:JS112">
    <cfRule type="expression" dxfId="894" priority="1135">
      <formula>JR$112="Pending"</formula>
    </cfRule>
  </conditionalFormatting>
  <conditionalFormatting sqref="JR113:JS113">
    <cfRule type="expression" dxfId="893" priority="1133">
      <formula>JR$113="Pending"</formula>
    </cfRule>
  </conditionalFormatting>
  <conditionalFormatting sqref="JR114:JS114">
    <cfRule type="expression" dxfId="892" priority="1131">
      <formula>JR$114="Pending"</formula>
    </cfRule>
  </conditionalFormatting>
  <conditionalFormatting sqref="JR115:JS115">
    <cfRule type="expression" dxfId="891" priority="1129">
      <formula>JR$115="Pending"</formula>
    </cfRule>
  </conditionalFormatting>
  <conditionalFormatting sqref="JR116:JS116">
    <cfRule type="expression" dxfId="890" priority="1127">
      <formula>JR$116="Pending"</formula>
    </cfRule>
  </conditionalFormatting>
  <conditionalFormatting sqref="JR117:JS117">
    <cfRule type="expression" dxfId="889" priority="1125">
      <formula>JR$117="Pending"</formula>
    </cfRule>
  </conditionalFormatting>
  <conditionalFormatting sqref="JR118:JS118">
    <cfRule type="expression" dxfId="888" priority="1123">
      <formula>JR$118="Pending"</formula>
    </cfRule>
  </conditionalFormatting>
  <conditionalFormatting sqref="JR119:JS119">
    <cfRule type="expression" dxfId="887" priority="1121">
      <formula>JR$119="Pending"</formula>
    </cfRule>
  </conditionalFormatting>
  <conditionalFormatting sqref="JR120:JS120">
    <cfRule type="expression" dxfId="886" priority="1119">
      <formula>JR$120="Pending"</formula>
    </cfRule>
  </conditionalFormatting>
  <conditionalFormatting sqref="JR121:JS121">
    <cfRule type="expression" dxfId="885" priority="1117">
      <formula>JR$121="Pending"</formula>
    </cfRule>
  </conditionalFormatting>
  <conditionalFormatting sqref="JR122:JS122">
    <cfRule type="expression" dxfId="884" priority="1115">
      <formula>JR$122="Pending"</formula>
    </cfRule>
  </conditionalFormatting>
  <conditionalFormatting sqref="JR52:JW52 JR55:JW55">
    <cfRule type="expression" dxfId="883" priority="7610">
      <formula>(AND($H$12&gt;=22, $H$12&lt;&gt;"Please Select"))</formula>
    </cfRule>
  </conditionalFormatting>
  <conditionalFormatting sqref="JR53:JW54">
    <cfRule type="expression" dxfId="882" priority="56">
      <formula>$JR$53&lt;&gt;""</formula>
    </cfRule>
  </conditionalFormatting>
  <conditionalFormatting sqref="JR126:JW126 JR129:JW129">
    <cfRule type="expression" dxfId="881" priority="2517">
      <formula>AND($H$64&gt;=22, $H$64&lt;&gt;"Please Select")</formula>
    </cfRule>
  </conditionalFormatting>
  <conditionalFormatting sqref="JR127:JW128">
    <cfRule type="expression" dxfId="880" priority="27">
      <formula>$JR$127&lt;&gt;""</formula>
    </cfRule>
  </conditionalFormatting>
  <conditionalFormatting sqref="JS30">
    <cfRule type="expression" dxfId="879" priority="7658">
      <formula>AND($H$12&gt;=22, $H$12&lt;&gt;"Please Select")</formula>
    </cfRule>
  </conditionalFormatting>
  <conditionalFormatting sqref="JS34">
    <cfRule type="expression" dxfId="878" priority="196">
      <formula>$JS$34="Pending"</formula>
    </cfRule>
    <cfRule type="expression" dxfId="877" priority="7655">
      <formula>AND($H$12&gt;=22, $H$12&lt;&gt;"Please Select")</formula>
    </cfRule>
  </conditionalFormatting>
  <conditionalFormatting sqref="JS35">
    <cfRule type="expression" dxfId="876" priority="7635">
      <formula>JS$34&lt;&gt;""</formula>
    </cfRule>
  </conditionalFormatting>
  <conditionalFormatting sqref="JS39:JS40">
    <cfRule type="expression" dxfId="875" priority="7651">
      <formula>AND($H$12&gt;=22, $H$12&lt;&gt;"Please Select")</formula>
    </cfRule>
  </conditionalFormatting>
  <conditionalFormatting sqref="JS41">
    <cfRule type="expression" dxfId="874" priority="7645">
      <formula>AND($H$12&gt;=22, $H$12&lt;&gt;"Please Select")</formula>
    </cfRule>
  </conditionalFormatting>
  <conditionalFormatting sqref="JS87">
    <cfRule type="expression" dxfId="873" priority="2520">
      <formula>AND($H$64&gt;=22, $H$64&lt;&gt;"Please Select")</formula>
    </cfRule>
  </conditionalFormatting>
  <conditionalFormatting sqref="JT97:JU97">
    <cfRule type="expression" dxfId="872" priority="1164">
      <formula>JT$97&lt;&gt;""</formula>
    </cfRule>
  </conditionalFormatting>
  <conditionalFormatting sqref="JT98:JU98">
    <cfRule type="expression" dxfId="871" priority="1162">
      <formula>JR$98="Pending"</formula>
    </cfRule>
  </conditionalFormatting>
  <conditionalFormatting sqref="JT99:JU99">
    <cfRule type="expression" dxfId="870" priority="1160">
      <formula>JR$99="Pending"</formula>
    </cfRule>
  </conditionalFormatting>
  <conditionalFormatting sqref="JT100:JU100">
    <cfRule type="expression" dxfId="869" priority="1158">
      <formula>JR$100="Pending"</formula>
    </cfRule>
  </conditionalFormatting>
  <conditionalFormatting sqref="JT101:JU101">
    <cfRule type="expression" dxfId="868" priority="1156">
      <formula>JR$101="Pending"</formula>
    </cfRule>
  </conditionalFormatting>
  <conditionalFormatting sqref="JT102:JU102">
    <cfRule type="expression" dxfId="867" priority="1154">
      <formula>JR$102="Pending"</formula>
    </cfRule>
  </conditionalFormatting>
  <conditionalFormatting sqref="JT103:JU103">
    <cfRule type="expression" dxfId="866" priority="1152">
      <formula>JR$103="Pending"</formula>
    </cfRule>
  </conditionalFormatting>
  <conditionalFormatting sqref="JT104:JU104">
    <cfRule type="expression" dxfId="865" priority="1150">
      <formula>JR$104="Pending"</formula>
    </cfRule>
  </conditionalFormatting>
  <conditionalFormatting sqref="JT105:JU105">
    <cfRule type="expression" dxfId="864" priority="1148">
      <formula>JR$105="Pending"</formula>
    </cfRule>
  </conditionalFormatting>
  <conditionalFormatting sqref="JT106:JU106">
    <cfRule type="expression" dxfId="863" priority="1146">
      <formula>JR$106="Pending"</formula>
    </cfRule>
  </conditionalFormatting>
  <conditionalFormatting sqref="JT107:JU107">
    <cfRule type="expression" dxfId="862" priority="1144">
      <formula>JR$107="Pending"</formula>
    </cfRule>
  </conditionalFormatting>
  <conditionalFormatting sqref="JT108:JU108">
    <cfRule type="expression" dxfId="861" priority="1142">
      <formula>JR$108="Pending"</formula>
    </cfRule>
  </conditionalFormatting>
  <conditionalFormatting sqref="JT109:JU109">
    <cfRule type="expression" dxfId="860" priority="1140">
      <formula>JR$109="Pending"</formula>
    </cfRule>
  </conditionalFormatting>
  <conditionalFormatting sqref="JT110:JU110">
    <cfRule type="expression" dxfId="859" priority="1138">
      <formula>JR$110="Pending"</formula>
    </cfRule>
  </conditionalFormatting>
  <conditionalFormatting sqref="JT111:JU111">
    <cfRule type="expression" dxfId="858" priority="1136">
      <formula>JR$111="Pending"</formula>
    </cfRule>
  </conditionalFormatting>
  <conditionalFormatting sqref="JT112:JU112">
    <cfRule type="expression" dxfId="857" priority="1134">
      <formula>JR$112="Pending"</formula>
    </cfRule>
  </conditionalFormatting>
  <conditionalFormatting sqref="JT113:JU113">
    <cfRule type="expression" dxfId="856" priority="1132">
      <formula>JR$113="Pending"</formula>
    </cfRule>
  </conditionalFormatting>
  <conditionalFormatting sqref="JT114:JU114">
    <cfRule type="expression" dxfId="855" priority="1130">
      <formula>JR$114="Pending"</formula>
    </cfRule>
  </conditionalFormatting>
  <conditionalFormatting sqref="JT115:JU115">
    <cfRule type="expression" dxfId="854" priority="1128">
      <formula>JR$115="Pending"</formula>
    </cfRule>
  </conditionalFormatting>
  <conditionalFormatting sqref="JT116:JU116">
    <cfRule type="expression" dxfId="853" priority="1126">
      <formula>JR$116="Pending"</formula>
    </cfRule>
  </conditionalFormatting>
  <conditionalFormatting sqref="JT117:JU117">
    <cfRule type="expression" dxfId="852" priority="1124">
      <formula>JR$117="Pending"</formula>
    </cfRule>
  </conditionalFormatting>
  <conditionalFormatting sqref="JT118:JU118">
    <cfRule type="expression" dxfId="851" priority="1122">
      <formula>JR$118="Pending"</formula>
    </cfRule>
  </conditionalFormatting>
  <conditionalFormatting sqref="JT119:JU119">
    <cfRule type="expression" dxfId="850" priority="1120">
      <formula>JR$119="Pending"</formula>
    </cfRule>
  </conditionalFormatting>
  <conditionalFormatting sqref="JT120:JU120">
    <cfRule type="expression" dxfId="849" priority="1118">
      <formula>JR$120="Pending"</formula>
    </cfRule>
  </conditionalFormatting>
  <conditionalFormatting sqref="JT121:JU121">
    <cfRule type="expression" dxfId="848" priority="1116">
      <formula>JR$121="Pending"</formula>
    </cfRule>
  </conditionalFormatting>
  <conditionalFormatting sqref="JT122:JU122">
    <cfRule type="expression" dxfId="847" priority="1114">
      <formula>JR$122="Pending"</formula>
    </cfRule>
  </conditionalFormatting>
  <conditionalFormatting sqref="JV27:JY28">
    <cfRule type="expression" dxfId="846" priority="5587">
      <formula>JV$27&lt;&gt;""</formula>
    </cfRule>
  </conditionalFormatting>
  <conditionalFormatting sqref="JV84:JY85">
    <cfRule type="expression" dxfId="845" priority="2524">
      <formula>JV$84&lt;&gt;""</formula>
    </cfRule>
  </conditionalFormatting>
  <conditionalFormatting sqref="JV147:JY148">
    <cfRule type="expression" dxfId="844" priority="259">
      <formula>JV$27&lt;&gt;""</formula>
    </cfRule>
  </conditionalFormatting>
  <conditionalFormatting sqref="JX55:KA55">
    <cfRule type="expression" dxfId="843" priority="629">
      <formula>JX55&lt;&gt;""</formula>
    </cfRule>
  </conditionalFormatting>
  <conditionalFormatting sqref="JX129:KA129">
    <cfRule type="expression" dxfId="842" priority="584">
      <formula>JX129&lt;&gt;""</formula>
    </cfRule>
  </conditionalFormatting>
  <conditionalFormatting sqref="KB39:KB40">
    <cfRule type="expression" dxfId="841" priority="7382">
      <formula>(AND($H$12&gt;=23, $H$12&lt;&gt;"Please Select"))</formula>
    </cfRule>
  </conditionalFormatting>
  <conditionalFormatting sqref="KB41">
    <cfRule type="expression" dxfId="840" priority="7378">
      <formula>(AND($H$12&gt;=23, $H$12&lt;&gt;"Please Select"))</formula>
    </cfRule>
  </conditionalFormatting>
  <conditionalFormatting sqref="KB43">
    <cfRule type="expression" dxfId="839" priority="7377">
      <formula>(AND($H$12&gt;=23, $H$12&lt;&gt;"Please Select"))</formula>
    </cfRule>
  </conditionalFormatting>
  <conditionalFormatting sqref="KB44">
    <cfRule type="expression" dxfId="838" priority="7376">
      <formula>(AND($H$12&gt;=23, $H$12&lt;&gt;"Please Select"))</formula>
    </cfRule>
  </conditionalFormatting>
  <conditionalFormatting sqref="KB45">
    <cfRule type="expression" dxfId="837" priority="7370">
      <formula>(AND($H$12&gt;=23, $H$12&lt;&gt;"Please Select"))</formula>
    </cfRule>
  </conditionalFormatting>
  <conditionalFormatting sqref="KB46">
    <cfRule type="expression" dxfId="836" priority="7369">
      <formula>(AND($H$12&gt;=23, $H$12&lt;&gt;"Please Select"))</formula>
    </cfRule>
  </conditionalFormatting>
  <conditionalFormatting sqref="KB47">
    <cfRule type="expression" dxfId="835" priority="7368">
      <formula>(AND($H$12&gt;=23, $H$12&lt;&gt;"Please Select"))</formula>
    </cfRule>
  </conditionalFormatting>
  <conditionalFormatting sqref="KB48">
    <cfRule type="expression" dxfId="834" priority="7367">
      <formula>(AND($H$12&gt;=23, $H$12&lt;&gt;"Please Select"))</formula>
    </cfRule>
  </conditionalFormatting>
  <conditionalFormatting sqref="KB96">
    <cfRule type="expression" dxfId="833" priority="1110">
      <formula>AND($H$64&gt;=23, $H$64&lt;&gt;"Please Select")</formula>
    </cfRule>
  </conditionalFormatting>
  <conditionalFormatting sqref="KB98:KD122">
    <cfRule type="expression" dxfId="832" priority="1112">
      <formula>AND($H$64&gt;=23, $H$64&lt;&gt;"Please Select")</formula>
    </cfRule>
  </conditionalFormatting>
  <conditionalFormatting sqref="KB97:KF97">
    <cfRule type="expression" dxfId="831" priority="1113">
      <formula>AND($H$64&gt;=23, $H$64&lt;&gt;"Please Select")</formula>
    </cfRule>
  </conditionalFormatting>
  <conditionalFormatting sqref="KB25:KH25">
    <cfRule type="expression" dxfId="830" priority="7391">
      <formula>(AND($H$12&gt;=23, $H$12&lt;&gt;"Please Select"))</formula>
    </cfRule>
  </conditionalFormatting>
  <conditionalFormatting sqref="KB82:KH82">
    <cfRule type="expression" dxfId="829" priority="2503">
      <formula>AND($H$64&gt;=23, $H$64&lt;&gt;"Please Select")</formula>
    </cfRule>
  </conditionalFormatting>
  <conditionalFormatting sqref="KB51:KJ51">
    <cfRule type="expression" dxfId="828" priority="7364">
      <formula>(AND($H$12&gt;=23, $H$12&lt;&gt;"Please Select"))</formula>
    </cfRule>
  </conditionalFormatting>
  <conditionalFormatting sqref="KB125:KJ125">
    <cfRule type="expression" dxfId="827" priority="2498">
      <formula>AND($H$64&gt;=23, $H$64&lt;&gt;"Please Select")</formula>
    </cfRule>
  </conditionalFormatting>
  <conditionalFormatting sqref="KC39:KC40">
    <cfRule type="expression" dxfId="826" priority="7381">
      <formula>(AND($H$12&gt;=23, $H$12&lt;&gt;"Please Select"))</formula>
    </cfRule>
  </conditionalFormatting>
  <conditionalFormatting sqref="KC41">
    <cfRule type="expression" dxfId="825" priority="7375">
      <formula>(AND($H$12&gt;=23, $H$12&lt;&gt;"Please Select"))</formula>
    </cfRule>
  </conditionalFormatting>
  <conditionalFormatting sqref="KC43">
    <cfRule type="expression" dxfId="824" priority="7366">
      <formula>(AND($H$12&gt;=23, $H$12&lt;&gt;"Please Select"))</formula>
    </cfRule>
  </conditionalFormatting>
  <conditionalFormatting sqref="KC44:KC48">
    <cfRule type="expression" dxfId="823" priority="7372">
      <formula>(AND($H$12&gt;=23, $H$12&lt;&gt;"Please Select"))</formula>
    </cfRule>
  </conditionalFormatting>
  <conditionalFormatting sqref="KC30:KD30">
    <cfRule type="expression" dxfId="822" priority="7387">
      <formula>(AND($H$12&gt;=23, $H$12&lt;&gt;"Please Select"))</formula>
    </cfRule>
  </conditionalFormatting>
  <conditionalFormatting sqref="KC87:KD87">
    <cfRule type="expression" dxfId="821" priority="2501">
      <formula>AND($H$64&gt;=23, $H$64&lt;&gt;"Please Select")</formula>
    </cfRule>
  </conditionalFormatting>
  <conditionalFormatting sqref="KC27:KF27">
    <cfRule type="expression" dxfId="820" priority="7390">
      <formula>(AND($H$12&gt;=23, $H$12&lt;&gt;"Please Select"))</formula>
    </cfRule>
  </conditionalFormatting>
  <conditionalFormatting sqref="KC28:KF28">
    <cfRule type="expression" dxfId="819" priority="7389">
      <formula>(AND($H$12&gt;=23, $H$12&lt;&gt;"Please Select"))</formula>
    </cfRule>
  </conditionalFormatting>
  <conditionalFormatting sqref="KC29:KF29">
    <cfRule type="expression" dxfId="818" priority="7388">
      <formula>(AND($H$12&gt;=23, $H$12&lt;&gt;"Please Select"))</formula>
    </cfRule>
  </conditionalFormatting>
  <conditionalFormatting sqref="KC84:KF86">
    <cfRule type="expression" dxfId="817" priority="2502">
      <formula>AND($H$64&gt;=23, $H$64&lt;&gt;"Please Select")</formula>
    </cfRule>
  </conditionalFormatting>
  <conditionalFormatting sqref="KD31">
    <cfRule type="expression" dxfId="816" priority="7385">
      <formula>(AND($H$12&gt;=23, $H$12&lt;&gt;"Please Select"))</formula>
    </cfRule>
  </conditionalFormatting>
  <conditionalFormatting sqref="KD88">
    <cfRule type="expression" dxfId="815" priority="2499">
      <formula>AND($H$64&gt;=23, $H$64&lt;&gt;"Please Select")</formula>
    </cfRule>
  </conditionalFormatting>
  <conditionalFormatting sqref="KD39:KE40">
    <cfRule type="expression" dxfId="814" priority="7380">
      <formula>(AND($H$12&gt;=23, $H$12&lt;&gt;"Please Select"))</formula>
    </cfRule>
  </conditionalFormatting>
  <conditionalFormatting sqref="KD41:KE41">
    <cfRule type="expression" dxfId="813" priority="7374">
      <formula>(AND($H$12&gt;=23, $H$12&lt;&gt;"Please Select"))</formula>
    </cfRule>
  </conditionalFormatting>
  <conditionalFormatting sqref="KD43:KE43">
    <cfRule type="expression" dxfId="812" priority="7365">
      <formula>(AND($H$12&gt;=23, $H$12&lt;&gt;"Please Select"))</formula>
    </cfRule>
  </conditionalFormatting>
  <conditionalFormatting sqref="KD44:KE48">
    <cfRule type="expression" dxfId="811" priority="7371">
      <formula>(AND($H$12&gt;=23, $H$12&lt;&gt;"Please Select"))</formula>
    </cfRule>
  </conditionalFormatting>
  <conditionalFormatting sqref="KD91:KE91">
    <cfRule type="expression" dxfId="810" priority="134">
      <formula>AND($H$64&gt;=23, $H$64&lt;&gt;"Please Select")</formula>
    </cfRule>
    <cfRule type="expression" dxfId="809" priority="133">
      <formula>$KD$91="No"</formula>
    </cfRule>
  </conditionalFormatting>
  <conditionalFormatting sqref="KD92:KE92">
    <cfRule type="expression" dxfId="808" priority="2489">
      <formula>AND($H$64&gt;=23, $H$64&lt;&gt;"Please Select")</formula>
    </cfRule>
  </conditionalFormatting>
  <conditionalFormatting sqref="KD95:KE95">
    <cfRule type="expression" dxfId="807" priority="646">
      <formula>AND($H$64&gt;=23, $H$64&lt;&gt;"Please Select")</formula>
    </cfRule>
  </conditionalFormatting>
  <conditionalFormatting sqref="KD33:KF33">
    <cfRule type="expression" dxfId="806" priority="7384">
      <formula>(AND($H$12&gt;=23, $H$12&lt;&gt;"Please Select"))</formula>
    </cfRule>
  </conditionalFormatting>
  <conditionalFormatting sqref="KE98">
    <cfRule type="expression" dxfId="805" priority="1108">
      <formula>KE$98="Pending"</formula>
    </cfRule>
  </conditionalFormatting>
  <conditionalFormatting sqref="KE98:KF122">
    <cfRule type="expression" dxfId="804" priority="1111">
      <formula>AND($H$64&gt;=23, $H$64&lt;&gt;"Please Select")</formula>
    </cfRule>
  </conditionalFormatting>
  <conditionalFormatting sqref="KE99:KF99">
    <cfRule type="expression" dxfId="803" priority="1106">
      <formula>KE$99="Pending"</formula>
    </cfRule>
  </conditionalFormatting>
  <conditionalFormatting sqref="KE100:KF100">
    <cfRule type="expression" dxfId="802" priority="1104">
      <formula>KE$100="Pending"</formula>
    </cfRule>
  </conditionalFormatting>
  <conditionalFormatting sqref="KE101:KF101">
    <cfRule type="expression" dxfId="801" priority="1102">
      <formula>KE$101="Pending"</formula>
    </cfRule>
  </conditionalFormatting>
  <conditionalFormatting sqref="KE102:KF102">
    <cfRule type="expression" dxfId="800" priority="1100">
      <formula>KE$102="Pending"</formula>
    </cfRule>
  </conditionalFormatting>
  <conditionalFormatting sqref="KE103:KF103">
    <cfRule type="expression" dxfId="799" priority="1098">
      <formula>KE$103="Pending"</formula>
    </cfRule>
  </conditionalFormatting>
  <conditionalFormatting sqref="KE104:KF104">
    <cfRule type="expression" dxfId="798" priority="1096">
      <formula>KE$104="Pending"</formula>
    </cfRule>
  </conditionalFormatting>
  <conditionalFormatting sqref="KE105:KF105">
    <cfRule type="expression" dxfId="797" priority="1094">
      <formula>KE$105="Pending"</formula>
    </cfRule>
  </conditionalFormatting>
  <conditionalFormatting sqref="KE106:KF106">
    <cfRule type="expression" dxfId="796" priority="1092">
      <formula>KE$106="Pending"</formula>
    </cfRule>
  </conditionalFormatting>
  <conditionalFormatting sqref="KE107:KF107">
    <cfRule type="expression" dxfId="795" priority="1090">
      <formula>KE$107="Pending"</formula>
    </cfRule>
  </conditionalFormatting>
  <conditionalFormatting sqref="KE108:KF108">
    <cfRule type="expression" dxfId="794" priority="1088">
      <formula>KE$108="Pending"</formula>
    </cfRule>
  </conditionalFormatting>
  <conditionalFormatting sqref="KE109:KF109">
    <cfRule type="expression" dxfId="793" priority="1086">
      <formula>KE$109="Pending"</formula>
    </cfRule>
  </conditionalFormatting>
  <conditionalFormatting sqref="KE110:KF110">
    <cfRule type="expression" dxfId="792" priority="1084">
      <formula>KE$110="Pending"</formula>
    </cfRule>
  </conditionalFormatting>
  <conditionalFormatting sqref="KE111:KF111">
    <cfRule type="expression" dxfId="791" priority="1082">
      <formula>KE$111="Pending"</formula>
    </cfRule>
  </conditionalFormatting>
  <conditionalFormatting sqref="KE112:KF112">
    <cfRule type="expression" dxfId="790" priority="1080">
      <formula>KE$112="Pending"</formula>
    </cfRule>
  </conditionalFormatting>
  <conditionalFormatting sqref="KE113:KF113">
    <cfRule type="expression" dxfId="789" priority="1078">
      <formula>KE$113="Pending"</formula>
    </cfRule>
  </conditionalFormatting>
  <conditionalFormatting sqref="KE114:KF114">
    <cfRule type="expression" dxfId="788" priority="1076">
      <formula>KE$114="Pending"</formula>
    </cfRule>
  </conditionalFormatting>
  <conditionalFormatting sqref="KE115:KF115">
    <cfRule type="expression" dxfId="787" priority="1074">
      <formula>KE$115="Pending"</formula>
    </cfRule>
  </conditionalFormatting>
  <conditionalFormatting sqref="KE116:KF116">
    <cfRule type="expression" dxfId="786" priority="1072">
      <formula>KE$116="Pending"</formula>
    </cfRule>
  </conditionalFormatting>
  <conditionalFormatting sqref="KE117:KF117">
    <cfRule type="expression" dxfId="785" priority="1070">
      <formula>KE$117="Pending"</formula>
    </cfRule>
  </conditionalFormatting>
  <conditionalFormatting sqref="KE118:KF118">
    <cfRule type="expression" dxfId="784" priority="1068">
      <formula>KE$118="Pending"</formula>
    </cfRule>
  </conditionalFormatting>
  <conditionalFormatting sqref="KE119:KF119">
    <cfRule type="expression" dxfId="783" priority="1066">
      <formula>KE$119="Pending"</formula>
    </cfRule>
  </conditionalFormatting>
  <conditionalFormatting sqref="KE120:KF120">
    <cfRule type="expression" dxfId="782" priority="1064">
      <formula>KE$120="Pending"</formula>
    </cfRule>
  </conditionalFormatting>
  <conditionalFormatting sqref="KE121:KF121">
    <cfRule type="expression" dxfId="781" priority="1062">
      <formula>KE$121="Pending"</formula>
    </cfRule>
  </conditionalFormatting>
  <conditionalFormatting sqref="KE122:KF122">
    <cfRule type="expression" dxfId="780" priority="1060">
      <formula>KE$122="Pending"</formula>
    </cfRule>
  </conditionalFormatting>
  <conditionalFormatting sqref="KE52:KJ52 KE55:KJ55">
    <cfRule type="expression" dxfId="779" priority="7338">
      <formula>(AND($H$12&gt;=23, $H$12&lt;&gt;"Please Select"))</formula>
    </cfRule>
  </conditionalFormatting>
  <conditionalFormatting sqref="KE53:KJ54">
    <cfRule type="expression" dxfId="778" priority="57">
      <formula>$KE$53&lt;&gt;""</formula>
    </cfRule>
  </conditionalFormatting>
  <conditionalFormatting sqref="KE126:KJ126 KE129:KJ129">
    <cfRule type="expression" dxfId="777" priority="2497">
      <formula>AND($H$64&gt;=23, $H$64&lt;&gt;"Please Select")</formula>
    </cfRule>
  </conditionalFormatting>
  <conditionalFormatting sqref="KE127:KJ128">
    <cfRule type="expression" dxfId="776" priority="28">
      <formula>$KE$127&lt;&gt;""</formula>
    </cfRule>
  </conditionalFormatting>
  <conditionalFormatting sqref="KF30">
    <cfRule type="expression" dxfId="775" priority="7386">
      <formula>(AND($H$12&gt;=23, $H$12&lt;&gt;"Please Select"))</formula>
    </cfRule>
  </conditionalFormatting>
  <conditionalFormatting sqref="KF34">
    <cfRule type="expression" dxfId="774" priority="7383">
      <formula>(AND($H$12&gt;=23, $H$12&lt;&gt;"Please Select"))</formula>
    </cfRule>
    <cfRule type="expression" dxfId="773" priority="197">
      <formula>$KF$34="Pending"</formula>
    </cfRule>
  </conditionalFormatting>
  <conditionalFormatting sqref="KF35">
    <cfRule type="expression" dxfId="772" priority="7363">
      <formula>KF$34&lt;&gt;""</formula>
    </cfRule>
  </conditionalFormatting>
  <conditionalFormatting sqref="KF39:KF40">
    <cfRule type="expression" dxfId="771" priority="7379">
      <formula>(AND($H$12&gt;=23, $H$12&lt;&gt;"Please Select"))</formula>
    </cfRule>
  </conditionalFormatting>
  <conditionalFormatting sqref="KF41">
    <cfRule type="expression" dxfId="770" priority="7373">
      <formula>(AND($H$12&gt;=23, $H$12&lt;&gt;"Please Select"))</formula>
    </cfRule>
  </conditionalFormatting>
  <conditionalFormatting sqref="KF87">
    <cfRule type="expression" dxfId="769" priority="2500">
      <formula>AND($H$64&gt;=23, $H$64&lt;&gt;"Please Select")</formula>
    </cfRule>
  </conditionalFormatting>
  <conditionalFormatting sqref="KG97:KH97">
    <cfRule type="expression" dxfId="768" priority="1109">
      <formula>KG$97&lt;&gt;""</formula>
    </cfRule>
  </conditionalFormatting>
  <conditionalFormatting sqref="KG98:KH98">
    <cfRule type="expression" dxfId="767" priority="1107">
      <formula>KE$98="Pending"</formula>
    </cfRule>
  </conditionalFormatting>
  <conditionalFormatting sqref="KG99:KH99">
    <cfRule type="expression" dxfId="766" priority="1105">
      <formula>KE$99="Pending"</formula>
    </cfRule>
  </conditionalFormatting>
  <conditionalFormatting sqref="KG100:KH100">
    <cfRule type="expression" dxfId="765" priority="1103">
      <formula>KE$100="Pending"</formula>
    </cfRule>
  </conditionalFormatting>
  <conditionalFormatting sqref="KG101:KH101">
    <cfRule type="expression" dxfId="764" priority="1101">
      <formula>KE$101="Pending"</formula>
    </cfRule>
  </conditionalFormatting>
  <conditionalFormatting sqref="KG102:KH102">
    <cfRule type="expression" dxfId="763" priority="1099">
      <formula>KE$102="Pending"</formula>
    </cfRule>
  </conditionalFormatting>
  <conditionalFormatting sqref="KG103:KH103">
    <cfRule type="expression" dxfId="762" priority="1097">
      <formula>KE$103="Pending"</formula>
    </cfRule>
  </conditionalFormatting>
  <conditionalFormatting sqref="KG104:KH104">
    <cfRule type="expression" dxfId="761" priority="1095">
      <formula>KE$104="Pending"</formula>
    </cfRule>
  </conditionalFormatting>
  <conditionalFormatting sqref="KG105:KH105">
    <cfRule type="expression" dxfId="760" priority="1093">
      <formula>KE$105="Pending"</formula>
    </cfRule>
  </conditionalFormatting>
  <conditionalFormatting sqref="KG106:KH106">
    <cfRule type="expression" dxfId="759" priority="1091">
      <formula>KE$106="Pending"</formula>
    </cfRule>
  </conditionalFormatting>
  <conditionalFormatting sqref="KG107:KH107">
    <cfRule type="expression" dxfId="758" priority="1089">
      <formula>KE$107="Pending"</formula>
    </cfRule>
  </conditionalFormatting>
  <conditionalFormatting sqref="KG108:KH108">
    <cfRule type="expression" dxfId="757" priority="1087">
      <formula>KE$108="Pending"</formula>
    </cfRule>
  </conditionalFormatting>
  <conditionalFormatting sqref="KG109:KH109">
    <cfRule type="expression" dxfId="756" priority="1085">
      <formula>KE$109="Pending"</formula>
    </cfRule>
  </conditionalFormatting>
  <conditionalFormatting sqref="KG110:KH110">
    <cfRule type="expression" dxfId="755" priority="1083">
      <formula>KE$110="Pending"</formula>
    </cfRule>
  </conditionalFormatting>
  <conditionalFormatting sqref="KG111:KH111">
    <cfRule type="expression" dxfId="754" priority="1081">
      <formula>KE$111="Pending"</formula>
    </cfRule>
  </conditionalFormatting>
  <conditionalFormatting sqref="KG112:KH112">
    <cfRule type="expression" dxfId="753" priority="1079">
      <formula>KE$112="Pending"</formula>
    </cfRule>
  </conditionalFormatting>
  <conditionalFormatting sqref="KG113:KH113">
    <cfRule type="expression" dxfId="752" priority="1077">
      <formula>KE$113="Pending"</formula>
    </cfRule>
  </conditionalFormatting>
  <conditionalFormatting sqref="KG114:KH114">
    <cfRule type="expression" dxfId="751" priority="1075">
      <formula>KE$114="Pending"</formula>
    </cfRule>
  </conditionalFormatting>
  <conditionalFormatting sqref="KG115:KH115">
    <cfRule type="expression" dxfId="750" priority="1073">
      <formula>KE$115="Pending"</formula>
    </cfRule>
  </conditionalFormatting>
  <conditionalFormatting sqref="KG116:KH116">
    <cfRule type="expression" dxfId="749" priority="1071">
      <formula>KE$116="Pending"</formula>
    </cfRule>
  </conditionalFormatting>
  <conditionalFormatting sqref="KG117:KH117">
    <cfRule type="expression" dxfId="748" priority="1069">
      <formula>KE$117="Pending"</formula>
    </cfRule>
  </conditionalFormatting>
  <conditionalFormatting sqref="KG118:KH118">
    <cfRule type="expression" dxfId="747" priority="1067">
      <formula>KE$118="Pending"</formula>
    </cfRule>
  </conditionalFormatting>
  <conditionalFormatting sqref="KG119:KH119">
    <cfRule type="expression" dxfId="746" priority="1065">
      <formula>KE$119="Pending"</formula>
    </cfRule>
  </conditionalFormatting>
  <conditionalFormatting sqref="KG120:KH120">
    <cfRule type="expression" dxfId="745" priority="1063">
      <formula>KE$120="Pending"</formula>
    </cfRule>
  </conditionalFormatting>
  <conditionalFormatting sqref="KG121:KH121">
    <cfRule type="expression" dxfId="744" priority="1061">
      <formula>KE$121="Pending"</formula>
    </cfRule>
  </conditionalFormatting>
  <conditionalFormatting sqref="KG122:KH122">
    <cfRule type="expression" dxfId="743" priority="1059">
      <formula>KE$122="Pending"</formula>
    </cfRule>
  </conditionalFormatting>
  <conditionalFormatting sqref="KI27:KL28">
    <cfRule type="expression" dxfId="742" priority="5586">
      <formula>KI$27&lt;&gt;""</formula>
    </cfRule>
  </conditionalFormatting>
  <conditionalFormatting sqref="KI84:KL85">
    <cfRule type="expression" dxfId="741" priority="2504">
      <formula>KI$84&lt;&gt;""</formula>
    </cfRule>
  </conditionalFormatting>
  <conditionalFormatting sqref="KI147:KL148">
    <cfRule type="expression" dxfId="740" priority="258">
      <formula>KI$27&lt;&gt;""</formula>
    </cfRule>
  </conditionalFormatting>
  <conditionalFormatting sqref="KK55:KN55">
    <cfRule type="expression" dxfId="739" priority="630">
      <formula>KK55&lt;&gt;""</formula>
    </cfRule>
  </conditionalFormatting>
  <conditionalFormatting sqref="KK129:KN129">
    <cfRule type="expression" dxfId="738" priority="583">
      <formula>KK129&lt;&gt;""</formula>
    </cfRule>
  </conditionalFormatting>
  <conditionalFormatting sqref="KO39:KO40">
    <cfRule type="expression" dxfId="737" priority="7110">
      <formula>(AND($H$12&gt;=24, $H$12&lt;&gt;"Please Select"))</formula>
    </cfRule>
  </conditionalFormatting>
  <conditionalFormatting sqref="KO41">
    <cfRule type="expression" dxfId="736" priority="7106">
      <formula>(AND($H$12&gt;=24, $H$12&lt;&gt;"Please Select"))</formula>
    </cfRule>
  </conditionalFormatting>
  <conditionalFormatting sqref="KO43">
    <cfRule type="expression" dxfId="735" priority="7105">
      <formula>(AND($H$12&gt;=24, $H$12&lt;&gt;"Please Select"))</formula>
    </cfRule>
  </conditionalFormatting>
  <conditionalFormatting sqref="KO44">
    <cfRule type="expression" dxfId="734" priority="7104">
      <formula>(AND($H$12&gt;=24, $H$12&lt;&gt;"Please Select"))</formula>
    </cfRule>
  </conditionalFormatting>
  <conditionalFormatting sqref="KO45">
    <cfRule type="expression" dxfId="733" priority="7098">
      <formula>(AND($H$12&gt;=24, $H$12&lt;&gt;"Please Select"))</formula>
    </cfRule>
  </conditionalFormatting>
  <conditionalFormatting sqref="KO46">
    <cfRule type="expression" dxfId="732" priority="7097">
      <formula>(AND($H$12&gt;=24, $H$12&lt;&gt;"Please Select"))</formula>
    </cfRule>
  </conditionalFormatting>
  <conditionalFormatting sqref="KO47">
    <cfRule type="expression" dxfId="731" priority="7096">
      <formula>(AND($H$12&gt;=24, $H$12&lt;&gt;"Please Select"))</formula>
    </cfRule>
  </conditionalFormatting>
  <conditionalFormatting sqref="KO48">
    <cfRule type="expression" dxfId="730" priority="7095">
      <formula>(AND($H$12&gt;=24, $H$12&lt;&gt;"Please Select"))</formula>
    </cfRule>
  </conditionalFormatting>
  <conditionalFormatting sqref="KO96">
    <cfRule type="expression" dxfId="729" priority="1055">
      <formula>AND($H$64&gt;=24, $H$64&lt;&gt;"Please Select")</formula>
    </cfRule>
  </conditionalFormatting>
  <conditionalFormatting sqref="KO98:KQ122">
    <cfRule type="expression" dxfId="728" priority="1057">
      <formula>AND($H$64&gt;=24, $H$64&lt;&gt;"Please Select")</formula>
    </cfRule>
  </conditionalFormatting>
  <conditionalFormatting sqref="KO97:KS97">
    <cfRule type="expression" dxfId="727" priority="1058">
      <formula>AND($H$64&gt;=24, $H$64&lt;&gt;"Please Select")</formula>
    </cfRule>
  </conditionalFormatting>
  <conditionalFormatting sqref="KO25:KU25">
    <cfRule type="expression" dxfId="726" priority="7119">
      <formula>(AND($H$12&gt;=24, $H$12&lt;&gt;"Please Select"))</formula>
    </cfRule>
  </conditionalFormatting>
  <conditionalFormatting sqref="KO82:KU82">
    <cfRule type="expression" dxfId="725" priority="2483">
      <formula>AND($H$64&gt;=24, $H$64&lt;&gt;"Please Select")</formula>
    </cfRule>
  </conditionalFormatting>
  <conditionalFormatting sqref="KO51:KW51">
    <cfRule type="expression" dxfId="724" priority="7092">
      <formula>(AND($H$12&gt;=24, $H$12&lt;&gt;"Please Select"))</formula>
    </cfRule>
  </conditionalFormatting>
  <conditionalFormatting sqref="KO125:KW125">
    <cfRule type="expression" dxfId="723" priority="2478">
      <formula>AND($H$64&gt;=24, $H$64&lt;&gt;"Please Select")</formula>
    </cfRule>
  </conditionalFormatting>
  <conditionalFormatting sqref="KP39:KP40">
    <cfRule type="expression" dxfId="722" priority="7109">
      <formula>(AND($H$12&gt;=24, $H$12&lt;&gt;"Please Select"))</formula>
    </cfRule>
  </conditionalFormatting>
  <conditionalFormatting sqref="KP41">
    <cfRule type="expression" dxfId="721" priority="7103">
      <formula>(AND($H$12&gt;=24, $H$12&lt;&gt;"Please Select"))</formula>
    </cfRule>
  </conditionalFormatting>
  <conditionalFormatting sqref="KP43">
    <cfRule type="expression" dxfId="720" priority="7094">
      <formula>(AND($H$12&gt;=24, $H$12&lt;&gt;"Please Select"))</formula>
    </cfRule>
  </conditionalFormatting>
  <conditionalFormatting sqref="KP44:KP48">
    <cfRule type="expression" dxfId="719" priority="7100">
      <formula>(AND($H$12&gt;=24, $H$12&lt;&gt;"Please Select"))</formula>
    </cfRule>
  </conditionalFormatting>
  <conditionalFormatting sqref="KP30:KQ30">
    <cfRule type="expression" dxfId="718" priority="7115">
      <formula>(AND($H$12&gt;=24, $H$12&lt;&gt;"Please Select"))</formula>
    </cfRule>
  </conditionalFormatting>
  <conditionalFormatting sqref="KP87:KQ87">
    <cfRule type="expression" dxfId="717" priority="2481">
      <formula>AND($H$64&gt;=24, $H$64&lt;&gt;"Please Select")</formula>
    </cfRule>
  </conditionalFormatting>
  <conditionalFormatting sqref="KP27:KS27">
    <cfRule type="expression" dxfId="716" priority="7118">
      <formula>(AND($H$12&gt;=24, $H$12&lt;&gt;"Please Select"))</formula>
    </cfRule>
  </conditionalFormatting>
  <conditionalFormatting sqref="KP28:KS28">
    <cfRule type="expression" dxfId="715" priority="7117">
      <formula>(AND($H$12&gt;=24, $H$12&lt;&gt;"Please Select"))</formula>
    </cfRule>
  </conditionalFormatting>
  <conditionalFormatting sqref="KP29:KS29">
    <cfRule type="expression" dxfId="714" priority="7116">
      <formula>(AND($H$12&gt;=24, $H$12&lt;&gt;"Please Select"))</formula>
    </cfRule>
  </conditionalFormatting>
  <conditionalFormatting sqref="KP84:KS86">
    <cfRule type="expression" dxfId="713" priority="2482">
      <formula>AND($H$64&gt;=24, $H$64&lt;&gt;"Please Select")</formula>
    </cfRule>
  </conditionalFormatting>
  <conditionalFormatting sqref="KQ31">
    <cfRule type="expression" dxfId="712" priority="7113">
      <formula>(AND($H$12&gt;=24, $H$12&lt;&gt;"Please Select"))</formula>
    </cfRule>
  </conditionalFormatting>
  <conditionalFormatting sqref="KQ88">
    <cfRule type="expression" dxfId="711" priority="2479">
      <formula>AND($H$64&gt;=24, $H$64&lt;&gt;"Please Select")</formula>
    </cfRule>
  </conditionalFormatting>
  <conditionalFormatting sqref="KQ39:KR40">
    <cfRule type="expression" dxfId="710" priority="7108">
      <formula>(AND($H$12&gt;=24, $H$12&lt;&gt;"Please Select"))</formula>
    </cfRule>
  </conditionalFormatting>
  <conditionalFormatting sqref="KQ41:KR41">
    <cfRule type="expression" dxfId="709" priority="7102">
      <formula>(AND($H$12&gt;=24, $H$12&lt;&gt;"Please Select"))</formula>
    </cfRule>
  </conditionalFormatting>
  <conditionalFormatting sqref="KQ43:KR43">
    <cfRule type="expression" dxfId="708" priority="7093">
      <formula>(AND($H$12&gt;=24, $H$12&lt;&gt;"Please Select"))</formula>
    </cfRule>
  </conditionalFormatting>
  <conditionalFormatting sqref="KQ44:KR48">
    <cfRule type="expression" dxfId="707" priority="7099">
      <formula>(AND($H$12&gt;=24, $H$12&lt;&gt;"Please Select"))</formula>
    </cfRule>
  </conditionalFormatting>
  <conditionalFormatting sqref="KQ91:KR91">
    <cfRule type="expression" dxfId="706" priority="132">
      <formula>AND($H$64&gt;=24, $H$64&lt;&gt;"Please Select")</formula>
    </cfRule>
    <cfRule type="expression" dxfId="705" priority="131">
      <formula>$KQ$91="No"</formula>
    </cfRule>
  </conditionalFormatting>
  <conditionalFormatting sqref="KQ92:KR92">
    <cfRule type="expression" dxfId="704" priority="2469">
      <formula>AND($H$64&gt;=24, $H$64&lt;&gt;"Please Select")</formula>
    </cfRule>
  </conditionalFormatting>
  <conditionalFormatting sqref="KQ95:KR95">
    <cfRule type="expression" dxfId="703" priority="645">
      <formula>AND($H$64&gt;=24, $H$64&lt;&gt;"Please Select")</formula>
    </cfRule>
  </conditionalFormatting>
  <conditionalFormatting sqref="KQ33:KS33">
    <cfRule type="expression" dxfId="702" priority="7112">
      <formula>(AND($H$12&gt;=24, $H$12&lt;&gt;"Please Select"))</formula>
    </cfRule>
  </conditionalFormatting>
  <conditionalFormatting sqref="KR98">
    <cfRule type="expression" dxfId="701" priority="1053">
      <formula>KR$98="Pending"</formula>
    </cfRule>
  </conditionalFormatting>
  <conditionalFormatting sqref="KR98:KS122">
    <cfRule type="expression" dxfId="700" priority="1056">
      <formula>AND($H$64&gt;=24, $H$64&lt;&gt;"Please Select")</formula>
    </cfRule>
  </conditionalFormatting>
  <conditionalFormatting sqref="KR99:KS99">
    <cfRule type="expression" dxfId="699" priority="1051">
      <formula>KR$99="Pending"</formula>
    </cfRule>
  </conditionalFormatting>
  <conditionalFormatting sqref="KR100:KS100">
    <cfRule type="expression" dxfId="698" priority="1049">
      <formula>KR$100="Pending"</formula>
    </cfRule>
  </conditionalFormatting>
  <conditionalFormatting sqref="KR101:KS101">
    <cfRule type="expression" dxfId="697" priority="1047">
      <formula>KR$101="Pending"</formula>
    </cfRule>
  </conditionalFormatting>
  <conditionalFormatting sqref="KR102:KS102">
    <cfRule type="expression" dxfId="696" priority="1045">
      <formula>KR$102="Pending"</formula>
    </cfRule>
  </conditionalFormatting>
  <conditionalFormatting sqref="KR103:KS103">
    <cfRule type="expression" dxfId="695" priority="1043">
      <formula>KR$103="Pending"</formula>
    </cfRule>
  </conditionalFormatting>
  <conditionalFormatting sqref="KR104:KS104">
    <cfRule type="expression" dxfId="694" priority="1041">
      <formula>KR$104="Pending"</formula>
    </cfRule>
  </conditionalFormatting>
  <conditionalFormatting sqref="KR105:KS105">
    <cfRule type="expression" dxfId="693" priority="1039">
      <formula>KR$105="Pending"</formula>
    </cfRule>
  </conditionalFormatting>
  <conditionalFormatting sqref="KR106:KS106">
    <cfRule type="expression" dxfId="692" priority="1037">
      <formula>KR$106="Pending"</formula>
    </cfRule>
  </conditionalFormatting>
  <conditionalFormatting sqref="KR107:KS107">
    <cfRule type="expression" dxfId="691" priority="1035">
      <formula>KR$107="Pending"</formula>
    </cfRule>
  </conditionalFormatting>
  <conditionalFormatting sqref="KR108:KS108">
    <cfRule type="expression" dxfId="690" priority="1033">
      <formula>KR$108="Pending"</formula>
    </cfRule>
  </conditionalFormatting>
  <conditionalFormatting sqref="KR109:KS109">
    <cfRule type="expression" dxfId="689" priority="1031">
      <formula>KR$109="Pending"</formula>
    </cfRule>
  </conditionalFormatting>
  <conditionalFormatting sqref="KR110:KS110">
    <cfRule type="expression" dxfId="688" priority="1029">
      <formula>KR$110="Pending"</formula>
    </cfRule>
  </conditionalFormatting>
  <conditionalFormatting sqref="KR111:KS111">
    <cfRule type="expression" dxfId="687" priority="1027">
      <formula>KR$111="Pending"</formula>
    </cfRule>
  </conditionalFormatting>
  <conditionalFormatting sqref="KR112:KS112">
    <cfRule type="expression" dxfId="686" priority="1025">
      <formula>KR$112="Pending"</formula>
    </cfRule>
  </conditionalFormatting>
  <conditionalFormatting sqref="KR113:KS113">
    <cfRule type="expression" dxfId="685" priority="1023">
      <formula>KR$113="Pending"</formula>
    </cfRule>
  </conditionalFormatting>
  <conditionalFormatting sqref="KR114:KS114">
    <cfRule type="expression" dxfId="684" priority="1021">
      <formula>KR$114="Pending"</formula>
    </cfRule>
  </conditionalFormatting>
  <conditionalFormatting sqref="KR115:KS115">
    <cfRule type="expression" dxfId="683" priority="1019">
      <formula>KR$115="Pending"</formula>
    </cfRule>
  </conditionalFormatting>
  <conditionalFormatting sqref="KR116:KS116">
    <cfRule type="expression" dxfId="682" priority="1017">
      <formula>KR$116="Pending"</formula>
    </cfRule>
  </conditionalFormatting>
  <conditionalFormatting sqref="KR117:KS117">
    <cfRule type="expression" dxfId="681" priority="1015">
      <formula>KR$117="Pending"</formula>
    </cfRule>
  </conditionalFormatting>
  <conditionalFormatting sqref="KR118:KS118">
    <cfRule type="expression" dxfId="680" priority="1013">
      <formula>KR$118="Pending"</formula>
    </cfRule>
  </conditionalFormatting>
  <conditionalFormatting sqref="KR119:KS119">
    <cfRule type="expression" dxfId="679" priority="1011">
      <formula>KR$119="Pending"</formula>
    </cfRule>
  </conditionalFormatting>
  <conditionalFormatting sqref="KR120:KS120">
    <cfRule type="expression" dxfId="678" priority="1009">
      <formula>KR$120="Pending"</formula>
    </cfRule>
  </conditionalFormatting>
  <conditionalFormatting sqref="KR121:KS121">
    <cfRule type="expression" dxfId="677" priority="1007">
      <formula>KR$121="Pending"</formula>
    </cfRule>
  </conditionalFormatting>
  <conditionalFormatting sqref="KR122:KS122">
    <cfRule type="expression" dxfId="676" priority="1005">
      <formula>KR$122="Pending"</formula>
    </cfRule>
  </conditionalFormatting>
  <conditionalFormatting sqref="KR52:KW52 KR55:KW55">
    <cfRule type="expression" dxfId="675" priority="7066">
      <formula>(AND($H$12&gt;=24, $H$12&lt;&gt;"Please Select"))</formula>
    </cfRule>
  </conditionalFormatting>
  <conditionalFormatting sqref="KR53:KW54">
    <cfRule type="expression" dxfId="674" priority="58">
      <formula>$KR$53</formula>
    </cfRule>
  </conditionalFormatting>
  <conditionalFormatting sqref="KR126:KW126 KR129:KW129">
    <cfRule type="expression" dxfId="673" priority="2477">
      <formula>AND($H$64&gt;=24, $H$64&lt;&gt;"Please Select")</formula>
    </cfRule>
  </conditionalFormatting>
  <conditionalFormatting sqref="KR127:KW128">
    <cfRule type="expression" dxfId="672" priority="29">
      <formula>$KR$127&lt;&gt;""</formula>
    </cfRule>
  </conditionalFormatting>
  <conditionalFormatting sqref="KS30">
    <cfRule type="expression" dxfId="671" priority="7114">
      <formula>(AND($H$12&gt;=24, $H$12&lt;&gt;"Please Select"))</formula>
    </cfRule>
  </conditionalFormatting>
  <conditionalFormatting sqref="KS34">
    <cfRule type="expression" dxfId="670" priority="7111">
      <formula>(AND($H$12&gt;=24, $H$12&lt;&gt;"Please Select"))</formula>
    </cfRule>
    <cfRule type="expression" dxfId="669" priority="198">
      <formula>$KS$34="Pending"</formula>
    </cfRule>
  </conditionalFormatting>
  <conditionalFormatting sqref="KS35">
    <cfRule type="expression" dxfId="668" priority="7091">
      <formula>KS$34&lt;&gt;""</formula>
    </cfRule>
  </conditionalFormatting>
  <conditionalFormatting sqref="KS39:KS40">
    <cfRule type="expression" dxfId="667" priority="7107">
      <formula>(AND($H$12&gt;=24, $H$12&lt;&gt;"Please Select"))</formula>
    </cfRule>
  </conditionalFormatting>
  <conditionalFormatting sqref="KS41">
    <cfRule type="expression" dxfId="666" priority="7101">
      <formula>(AND($H$12&gt;=24, $H$12&lt;&gt;"Please Select"))</formula>
    </cfRule>
  </conditionalFormatting>
  <conditionalFormatting sqref="KS87">
    <cfRule type="expression" dxfId="665" priority="2480">
      <formula>AND($H$64&gt;=24, $H$64&lt;&gt;"Please Select")</formula>
    </cfRule>
  </conditionalFormatting>
  <conditionalFormatting sqref="KT97:KU97">
    <cfRule type="expression" dxfId="664" priority="1054">
      <formula>KT$97&lt;&gt;""</formula>
    </cfRule>
  </conditionalFormatting>
  <conditionalFormatting sqref="KT98:KU98">
    <cfRule type="expression" dxfId="663" priority="1052">
      <formula>KR$98="Pending"</formula>
    </cfRule>
  </conditionalFormatting>
  <conditionalFormatting sqref="KT99:KU99">
    <cfRule type="expression" dxfId="662" priority="1050">
      <formula>KR$99="Pending"</formula>
    </cfRule>
  </conditionalFormatting>
  <conditionalFormatting sqref="KT100:KU100">
    <cfRule type="expression" dxfId="661" priority="1048">
      <formula>KR$100="Pending"</formula>
    </cfRule>
  </conditionalFormatting>
  <conditionalFormatting sqref="KT101:KU101">
    <cfRule type="expression" dxfId="660" priority="1046">
      <formula>KR$101="Pending"</formula>
    </cfRule>
  </conditionalFormatting>
  <conditionalFormatting sqref="KT102:KU102">
    <cfRule type="expression" dxfId="659" priority="1044">
      <formula>KR$102="Pending"</formula>
    </cfRule>
  </conditionalFormatting>
  <conditionalFormatting sqref="KT103:KU103">
    <cfRule type="expression" dxfId="658" priority="1042">
      <formula>KR$103="Pending"</formula>
    </cfRule>
  </conditionalFormatting>
  <conditionalFormatting sqref="KT104:KU104">
    <cfRule type="expression" dxfId="657" priority="1040">
      <formula>KR$104="Pending"</formula>
    </cfRule>
  </conditionalFormatting>
  <conditionalFormatting sqref="KT105:KU105">
    <cfRule type="expression" dxfId="656" priority="1038">
      <formula>KR$105="Pending"</formula>
    </cfRule>
  </conditionalFormatting>
  <conditionalFormatting sqref="KT106:KU106">
    <cfRule type="expression" dxfId="655" priority="1036">
      <formula>KR$106="Pending"</formula>
    </cfRule>
  </conditionalFormatting>
  <conditionalFormatting sqref="KT107:KU107">
    <cfRule type="expression" dxfId="654" priority="1034">
      <formula>KR$107="Pending"</formula>
    </cfRule>
  </conditionalFormatting>
  <conditionalFormatting sqref="KT108:KU108">
    <cfRule type="expression" dxfId="653" priority="1032">
      <formula>KR$108="Pending"</formula>
    </cfRule>
  </conditionalFormatting>
  <conditionalFormatting sqref="KT109:KU109">
    <cfRule type="expression" dxfId="652" priority="1030">
      <formula>KR$109="Pending"</formula>
    </cfRule>
  </conditionalFormatting>
  <conditionalFormatting sqref="KT110:KU110">
    <cfRule type="expression" dxfId="651" priority="1028">
      <formula>KR$110="Pending"</formula>
    </cfRule>
  </conditionalFormatting>
  <conditionalFormatting sqref="KT111:KU111">
    <cfRule type="expression" dxfId="650" priority="1026">
      <formula>KR$111="Pending"</formula>
    </cfRule>
  </conditionalFormatting>
  <conditionalFormatting sqref="KT112:KU112">
    <cfRule type="expression" dxfId="649" priority="1024">
      <formula>KR$112="Pending"</formula>
    </cfRule>
  </conditionalFormatting>
  <conditionalFormatting sqref="KT113:KU113">
    <cfRule type="expression" dxfId="648" priority="1022">
      <formula>KR$113="Pending"</formula>
    </cfRule>
  </conditionalFormatting>
  <conditionalFormatting sqref="KT114:KU114">
    <cfRule type="expression" dxfId="647" priority="1020">
      <formula>KR$114="Pending"</formula>
    </cfRule>
  </conditionalFormatting>
  <conditionalFormatting sqref="KT115:KU115">
    <cfRule type="expression" dxfId="646" priority="1018">
      <formula>KR$115="Pending"</formula>
    </cfRule>
  </conditionalFormatting>
  <conditionalFormatting sqref="KT116:KU116">
    <cfRule type="expression" dxfId="645" priority="1016">
      <formula>KR$116="Pending"</formula>
    </cfRule>
  </conditionalFormatting>
  <conditionalFormatting sqref="KT117:KU117">
    <cfRule type="expression" dxfId="644" priority="1014">
      <formula>KR$117="Pending"</formula>
    </cfRule>
  </conditionalFormatting>
  <conditionalFormatting sqref="KT118:KU118">
    <cfRule type="expression" dxfId="643" priority="1012">
      <formula>KR$118="Pending"</formula>
    </cfRule>
  </conditionalFormatting>
  <conditionalFormatting sqref="KT119:KU119">
    <cfRule type="expression" dxfId="642" priority="1010">
      <formula>KR$119="Pending"</formula>
    </cfRule>
  </conditionalFormatting>
  <conditionalFormatting sqref="KT120:KU120">
    <cfRule type="expression" dxfId="641" priority="1008">
      <formula>KR$120="Pending"</formula>
    </cfRule>
  </conditionalFormatting>
  <conditionalFormatting sqref="KT121:KU121">
    <cfRule type="expression" dxfId="640" priority="1006">
      <formula>KR$121="Pending"</formula>
    </cfRule>
  </conditionalFormatting>
  <conditionalFormatting sqref="KT122:KU122">
    <cfRule type="expression" dxfId="639" priority="1004">
      <formula>KR$122="Pending"</formula>
    </cfRule>
  </conditionalFormatting>
  <conditionalFormatting sqref="KV27:KY28">
    <cfRule type="expression" dxfId="638" priority="5585">
      <formula>KV$27&lt;&gt;""</formula>
    </cfRule>
  </conditionalFormatting>
  <conditionalFormatting sqref="KV84:KY85">
    <cfRule type="expression" dxfId="637" priority="2484">
      <formula>KV$84&lt;&gt;""</formula>
    </cfRule>
  </conditionalFormatting>
  <conditionalFormatting sqref="KV147:KY148">
    <cfRule type="expression" dxfId="636" priority="257">
      <formula>KV$27&lt;&gt;""</formula>
    </cfRule>
  </conditionalFormatting>
  <conditionalFormatting sqref="KX55:LA55">
    <cfRule type="expression" dxfId="635" priority="631">
      <formula>KX55&lt;&gt;""</formula>
    </cfRule>
  </conditionalFormatting>
  <conditionalFormatting sqref="KX129:LA129">
    <cfRule type="expression" dxfId="634" priority="582">
      <formula>KX129&lt;&gt;""</formula>
    </cfRule>
  </conditionalFormatting>
  <conditionalFormatting sqref="LB39:LB40">
    <cfRule type="expression" dxfId="633" priority="6838">
      <formula>(AND($H$12&gt;=25, $H$12&lt;&gt;"Please Select"))</formula>
    </cfRule>
  </conditionalFormatting>
  <conditionalFormatting sqref="LB41">
    <cfRule type="expression" dxfId="632" priority="6834">
      <formula>(AND($H$12&gt;=25, $H$12&lt;&gt;"Please Select"))</formula>
    </cfRule>
  </conditionalFormatting>
  <conditionalFormatting sqref="LB43">
    <cfRule type="expression" dxfId="631" priority="6833">
      <formula>(AND($H$12&gt;=25, $H$12&lt;&gt;"Please Select"))</formula>
    </cfRule>
  </conditionalFormatting>
  <conditionalFormatting sqref="LB44">
    <cfRule type="expression" dxfId="630" priority="6832">
      <formula>(AND($H$12&gt;=25, $H$12&lt;&gt;"Please Select"))</formula>
    </cfRule>
  </conditionalFormatting>
  <conditionalFormatting sqref="LB45">
    <cfRule type="expression" dxfId="629" priority="6826">
      <formula>(AND($H$12&gt;=25, $H$12&lt;&gt;"Please Select"))</formula>
    </cfRule>
  </conditionalFormatting>
  <conditionalFormatting sqref="LB46">
    <cfRule type="expression" dxfId="628" priority="6825">
      <formula>(AND($H$12&gt;=25, $H$12&lt;&gt;"Please Select"))</formula>
    </cfRule>
  </conditionalFormatting>
  <conditionalFormatting sqref="LB47">
    <cfRule type="expression" dxfId="627" priority="6824">
      <formula>(AND($H$12&gt;=25, $H$12&lt;&gt;"Please Select"))</formula>
    </cfRule>
  </conditionalFormatting>
  <conditionalFormatting sqref="LB48">
    <cfRule type="expression" dxfId="626" priority="6823">
      <formula>(AND($H$12&gt;=25, $H$12&lt;&gt;"Please Select"))</formula>
    </cfRule>
  </conditionalFormatting>
  <conditionalFormatting sqref="LB96">
    <cfRule type="expression" dxfId="625" priority="1000">
      <formula>AND($H$64&gt;=25, $H$64&lt;&gt;"Please Select")</formula>
    </cfRule>
  </conditionalFormatting>
  <conditionalFormatting sqref="LB98:LD122">
    <cfRule type="expression" dxfId="624" priority="1002">
      <formula>AND($H$64&gt;=25, $H$64&lt;&gt;"Please Select")</formula>
    </cfRule>
  </conditionalFormatting>
  <conditionalFormatting sqref="LB97:LF97">
    <cfRule type="expression" dxfId="623" priority="1003">
      <formula>AND($H$64&gt;=25, $H$64&lt;&gt;"Please Select")</formula>
    </cfRule>
  </conditionalFormatting>
  <conditionalFormatting sqref="LB25:LH25">
    <cfRule type="expression" dxfId="622" priority="6847">
      <formula>(AND($H$12&gt;=25, $H$12&lt;&gt;"Please Select"))</formula>
    </cfRule>
  </conditionalFormatting>
  <conditionalFormatting sqref="LB82:LH82">
    <cfRule type="expression" dxfId="621" priority="2463">
      <formula>AND($H$64&gt;=25, $H$64&lt;&gt;"Please Select")</formula>
    </cfRule>
  </conditionalFormatting>
  <conditionalFormatting sqref="LB51:LJ51">
    <cfRule type="expression" dxfId="620" priority="6820">
      <formula>(AND($H$12&gt;=25, $H$12&lt;&gt;"Please Select"))</formula>
    </cfRule>
  </conditionalFormatting>
  <conditionalFormatting sqref="LB125:LJ125">
    <cfRule type="expression" dxfId="619" priority="2458">
      <formula>AND($H$64&gt;=25, $H$64&lt;&gt;"Please Select")</formula>
    </cfRule>
  </conditionalFormatting>
  <conditionalFormatting sqref="LC39:LC40">
    <cfRule type="expression" dxfId="618" priority="6837">
      <formula>(AND($H$12&gt;=25, $H$12&lt;&gt;"Please Select"))</formula>
    </cfRule>
  </conditionalFormatting>
  <conditionalFormatting sqref="LC41">
    <cfRule type="expression" dxfId="617" priority="6831">
      <formula>(AND($H$12&gt;=25, $H$12&lt;&gt;"Please Select"))</formula>
    </cfRule>
  </conditionalFormatting>
  <conditionalFormatting sqref="LC43">
    <cfRule type="expression" dxfId="616" priority="6822">
      <formula>(AND($H$12&gt;=25, $H$12&lt;&gt;"Please Select"))</formula>
    </cfRule>
  </conditionalFormatting>
  <conditionalFormatting sqref="LC44:LC48">
    <cfRule type="expression" dxfId="615" priority="6828">
      <formula>(AND($H$12&gt;=25, $H$12&lt;&gt;"Please Select"))</formula>
    </cfRule>
  </conditionalFormatting>
  <conditionalFormatting sqref="LC30:LD30">
    <cfRule type="expression" dxfId="614" priority="6843">
      <formula>(AND($H$12&gt;=25, $H$12&lt;&gt;"Please Select"))</formula>
    </cfRule>
  </conditionalFormatting>
  <conditionalFormatting sqref="LC87:LD87">
    <cfRule type="expression" dxfId="613" priority="2461">
      <formula>AND($H$64&gt;=25, $H$64&lt;&gt;"Please Select")</formula>
    </cfRule>
  </conditionalFormatting>
  <conditionalFormatting sqref="LC27:LF27">
    <cfRule type="expression" dxfId="612" priority="6846">
      <formula>(AND($H$12&gt;=25, $H$12&lt;&gt;"Please Select"))</formula>
    </cfRule>
  </conditionalFormatting>
  <conditionalFormatting sqref="LC28:LF28">
    <cfRule type="expression" dxfId="611" priority="6845">
      <formula>(AND($H$12&gt;=25, $H$12&lt;&gt;"Please Select"))</formula>
    </cfRule>
  </conditionalFormatting>
  <conditionalFormatting sqref="LC29:LF29">
    <cfRule type="expression" dxfId="610" priority="6844">
      <formula>(AND($H$12&gt;=25, $H$12&lt;&gt;"Please Select"))</formula>
    </cfRule>
  </conditionalFormatting>
  <conditionalFormatting sqref="LC84:LF86">
    <cfRule type="expression" dxfId="609" priority="2462">
      <formula>AND($H$64&gt;=25, $H$64&lt;&gt;"Please Select")</formula>
    </cfRule>
  </conditionalFormatting>
  <conditionalFormatting sqref="LD31">
    <cfRule type="expression" dxfId="608" priority="6841">
      <formula>(AND($H$12&gt;=25, $H$12&lt;&gt;"Please Select"))</formula>
    </cfRule>
  </conditionalFormatting>
  <conditionalFormatting sqref="LD88">
    <cfRule type="expression" dxfId="607" priority="2459">
      <formula>AND($H$64&gt;=25, $H$64&lt;&gt;"Please Select")</formula>
    </cfRule>
  </conditionalFormatting>
  <conditionalFormatting sqref="LD39:LE40">
    <cfRule type="expression" dxfId="606" priority="6836">
      <formula>(AND($H$12&gt;=25, $H$12&lt;&gt;"Please Select"))</formula>
    </cfRule>
  </conditionalFormatting>
  <conditionalFormatting sqref="LD41:LE41">
    <cfRule type="expression" dxfId="605" priority="6830">
      <formula>(AND($H$12&gt;=25, $H$12&lt;&gt;"Please Select"))</formula>
    </cfRule>
  </conditionalFormatting>
  <conditionalFormatting sqref="LD43:LE43">
    <cfRule type="expression" dxfId="604" priority="6821">
      <formula>(AND($H$12&gt;=25, $H$12&lt;&gt;"Please Select"))</formula>
    </cfRule>
  </conditionalFormatting>
  <conditionalFormatting sqref="LD44:LE48">
    <cfRule type="expression" dxfId="603" priority="6827">
      <formula>(AND($H$12&gt;=25, $H$12&lt;&gt;"Please Select"))</formula>
    </cfRule>
  </conditionalFormatting>
  <conditionalFormatting sqref="LD91:LE91">
    <cfRule type="expression" dxfId="602" priority="130">
      <formula>AND($H$64&gt;=25, $H$64&lt;&gt;"Please Select")</formula>
    </cfRule>
    <cfRule type="expression" dxfId="601" priority="129">
      <formula>$LD$91="No"</formula>
    </cfRule>
  </conditionalFormatting>
  <conditionalFormatting sqref="LD92:LE92">
    <cfRule type="expression" dxfId="600" priority="2449">
      <formula>AND($H$64&gt;=25, $H$64&lt;&gt;"Please Select")</formula>
    </cfRule>
  </conditionalFormatting>
  <conditionalFormatting sqref="LD95:LE95">
    <cfRule type="expression" dxfId="599" priority="644">
      <formula>AND($H$64&gt;=25, $H$64&lt;&gt;"Please Select")</formula>
    </cfRule>
  </conditionalFormatting>
  <conditionalFormatting sqref="LD33:LF33">
    <cfRule type="expression" dxfId="598" priority="6840">
      <formula>(AND($H$12&gt;=25, $H$12&lt;&gt;"Please Select"))</formula>
    </cfRule>
  </conditionalFormatting>
  <conditionalFormatting sqref="LE98">
    <cfRule type="expression" dxfId="597" priority="998">
      <formula>LE$98="Pending"</formula>
    </cfRule>
  </conditionalFormatting>
  <conditionalFormatting sqref="LE98:LF122">
    <cfRule type="expression" dxfId="596" priority="1001">
      <formula>AND($H$64&gt;=25, $H$64&lt;&gt;"Please Select")</formula>
    </cfRule>
  </conditionalFormatting>
  <conditionalFormatting sqref="LE99:LF99">
    <cfRule type="expression" dxfId="595" priority="996">
      <formula>LE$99="Pending"</formula>
    </cfRule>
  </conditionalFormatting>
  <conditionalFormatting sqref="LE100:LF100">
    <cfRule type="expression" dxfId="594" priority="994">
      <formula>LE$100="Pending"</formula>
    </cfRule>
  </conditionalFormatting>
  <conditionalFormatting sqref="LE101:LF101">
    <cfRule type="expression" dxfId="593" priority="992">
      <formula>LE$101="Pending"</formula>
    </cfRule>
  </conditionalFormatting>
  <conditionalFormatting sqref="LE102:LF102">
    <cfRule type="expression" dxfId="592" priority="990">
      <formula>LE$102="Pending"</formula>
    </cfRule>
  </conditionalFormatting>
  <conditionalFormatting sqref="LE103:LF103">
    <cfRule type="expression" dxfId="591" priority="988">
      <formula>LE$103="Pending"</formula>
    </cfRule>
  </conditionalFormatting>
  <conditionalFormatting sqref="LE104:LF104">
    <cfRule type="expression" dxfId="590" priority="986">
      <formula>LE$104="Pending"</formula>
    </cfRule>
  </conditionalFormatting>
  <conditionalFormatting sqref="LE105:LF105">
    <cfRule type="expression" dxfId="589" priority="984">
      <formula>LE$105="Pending"</formula>
    </cfRule>
  </conditionalFormatting>
  <conditionalFormatting sqref="LE106:LF106">
    <cfRule type="expression" dxfId="588" priority="982">
      <formula>LE$106="Pending"</formula>
    </cfRule>
  </conditionalFormatting>
  <conditionalFormatting sqref="LE107:LF107">
    <cfRule type="expression" dxfId="587" priority="980">
      <formula>LE$107="Pending"</formula>
    </cfRule>
  </conditionalFormatting>
  <conditionalFormatting sqref="LE108:LF108">
    <cfRule type="expression" dxfId="586" priority="978">
      <formula>LE$108="Pending"</formula>
    </cfRule>
  </conditionalFormatting>
  <conditionalFormatting sqref="LE109:LF109">
    <cfRule type="expression" dxfId="585" priority="976">
      <formula>LE$109="Pending"</formula>
    </cfRule>
  </conditionalFormatting>
  <conditionalFormatting sqref="LE110:LF110">
    <cfRule type="expression" dxfId="584" priority="974">
      <formula>LE$110="Pending"</formula>
    </cfRule>
  </conditionalFormatting>
  <conditionalFormatting sqref="LE111:LF111">
    <cfRule type="expression" dxfId="583" priority="972">
      <formula>LE$111="Pending"</formula>
    </cfRule>
  </conditionalFormatting>
  <conditionalFormatting sqref="LE112:LF112">
    <cfRule type="expression" dxfId="582" priority="970">
      <formula>LE$112="Pending"</formula>
    </cfRule>
  </conditionalFormatting>
  <conditionalFormatting sqref="LE113:LF113">
    <cfRule type="expression" dxfId="581" priority="968">
      <formula>LE$113="Pending"</formula>
    </cfRule>
  </conditionalFormatting>
  <conditionalFormatting sqref="LE114:LF114">
    <cfRule type="expression" dxfId="580" priority="966">
      <formula>LE$114="Pending"</formula>
    </cfRule>
  </conditionalFormatting>
  <conditionalFormatting sqref="LE115:LF115">
    <cfRule type="expression" dxfId="579" priority="964">
      <formula>LE$115="Pending"</formula>
    </cfRule>
  </conditionalFormatting>
  <conditionalFormatting sqref="LE116:LF116">
    <cfRule type="expression" dxfId="578" priority="962">
      <formula>LE$116="Pending"</formula>
    </cfRule>
  </conditionalFormatting>
  <conditionalFormatting sqref="LE117:LF117">
    <cfRule type="expression" dxfId="577" priority="960">
      <formula>LE$117="Pending"</formula>
    </cfRule>
  </conditionalFormatting>
  <conditionalFormatting sqref="LE118:LF118">
    <cfRule type="expression" dxfId="576" priority="958">
      <formula>LE$118="Pending"</formula>
    </cfRule>
  </conditionalFormatting>
  <conditionalFormatting sqref="LE119:LF119">
    <cfRule type="expression" dxfId="575" priority="956">
      <formula>LE$119="Pending"</formula>
    </cfRule>
  </conditionalFormatting>
  <conditionalFormatting sqref="LE120:LF120">
    <cfRule type="expression" dxfId="574" priority="954">
      <formula>LE$120="Pending"</formula>
    </cfRule>
  </conditionalFormatting>
  <conditionalFormatting sqref="LE121:LF121">
    <cfRule type="expression" dxfId="573" priority="952">
      <formula>LE$121="Pending"</formula>
    </cfRule>
  </conditionalFormatting>
  <conditionalFormatting sqref="LE122:LF122">
    <cfRule type="expression" dxfId="572" priority="950">
      <formula>LE$122="Pending"</formula>
    </cfRule>
  </conditionalFormatting>
  <conditionalFormatting sqref="LE52:LJ52 LE55:LJ55">
    <cfRule type="expression" dxfId="571" priority="6794">
      <formula>(AND($H$12&gt;=25, $H$12&lt;&gt;"Please Select"))</formula>
    </cfRule>
  </conditionalFormatting>
  <conditionalFormatting sqref="LE53:LJ54">
    <cfRule type="expression" dxfId="570" priority="59">
      <formula>$LE$53&lt;&gt;""</formula>
    </cfRule>
  </conditionalFormatting>
  <conditionalFormatting sqref="LE126:LJ126 LE129:LJ129">
    <cfRule type="expression" dxfId="569" priority="2457">
      <formula>AND($H$64&gt;=25, $H$64&lt;&gt;"Please Select")</formula>
    </cfRule>
  </conditionalFormatting>
  <conditionalFormatting sqref="LE127:LJ128">
    <cfRule type="expression" dxfId="568" priority="30">
      <formula>$LE$127&lt;&gt;""</formula>
    </cfRule>
  </conditionalFormatting>
  <conditionalFormatting sqref="LF30">
    <cfRule type="expression" dxfId="567" priority="6842">
      <formula>(AND($H$12&gt;=25, $H$12&lt;&gt;"Please Select"))</formula>
    </cfRule>
  </conditionalFormatting>
  <conditionalFormatting sqref="LF34">
    <cfRule type="expression" dxfId="566" priority="199">
      <formula>$LF$34="Pending"</formula>
    </cfRule>
    <cfRule type="expression" dxfId="565" priority="6839">
      <formula>(AND($H$12&gt;=25, $H$12&lt;&gt;"Please Select"))</formula>
    </cfRule>
  </conditionalFormatting>
  <conditionalFormatting sqref="LF35">
    <cfRule type="expression" dxfId="564" priority="6819">
      <formula>LF$34&lt;&gt;""</formula>
    </cfRule>
  </conditionalFormatting>
  <conditionalFormatting sqref="LF39:LF40">
    <cfRule type="expression" dxfId="563" priority="6835">
      <formula>(AND($H$12&gt;=25, $H$12&lt;&gt;"Please Select"))</formula>
    </cfRule>
  </conditionalFormatting>
  <conditionalFormatting sqref="LF41">
    <cfRule type="expression" dxfId="562" priority="6829">
      <formula>(AND($H$12&gt;=25, $H$12&lt;&gt;"Please Select"))</formula>
    </cfRule>
  </conditionalFormatting>
  <conditionalFormatting sqref="LF87">
    <cfRule type="expression" dxfId="561" priority="2460">
      <formula>AND($H$64&gt;=25, $H$64&lt;&gt;"Please Select")</formula>
    </cfRule>
  </conditionalFormatting>
  <conditionalFormatting sqref="LG97:LH97">
    <cfRule type="expression" dxfId="560" priority="999">
      <formula>LG$97&lt;&gt;""</formula>
    </cfRule>
  </conditionalFormatting>
  <conditionalFormatting sqref="LG98:LH98">
    <cfRule type="expression" dxfId="559" priority="997">
      <formula>LE$98="Pending"</formula>
    </cfRule>
  </conditionalFormatting>
  <conditionalFormatting sqref="LG99:LH99">
    <cfRule type="expression" dxfId="558" priority="995">
      <formula>LE$99="Pending"</formula>
    </cfRule>
  </conditionalFormatting>
  <conditionalFormatting sqref="LG100:LH100">
    <cfRule type="expression" dxfId="557" priority="993">
      <formula>LE$100="Pending"</formula>
    </cfRule>
  </conditionalFormatting>
  <conditionalFormatting sqref="LG101:LH101">
    <cfRule type="expression" dxfId="556" priority="991">
      <formula>LE$101="Pending"</formula>
    </cfRule>
  </conditionalFormatting>
  <conditionalFormatting sqref="LG102:LH102">
    <cfRule type="expression" dxfId="555" priority="989">
      <formula>LE$102="Pending"</formula>
    </cfRule>
  </conditionalFormatting>
  <conditionalFormatting sqref="LG103:LH103">
    <cfRule type="expression" dxfId="554" priority="987">
      <formula>LE$103="Pending"</formula>
    </cfRule>
  </conditionalFormatting>
  <conditionalFormatting sqref="LG104:LH104">
    <cfRule type="expression" dxfId="553" priority="985">
      <formula>LE$104="Pending"</formula>
    </cfRule>
  </conditionalFormatting>
  <conditionalFormatting sqref="LG105:LH105">
    <cfRule type="expression" dxfId="552" priority="983">
      <formula>LE$105="Pending"</formula>
    </cfRule>
  </conditionalFormatting>
  <conditionalFormatting sqref="LG106:LH106">
    <cfRule type="expression" dxfId="551" priority="981">
      <formula>LE$106="Pending"</formula>
    </cfRule>
  </conditionalFormatting>
  <conditionalFormatting sqref="LG107:LH107">
    <cfRule type="expression" dxfId="550" priority="979">
      <formula>LE$107="Pending"</formula>
    </cfRule>
  </conditionalFormatting>
  <conditionalFormatting sqref="LG108:LH108">
    <cfRule type="expression" dxfId="549" priority="977">
      <formula>LE$108="Pending"</formula>
    </cfRule>
  </conditionalFormatting>
  <conditionalFormatting sqref="LG109:LH109">
    <cfRule type="expression" dxfId="548" priority="975">
      <formula>LE$109="Pending"</formula>
    </cfRule>
  </conditionalFormatting>
  <conditionalFormatting sqref="LG110:LH110">
    <cfRule type="expression" dxfId="547" priority="973">
      <formula>LE$110="Pending"</formula>
    </cfRule>
  </conditionalFormatting>
  <conditionalFormatting sqref="LG111:LH111">
    <cfRule type="expression" dxfId="546" priority="971">
      <formula>LE$111="Pending"</formula>
    </cfRule>
  </conditionalFormatting>
  <conditionalFormatting sqref="LG112:LH112">
    <cfRule type="expression" dxfId="545" priority="969">
      <formula>LE$112="Pending"</formula>
    </cfRule>
  </conditionalFormatting>
  <conditionalFormatting sqref="LG113:LH113">
    <cfRule type="expression" dxfId="544" priority="967">
      <formula>LE$113="Pending"</formula>
    </cfRule>
  </conditionalFormatting>
  <conditionalFormatting sqref="LG114:LH114">
    <cfRule type="expression" dxfId="543" priority="965">
      <formula>LE$114="Pending"</formula>
    </cfRule>
  </conditionalFormatting>
  <conditionalFormatting sqref="LG115:LH115">
    <cfRule type="expression" dxfId="542" priority="963">
      <formula>LE$115="Pending"</formula>
    </cfRule>
  </conditionalFormatting>
  <conditionalFormatting sqref="LG116:LH116">
    <cfRule type="expression" dxfId="541" priority="961">
      <formula>LE$116="Pending"</formula>
    </cfRule>
  </conditionalFormatting>
  <conditionalFormatting sqref="LG117:LH117">
    <cfRule type="expression" dxfId="540" priority="959">
      <formula>LE$117="Pending"</formula>
    </cfRule>
  </conditionalFormatting>
  <conditionalFormatting sqref="LG118:LH118">
    <cfRule type="expression" dxfId="539" priority="957">
      <formula>LE$118="Pending"</formula>
    </cfRule>
  </conditionalFormatting>
  <conditionalFormatting sqref="LG119:LH119">
    <cfRule type="expression" dxfId="538" priority="955">
      <formula>LE$119="Pending"</formula>
    </cfRule>
  </conditionalFormatting>
  <conditionalFormatting sqref="LG120:LH120">
    <cfRule type="expression" dxfId="537" priority="953">
      <formula>LE$120="Pending"</formula>
    </cfRule>
  </conditionalFormatting>
  <conditionalFormatting sqref="LG121:LH121">
    <cfRule type="expression" dxfId="536" priority="951">
      <formula>LE$121="Pending"</formula>
    </cfRule>
  </conditionalFormatting>
  <conditionalFormatting sqref="LG122:LH122">
    <cfRule type="expression" dxfId="535" priority="949">
      <formula>LE$122="Pending"</formula>
    </cfRule>
  </conditionalFormatting>
  <conditionalFormatting sqref="LI27:LL28">
    <cfRule type="expression" dxfId="534" priority="5584">
      <formula>LI$27&lt;&gt;""</formula>
    </cfRule>
  </conditionalFormatting>
  <conditionalFormatting sqref="LI84:LL85">
    <cfRule type="expression" dxfId="533" priority="2464">
      <formula>LI$84&lt;&gt;""</formula>
    </cfRule>
  </conditionalFormatting>
  <conditionalFormatting sqref="LI147:LL148">
    <cfRule type="expression" dxfId="532" priority="256">
      <formula>LI$27&lt;&gt;""</formula>
    </cfRule>
  </conditionalFormatting>
  <conditionalFormatting sqref="LK55:LN55">
    <cfRule type="expression" dxfId="531" priority="632">
      <formula>LK55&lt;&gt;""</formula>
    </cfRule>
  </conditionalFormatting>
  <conditionalFormatting sqref="LK129:LN129">
    <cfRule type="expression" dxfId="530" priority="581">
      <formula>LK129&lt;&gt;""</formula>
    </cfRule>
  </conditionalFormatting>
  <conditionalFormatting sqref="LO39:LO40">
    <cfRule type="expression" dxfId="529" priority="6566">
      <formula>(AND($H$12&gt;=26, $H$12&lt;&gt;"Please Select"))</formula>
    </cfRule>
  </conditionalFormatting>
  <conditionalFormatting sqref="LO41">
    <cfRule type="expression" dxfId="528" priority="6562">
      <formula>(AND($H$12&gt;=26, $H$12&lt;&gt;"Please Select"))</formula>
    </cfRule>
  </conditionalFormatting>
  <conditionalFormatting sqref="LO43">
    <cfRule type="expression" dxfId="527" priority="6561">
      <formula>(AND($H$12&gt;=26, $H$12&lt;&gt;"Please Select"))</formula>
    </cfRule>
  </conditionalFormatting>
  <conditionalFormatting sqref="LO44">
    <cfRule type="expression" dxfId="526" priority="6560">
      <formula>(AND($H$12&gt;=26, $H$12&lt;&gt;"Please Select"))</formula>
    </cfRule>
  </conditionalFormatting>
  <conditionalFormatting sqref="LO45">
    <cfRule type="expression" dxfId="525" priority="6554">
      <formula>(AND($H$12&gt;=26, $H$12&lt;&gt;"Please Select"))</formula>
    </cfRule>
  </conditionalFormatting>
  <conditionalFormatting sqref="LO46">
    <cfRule type="expression" dxfId="524" priority="6553">
      <formula>(AND($H$12&gt;=26, $H$12&lt;&gt;"Please Select"))</formula>
    </cfRule>
  </conditionalFormatting>
  <conditionalFormatting sqref="LO47">
    <cfRule type="expression" dxfId="523" priority="6552">
      <formula>(AND($H$12&gt;=26, $H$12&lt;&gt;"Please Select"))</formula>
    </cfRule>
  </conditionalFormatting>
  <conditionalFormatting sqref="LO48">
    <cfRule type="expression" dxfId="522" priority="6551">
      <formula>(AND($H$12&gt;=26, $H$12&lt;&gt;"Please Select"))</formula>
    </cfRule>
  </conditionalFormatting>
  <conditionalFormatting sqref="LO96">
    <cfRule type="expression" dxfId="521" priority="945">
      <formula>AND($H$64&gt;=26, $H$64&lt;&gt;"Please Select")</formula>
    </cfRule>
  </conditionalFormatting>
  <conditionalFormatting sqref="LO98:LQ122">
    <cfRule type="expression" dxfId="520" priority="947">
      <formula>AND($H$64&gt;=26, $H$64&lt;&gt;"Please Select")</formula>
    </cfRule>
  </conditionalFormatting>
  <conditionalFormatting sqref="LO97:LS97">
    <cfRule type="expression" dxfId="519" priority="948">
      <formula>AND($H$64&gt;=26, $H$64&lt;&gt;"Please Select")</formula>
    </cfRule>
  </conditionalFormatting>
  <conditionalFormatting sqref="LO25:LU25">
    <cfRule type="expression" dxfId="518" priority="6575">
      <formula>(AND($H$12&gt;=26, $H$12&lt;&gt;"Please Select"))</formula>
    </cfRule>
  </conditionalFormatting>
  <conditionalFormatting sqref="LO82:LU82">
    <cfRule type="expression" dxfId="517" priority="2443">
      <formula>AND($H$64&gt;=26, $H$64&lt;&gt;"Please Select")</formula>
    </cfRule>
  </conditionalFormatting>
  <conditionalFormatting sqref="LO51:LW51">
    <cfRule type="expression" dxfId="516" priority="6548">
      <formula>(AND($H$12&gt;=26, $H$12&lt;&gt;"Please Select"))</formula>
    </cfRule>
  </conditionalFormatting>
  <conditionalFormatting sqref="LO125:LW125">
    <cfRule type="expression" dxfId="515" priority="2438">
      <formula>AND($H$64&gt;=26, $H$64&lt;&gt;"Please Select")</formula>
    </cfRule>
  </conditionalFormatting>
  <conditionalFormatting sqref="LP39:LP40">
    <cfRule type="expression" dxfId="514" priority="6565">
      <formula>(AND($H$12&gt;=26, $H$12&lt;&gt;"Please Select"))</formula>
    </cfRule>
  </conditionalFormatting>
  <conditionalFormatting sqref="LP41">
    <cfRule type="expression" dxfId="513" priority="6559">
      <formula>(AND($H$12&gt;=26, $H$12&lt;&gt;"Please Select"))</formula>
    </cfRule>
  </conditionalFormatting>
  <conditionalFormatting sqref="LP43">
    <cfRule type="expression" dxfId="512" priority="6550">
      <formula>(AND($H$12&gt;=26, $H$12&lt;&gt;"Please Select"))</formula>
    </cfRule>
  </conditionalFormatting>
  <conditionalFormatting sqref="LP44:LP48">
    <cfRule type="expression" dxfId="511" priority="6556">
      <formula>(AND($H$12&gt;=26, $H$12&lt;&gt;"Please Select"))</formula>
    </cfRule>
  </conditionalFormatting>
  <conditionalFormatting sqref="LP30:LQ30">
    <cfRule type="expression" dxfId="510" priority="6571">
      <formula>(AND($H$12&gt;=26, $H$12&lt;&gt;"Please Select"))</formula>
    </cfRule>
  </conditionalFormatting>
  <conditionalFormatting sqref="LP87:LQ87">
    <cfRule type="expression" dxfId="509" priority="2441">
      <formula>AND($H$64&gt;=26, $H$64&lt;&gt;"Please Select")</formula>
    </cfRule>
  </conditionalFormatting>
  <conditionalFormatting sqref="LP27:LS27">
    <cfRule type="expression" dxfId="508" priority="6574">
      <formula>(AND($H$12&gt;=26, $H$12&lt;&gt;"Please Select"))</formula>
    </cfRule>
  </conditionalFormatting>
  <conditionalFormatting sqref="LP28:LS28">
    <cfRule type="expression" dxfId="507" priority="6573">
      <formula>(AND($H$12&gt;=26, $H$12&lt;&gt;"Please Select"))</formula>
    </cfRule>
  </conditionalFormatting>
  <conditionalFormatting sqref="LP29:LS29">
    <cfRule type="expression" dxfId="506" priority="6572">
      <formula>(AND($H$12&gt;=26, $H$12&lt;&gt;"Please Select"))</formula>
    </cfRule>
  </conditionalFormatting>
  <conditionalFormatting sqref="LP84:LS86">
    <cfRule type="expression" dxfId="505" priority="2442">
      <formula>AND($H$64&gt;=26, $H$64&lt;&gt;"Please Select")</formula>
    </cfRule>
  </conditionalFormatting>
  <conditionalFormatting sqref="LQ31">
    <cfRule type="expression" dxfId="504" priority="6569">
      <formula>(AND($H$12&gt;=26, $H$12&lt;&gt;"Please Select"))</formula>
    </cfRule>
  </conditionalFormatting>
  <conditionalFormatting sqref="LQ88">
    <cfRule type="expression" dxfId="503" priority="2439">
      <formula>AND($H$64&gt;=26, $H$64&lt;&gt;"Please Select")</formula>
    </cfRule>
  </conditionalFormatting>
  <conditionalFormatting sqref="LQ39:LR40">
    <cfRule type="expression" dxfId="502" priority="6564">
      <formula>(AND($H$12&gt;=26, $H$12&lt;&gt;"Please Select"))</formula>
    </cfRule>
  </conditionalFormatting>
  <conditionalFormatting sqref="LQ41:LR41">
    <cfRule type="expression" dxfId="501" priority="6558">
      <formula>(AND($H$12&gt;=26, $H$12&lt;&gt;"Please Select"))</formula>
    </cfRule>
  </conditionalFormatting>
  <conditionalFormatting sqref="LQ43:LR43">
    <cfRule type="expression" dxfId="500" priority="6549">
      <formula>(AND($H$12&gt;=26, $H$12&lt;&gt;"Please Select"))</formula>
    </cfRule>
  </conditionalFormatting>
  <conditionalFormatting sqref="LQ44:LR48">
    <cfRule type="expression" dxfId="499" priority="6555">
      <formula>(AND($H$12&gt;=26, $H$12&lt;&gt;"Please Select"))</formula>
    </cfRule>
  </conditionalFormatting>
  <conditionalFormatting sqref="LQ91:LR91">
    <cfRule type="expression" dxfId="498" priority="127">
      <formula>$LQ$91="No"</formula>
    </cfRule>
    <cfRule type="expression" dxfId="497" priority="128">
      <formula>AND($H$64&gt;=26,$H$64&lt;&gt;"Please Select")</formula>
    </cfRule>
  </conditionalFormatting>
  <conditionalFormatting sqref="LQ92:LR92">
    <cfRule type="expression" dxfId="496" priority="2429">
      <formula>AND($H$64&gt;=26, $H$64&lt;&gt;"Please Select")</formula>
    </cfRule>
  </conditionalFormatting>
  <conditionalFormatting sqref="LQ95:LR95">
    <cfRule type="expression" dxfId="495" priority="643">
      <formula>AND($H$64&gt;=26, $H$64&lt;&gt;"Please Select")</formula>
    </cfRule>
  </conditionalFormatting>
  <conditionalFormatting sqref="LQ33:LS33">
    <cfRule type="expression" dxfId="494" priority="6568">
      <formula>(AND($H$12&gt;=26, $H$12&lt;&gt;"Please Select"))</formula>
    </cfRule>
  </conditionalFormatting>
  <conditionalFormatting sqref="LR98">
    <cfRule type="expression" dxfId="493" priority="943">
      <formula>LR$98="Pending"</formula>
    </cfRule>
  </conditionalFormatting>
  <conditionalFormatting sqref="LR98:LS122">
    <cfRule type="expression" dxfId="492" priority="946">
      <formula>AND($H$64&gt;=26, $H$64&lt;&gt;"Please Select")</formula>
    </cfRule>
  </conditionalFormatting>
  <conditionalFormatting sqref="LR99:LS99">
    <cfRule type="expression" dxfId="491" priority="941">
      <formula>LR$99="Pending"</formula>
    </cfRule>
  </conditionalFormatting>
  <conditionalFormatting sqref="LR100:LS100">
    <cfRule type="expression" dxfId="490" priority="939">
      <formula>LR$100="Pending"</formula>
    </cfRule>
  </conditionalFormatting>
  <conditionalFormatting sqref="LR101:LS101">
    <cfRule type="expression" dxfId="489" priority="937">
      <formula>LR$101="Pending"</formula>
    </cfRule>
  </conditionalFormatting>
  <conditionalFormatting sqref="LR102:LS102">
    <cfRule type="expression" dxfId="488" priority="935">
      <formula>LR$102="Pending"</formula>
    </cfRule>
  </conditionalFormatting>
  <conditionalFormatting sqref="LR103:LS103">
    <cfRule type="expression" dxfId="487" priority="933">
      <formula>LR$103="Pending"</formula>
    </cfRule>
  </conditionalFormatting>
  <conditionalFormatting sqref="LR104:LS104">
    <cfRule type="expression" dxfId="486" priority="931">
      <formula>LR$104="Pending"</formula>
    </cfRule>
  </conditionalFormatting>
  <conditionalFormatting sqref="LR105:LS105">
    <cfRule type="expression" dxfId="485" priority="929">
      <formula>LR$105="Pending"</formula>
    </cfRule>
  </conditionalFormatting>
  <conditionalFormatting sqref="LR106:LS106">
    <cfRule type="expression" dxfId="484" priority="927">
      <formula>LR$106="Pending"</formula>
    </cfRule>
  </conditionalFormatting>
  <conditionalFormatting sqref="LR107:LS107">
    <cfRule type="expression" dxfId="483" priority="925">
      <formula>LR$107="Pending"</formula>
    </cfRule>
  </conditionalFormatting>
  <conditionalFormatting sqref="LR108:LS108">
    <cfRule type="expression" dxfId="482" priority="923">
      <formula>LR$108="Pending"</formula>
    </cfRule>
  </conditionalFormatting>
  <conditionalFormatting sqref="LR109:LS109">
    <cfRule type="expression" dxfId="481" priority="921">
      <formula>LR$109="Pending"</formula>
    </cfRule>
  </conditionalFormatting>
  <conditionalFormatting sqref="LR110:LS110">
    <cfRule type="expression" dxfId="480" priority="919">
      <formula>LR$110="Pending"</formula>
    </cfRule>
  </conditionalFormatting>
  <conditionalFormatting sqref="LR111:LS111">
    <cfRule type="expression" dxfId="479" priority="917">
      <formula>LR$111="Pending"</formula>
    </cfRule>
  </conditionalFormatting>
  <conditionalFormatting sqref="LR112:LS112">
    <cfRule type="expression" dxfId="478" priority="915">
      <formula>LR$112="Pending"</formula>
    </cfRule>
  </conditionalFormatting>
  <conditionalFormatting sqref="LR113:LS113">
    <cfRule type="expression" dxfId="477" priority="913">
      <formula>LR$113="Pending"</formula>
    </cfRule>
  </conditionalFormatting>
  <conditionalFormatting sqref="LR114:LS114">
    <cfRule type="expression" dxfId="476" priority="911">
      <formula>LR$114="Pending"</formula>
    </cfRule>
  </conditionalFormatting>
  <conditionalFormatting sqref="LR115:LS115">
    <cfRule type="expression" dxfId="475" priority="909">
      <formula>LR$115="Pending"</formula>
    </cfRule>
  </conditionalFormatting>
  <conditionalFormatting sqref="LR116:LS116">
    <cfRule type="expression" dxfId="474" priority="907">
      <formula>LR$116="Pending"</formula>
    </cfRule>
  </conditionalFormatting>
  <conditionalFormatting sqref="LR117:LS117">
    <cfRule type="expression" dxfId="473" priority="905">
      <formula>LR$117="Pending"</formula>
    </cfRule>
  </conditionalFormatting>
  <conditionalFormatting sqref="LR118:LS118">
    <cfRule type="expression" dxfId="472" priority="903">
      <formula>LR$118="Pending"</formula>
    </cfRule>
  </conditionalFormatting>
  <conditionalFormatting sqref="LR119:LS119">
    <cfRule type="expression" dxfId="471" priority="901">
      <formula>LR$119="Pending"</formula>
    </cfRule>
  </conditionalFormatting>
  <conditionalFormatting sqref="LR120:LS120">
    <cfRule type="expression" dxfId="470" priority="899">
      <formula>LR$120="Pending"</formula>
    </cfRule>
  </conditionalFormatting>
  <conditionalFormatting sqref="LR121:LS121">
    <cfRule type="expression" dxfId="469" priority="897">
      <formula>LR$121="Pending"</formula>
    </cfRule>
  </conditionalFormatting>
  <conditionalFormatting sqref="LR122:LS122">
    <cfRule type="expression" dxfId="468" priority="895">
      <formula>LR$122="Pending"</formula>
    </cfRule>
  </conditionalFormatting>
  <conditionalFormatting sqref="LR52:LW52 LR55:LW55">
    <cfRule type="expression" dxfId="467" priority="6522">
      <formula>(AND($H$12&gt;=26, $H$12&lt;&gt;"Please Select"))</formula>
    </cfRule>
  </conditionalFormatting>
  <conditionalFormatting sqref="LR53:LW54">
    <cfRule type="expression" dxfId="466" priority="60">
      <formula>$LR$53&lt;&gt;""</formula>
    </cfRule>
  </conditionalFormatting>
  <conditionalFormatting sqref="LR126:LW126 LR129:LW129">
    <cfRule type="expression" dxfId="465" priority="2437">
      <formula>AND($H$64&gt;=26, $H$64&lt;&gt;"Please Select")</formula>
    </cfRule>
  </conditionalFormatting>
  <conditionalFormatting sqref="LR127:LW128">
    <cfRule type="expression" dxfId="464" priority="31">
      <formula>$LR$127&lt;&gt;""</formula>
    </cfRule>
  </conditionalFormatting>
  <conditionalFormatting sqref="LS30">
    <cfRule type="expression" dxfId="463" priority="6570">
      <formula>(AND($H$12&gt;=26, $H$12&lt;&gt;"Please Select"))</formula>
    </cfRule>
  </conditionalFormatting>
  <conditionalFormatting sqref="LS34">
    <cfRule type="expression" dxfId="462" priority="6567">
      <formula>(AND($H$12&gt;=26, $H$12&lt;&gt;"Please Select"))</formula>
    </cfRule>
    <cfRule type="expression" dxfId="461" priority="200">
      <formula>$LS$34="Pending"</formula>
    </cfRule>
  </conditionalFormatting>
  <conditionalFormatting sqref="LS35">
    <cfRule type="expression" dxfId="460" priority="6547">
      <formula>LS$34&lt;&gt;""</formula>
    </cfRule>
  </conditionalFormatting>
  <conditionalFormatting sqref="LS39:LS40">
    <cfRule type="expression" dxfId="459" priority="6563">
      <formula>(AND($H$12&gt;=26, $H$12&lt;&gt;"Please Select"))</formula>
    </cfRule>
  </conditionalFormatting>
  <conditionalFormatting sqref="LS41">
    <cfRule type="expression" dxfId="458" priority="6557">
      <formula>(AND($H$12&gt;=26, $H$12&lt;&gt;"Please Select"))</formula>
    </cfRule>
  </conditionalFormatting>
  <conditionalFormatting sqref="LS87">
    <cfRule type="expression" dxfId="457" priority="2440">
      <formula>AND($H$64&gt;=26, $H$64&lt;&gt;"Please Select")</formula>
    </cfRule>
  </conditionalFormatting>
  <conditionalFormatting sqref="LT97:LU97">
    <cfRule type="expression" dxfId="456" priority="944">
      <formula>LT$97&lt;&gt;""</formula>
    </cfRule>
  </conditionalFormatting>
  <conditionalFormatting sqref="LT98:LU98">
    <cfRule type="expression" dxfId="455" priority="942">
      <formula>LR$98="Pending"</formula>
    </cfRule>
  </conditionalFormatting>
  <conditionalFormatting sqref="LT99:LU99">
    <cfRule type="expression" dxfId="454" priority="940">
      <formula>LR$99="Pending"</formula>
    </cfRule>
  </conditionalFormatting>
  <conditionalFormatting sqref="LT100:LU100">
    <cfRule type="expression" dxfId="453" priority="938">
      <formula>LR$100="Pending"</formula>
    </cfRule>
  </conditionalFormatting>
  <conditionalFormatting sqref="LT101:LU101">
    <cfRule type="expression" dxfId="452" priority="936">
      <formula>LR$101="Pending"</formula>
    </cfRule>
  </conditionalFormatting>
  <conditionalFormatting sqref="LT102:LU102">
    <cfRule type="expression" dxfId="451" priority="934">
      <formula>LR$102="Pending"</formula>
    </cfRule>
  </conditionalFormatting>
  <conditionalFormatting sqref="LT103:LU103">
    <cfRule type="expression" dxfId="450" priority="932">
      <formula>LR$103="Pending"</formula>
    </cfRule>
  </conditionalFormatting>
  <conditionalFormatting sqref="LT104:LU104">
    <cfRule type="expression" dxfId="449" priority="930">
      <formula>LR$104="Pending"</formula>
    </cfRule>
  </conditionalFormatting>
  <conditionalFormatting sqref="LT105:LU105">
    <cfRule type="expression" dxfId="448" priority="928">
      <formula>LR$105="Pending"</formula>
    </cfRule>
  </conditionalFormatting>
  <conditionalFormatting sqref="LT106:LU106">
    <cfRule type="expression" dxfId="447" priority="926">
      <formula>LR$106="Pending"</formula>
    </cfRule>
  </conditionalFormatting>
  <conditionalFormatting sqref="LT107:LU107">
    <cfRule type="expression" dxfId="446" priority="924">
      <formula>LR$107="Pending"</formula>
    </cfRule>
  </conditionalFormatting>
  <conditionalFormatting sqref="LT108:LU108">
    <cfRule type="expression" dxfId="445" priority="922">
      <formula>LR$108="Pending"</formula>
    </cfRule>
  </conditionalFormatting>
  <conditionalFormatting sqref="LT109:LU109">
    <cfRule type="expression" dxfId="444" priority="920">
      <formula>LR$109="Pending"</formula>
    </cfRule>
  </conditionalFormatting>
  <conditionalFormatting sqref="LT110:LU110">
    <cfRule type="expression" dxfId="443" priority="918">
      <formula>LR$110="Pending"</formula>
    </cfRule>
  </conditionalFormatting>
  <conditionalFormatting sqref="LT111:LU111">
    <cfRule type="expression" dxfId="442" priority="916">
      <formula>LR$111="Pending"</formula>
    </cfRule>
  </conditionalFormatting>
  <conditionalFormatting sqref="LT112:LU112">
    <cfRule type="expression" dxfId="441" priority="914">
      <formula>LR$112="Pending"</formula>
    </cfRule>
  </conditionalFormatting>
  <conditionalFormatting sqref="LT113:LU113">
    <cfRule type="expression" dxfId="440" priority="912">
      <formula>LR$113="Pending"</formula>
    </cfRule>
  </conditionalFormatting>
  <conditionalFormatting sqref="LT114:LU114">
    <cfRule type="expression" dxfId="439" priority="910">
      <formula>LR$114="Pending"</formula>
    </cfRule>
  </conditionalFormatting>
  <conditionalFormatting sqref="LT115:LU115">
    <cfRule type="expression" dxfId="438" priority="908">
      <formula>LR$115="Pending"</formula>
    </cfRule>
  </conditionalFormatting>
  <conditionalFormatting sqref="LT116:LU116">
    <cfRule type="expression" dxfId="437" priority="906">
      <formula>LR$116="Pending"</formula>
    </cfRule>
  </conditionalFormatting>
  <conditionalFormatting sqref="LT117:LU117">
    <cfRule type="expression" dxfId="436" priority="904">
      <formula>LR$117="Pending"</formula>
    </cfRule>
  </conditionalFormatting>
  <conditionalFormatting sqref="LT118:LU118">
    <cfRule type="expression" dxfId="435" priority="902">
      <formula>LR$118="Pending"</formula>
    </cfRule>
  </conditionalFormatting>
  <conditionalFormatting sqref="LT119:LU119">
    <cfRule type="expression" dxfId="434" priority="900">
      <formula>LR$119="Pending"</formula>
    </cfRule>
  </conditionalFormatting>
  <conditionalFormatting sqref="LT120:LU120">
    <cfRule type="expression" dxfId="433" priority="898">
      <formula>LR$120="Pending"</formula>
    </cfRule>
  </conditionalFormatting>
  <conditionalFormatting sqref="LT121:LU121">
    <cfRule type="expression" dxfId="432" priority="896">
      <formula>LR$121="Pending"</formula>
    </cfRule>
  </conditionalFormatting>
  <conditionalFormatting sqref="LT122:LU122">
    <cfRule type="expression" dxfId="431" priority="894">
      <formula>LR$122="Pending"</formula>
    </cfRule>
  </conditionalFormatting>
  <conditionalFormatting sqref="LV27:LY28">
    <cfRule type="expression" dxfId="430" priority="5583">
      <formula>LV$27&lt;&gt;""</formula>
    </cfRule>
  </conditionalFormatting>
  <conditionalFormatting sqref="LV84:LY85">
    <cfRule type="expression" dxfId="429" priority="2444">
      <formula>LV$84&lt;&gt;""</formula>
    </cfRule>
  </conditionalFormatting>
  <conditionalFormatting sqref="LV147:LY148">
    <cfRule type="expression" dxfId="428" priority="255">
      <formula>LV$27&lt;&gt;""</formula>
    </cfRule>
  </conditionalFormatting>
  <conditionalFormatting sqref="LX55:MA55">
    <cfRule type="expression" dxfId="427" priority="633">
      <formula>LX55&lt;&gt;""</formula>
    </cfRule>
  </conditionalFormatting>
  <conditionalFormatting sqref="LX129:MA129">
    <cfRule type="expression" dxfId="426" priority="580">
      <formula>LX129&lt;&gt;""</formula>
    </cfRule>
  </conditionalFormatting>
  <conditionalFormatting sqref="MB39:MB40">
    <cfRule type="expression" dxfId="425" priority="6294">
      <formula>(AND($H$12&gt;=27, $H$12&lt;&gt;"Please Select"))</formula>
    </cfRule>
  </conditionalFormatting>
  <conditionalFormatting sqref="MB41">
    <cfRule type="expression" dxfId="424" priority="6290">
      <formula>(AND($H$12&gt;=27, $H$12&lt;&gt;"Please Select"))</formula>
    </cfRule>
  </conditionalFormatting>
  <conditionalFormatting sqref="MB43">
    <cfRule type="expression" dxfId="423" priority="6289">
      <formula>(AND($H$12&gt;=27, $H$12&lt;&gt;"Please Select"))</formula>
    </cfRule>
  </conditionalFormatting>
  <conditionalFormatting sqref="MB44">
    <cfRule type="expression" dxfId="422" priority="6288">
      <formula>(AND($H$12&gt;=27, $H$12&lt;&gt;"Please Select"))</formula>
    </cfRule>
  </conditionalFormatting>
  <conditionalFormatting sqref="MB45">
    <cfRule type="expression" dxfId="421" priority="6282">
      <formula>(AND($H$12&gt;=27, $H$12&lt;&gt;"Please Select"))</formula>
    </cfRule>
  </conditionalFormatting>
  <conditionalFormatting sqref="MB46">
    <cfRule type="expression" dxfId="420" priority="6281">
      <formula>(AND($H$12&gt;=27, $H$12&lt;&gt;"Please Select"))</formula>
    </cfRule>
  </conditionalFormatting>
  <conditionalFormatting sqref="MB47">
    <cfRule type="expression" dxfId="419" priority="6280">
      <formula>(AND($H$12&gt;=27, $H$12&lt;&gt;"Please Select"))</formula>
    </cfRule>
  </conditionalFormatting>
  <conditionalFormatting sqref="MB48">
    <cfRule type="expression" dxfId="418" priority="6279">
      <formula>(AND($H$12&gt;=27, $H$12&lt;&gt;"Please Select"))</formula>
    </cfRule>
  </conditionalFormatting>
  <conditionalFormatting sqref="MB96">
    <cfRule type="expression" dxfId="417" priority="890">
      <formula>AND($H$64&gt;=27, $H$64&lt;&gt;"Please Select")</formula>
    </cfRule>
  </conditionalFormatting>
  <conditionalFormatting sqref="MB98:MD122">
    <cfRule type="expression" dxfId="416" priority="892">
      <formula>AND($H$64&gt;=27, $H$64&lt;&gt;"Please Select")</formula>
    </cfRule>
  </conditionalFormatting>
  <conditionalFormatting sqref="MB97:MF97">
    <cfRule type="expression" dxfId="415" priority="893">
      <formula>AND($H$64&gt;=27, $H$64&lt;&gt;"Please Select")</formula>
    </cfRule>
  </conditionalFormatting>
  <conditionalFormatting sqref="MB25:MH25">
    <cfRule type="expression" dxfId="414" priority="6303">
      <formula>(AND($H$12&gt;=27, $H$12&lt;&gt;"Please Select"))</formula>
    </cfRule>
  </conditionalFormatting>
  <conditionalFormatting sqref="MB82:MH82">
    <cfRule type="expression" dxfId="413" priority="2423">
      <formula>AND($H$64&gt;=27, $H$64&lt;&gt;"Please Select")</formula>
    </cfRule>
  </conditionalFormatting>
  <conditionalFormatting sqref="MB51:MJ51">
    <cfRule type="expression" dxfId="412" priority="6276">
      <formula>(AND($H$12&gt;=27, $H$12&lt;&gt;"Please Select"))</formula>
    </cfRule>
  </conditionalFormatting>
  <conditionalFormatting sqref="MB125:MJ125">
    <cfRule type="expression" dxfId="411" priority="2418">
      <formula>AND($H$64&gt;=27, $H$64&lt;&gt;"Please Select")</formula>
    </cfRule>
  </conditionalFormatting>
  <conditionalFormatting sqref="MC39:MC40">
    <cfRule type="expression" dxfId="410" priority="6293">
      <formula>(AND($H$12&gt;=27, $H$12&lt;&gt;"Please Select"))</formula>
    </cfRule>
  </conditionalFormatting>
  <conditionalFormatting sqref="MC41">
    <cfRule type="expression" dxfId="409" priority="6287">
      <formula>(AND($H$12&gt;=27, $H$12&lt;&gt;"Please Select"))</formula>
    </cfRule>
  </conditionalFormatting>
  <conditionalFormatting sqref="MC43">
    <cfRule type="expression" dxfId="408" priority="6278">
      <formula>(AND($H$12&gt;=27, $H$12&lt;&gt;"Please Select"))</formula>
    </cfRule>
  </conditionalFormatting>
  <conditionalFormatting sqref="MC44:MC48">
    <cfRule type="expression" dxfId="407" priority="6284">
      <formula>(AND($H$12&gt;=27, $H$12&lt;&gt;"Please Select"))</formula>
    </cfRule>
  </conditionalFormatting>
  <conditionalFormatting sqref="MC30:MD30">
    <cfRule type="expression" dxfId="406" priority="6299">
      <formula>(AND($H$12&gt;=27, $H$12&lt;&gt;"Please Select"))</formula>
    </cfRule>
  </conditionalFormatting>
  <conditionalFormatting sqref="MC87:MD87">
    <cfRule type="expression" dxfId="405" priority="2421">
      <formula>AND($H$64&gt;=27, $H$64&lt;&gt;"Please Select")</formula>
    </cfRule>
  </conditionalFormatting>
  <conditionalFormatting sqref="MC27:MF27">
    <cfRule type="expression" dxfId="404" priority="6302">
      <formula>(AND($H$12&gt;=27, $H$12&lt;&gt;"Please Select"))</formula>
    </cfRule>
  </conditionalFormatting>
  <conditionalFormatting sqref="MC28:MF28">
    <cfRule type="expression" dxfId="403" priority="6301">
      <formula>(AND($H$12&gt;=27, $H$12&lt;&gt;"Please Select"))</formula>
    </cfRule>
  </conditionalFormatting>
  <conditionalFormatting sqref="MC29:MF29">
    <cfRule type="expression" dxfId="402" priority="6300">
      <formula>(AND($H$12&gt;=27, $H$12&lt;&gt;"Please Select"))</formula>
    </cfRule>
  </conditionalFormatting>
  <conditionalFormatting sqref="MC84:MF86">
    <cfRule type="expression" dxfId="401" priority="2422">
      <formula>AND($H$64&gt;=27, $H$64&lt;&gt;"Please Select")</formula>
    </cfRule>
  </conditionalFormatting>
  <conditionalFormatting sqref="MD31">
    <cfRule type="expression" dxfId="400" priority="6297">
      <formula>(AND($H$12&gt;=27, $H$12&lt;&gt;"Please Select"))</formula>
    </cfRule>
  </conditionalFormatting>
  <conditionalFormatting sqref="MD88">
    <cfRule type="expression" dxfId="399" priority="2419">
      <formula>AND($H$64&gt;=27, $H$64&lt;&gt;"Please Select")</formula>
    </cfRule>
  </conditionalFormatting>
  <conditionalFormatting sqref="MD39:ME40">
    <cfRule type="expression" dxfId="398" priority="6292">
      <formula>(AND($H$12&gt;=27, $H$12&lt;&gt;"Please Select"))</formula>
    </cfRule>
  </conditionalFormatting>
  <conditionalFormatting sqref="MD41:ME41">
    <cfRule type="expression" dxfId="397" priority="6286">
      <formula>(AND($H$12&gt;=27, $H$12&lt;&gt;"Please Select"))</formula>
    </cfRule>
  </conditionalFormatting>
  <conditionalFormatting sqref="MD43:ME43">
    <cfRule type="expression" dxfId="396" priority="6277">
      <formula>(AND($H$12&gt;=27, $H$12&lt;&gt;"Please Select"))</formula>
    </cfRule>
  </conditionalFormatting>
  <conditionalFormatting sqref="MD44:ME48">
    <cfRule type="expression" dxfId="395" priority="6283">
      <formula>(AND($H$12&gt;=27, $H$12&lt;&gt;"Please Select"))</formula>
    </cfRule>
  </conditionalFormatting>
  <conditionalFormatting sqref="MD91:ME91">
    <cfRule type="expression" dxfId="394" priority="125">
      <formula>$MD$91="No"</formula>
    </cfRule>
    <cfRule type="expression" dxfId="393" priority="126">
      <formula>AND($H$64&gt;=27, $H$64&lt;&gt;"Please Select")</formula>
    </cfRule>
  </conditionalFormatting>
  <conditionalFormatting sqref="MD92:ME92">
    <cfRule type="expression" dxfId="392" priority="2409">
      <formula>AND($H$64&gt;=27, $H$64&lt;&gt;"Please Select")</formula>
    </cfRule>
  </conditionalFormatting>
  <conditionalFormatting sqref="MD95:ME95">
    <cfRule type="expression" dxfId="391" priority="642">
      <formula>AND($H$64&gt;=27, $H$64&lt;&gt;"Please Select")</formula>
    </cfRule>
  </conditionalFormatting>
  <conditionalFormatting sqref="MD33:MF33">
    <cfRule type="expression" dxfId="390" priority="6296">
      <formula>(AND($H$12&gt;=27, $H$12&lt;&gt;"Please Select"))</formula>
    </cfRule>
  </conditionalFormatting>
  <conditionalFormatting sqref="ME98">
    <cfRule type="expression" dxfId="389" priority="888">
      <formula>ME$98="Pending"</formula>
    </cfRule>
  </conditionalFormatting>
  <conditionalFormatting sqref="ME98:MF122">
    <cfRule type="expression" dxfId="388" priority="891">
      <formula>AND($H$64&gt;=27, $H$64&lt;&gt;"Please Select")</formula>
    </cfRule>
  </conditionalFormatting>
  <conditionalFormatting sqref="ME99:MF99">
    <cfRule type="expression" dxfId="387" priority="886">
      <formula>ME$99="Pending"</formula>
    </cfRule>
  </conditionalFormatting>
  <conditionalFormatting sqref="ME100:MF100">
    <cfRule type="expression" dxfId="386" priority="884">
      <formula>ME$100="Pending"</formula>
    </cfRule>
  </conditionalFormatting>
  <conditionalFormatting sqref="ME101:MF101">
    <cfRule type="expression" dxfId="385" priority="882">
      <formula>ME$101="Pending"</formula>
    </cfRule>
  </conditionalFormatting>
  <conditionalFormatting sqref="ME102:MF102">
    <cfRule type="expression" dxfId="384" priority="880">
      <formula>ME$102="Pending"</formula>
    </cfRule>
  </conditionalFormatting>
  <conditionalFormatting sqref="ME103:MF103">
    <cfRule type="expression" dxfId="383" priority="878">
      <formula>ME$103="Pending"</formula>
    </cfRule>
  </conditionalFormatting>
  <conditionalFormatting sqref="ME104:MF104">
    <cfRule type="expression" dxfId="382" priority="876">
      <formula>ME$104="Pending"</formula>
    </cfRule>
  </conditionalFormatting>
  <conditionalFormatting sqref="ME105:MF105">
    <cfRule type="expression" dxfId="381" priority="874">
      <formula>ME$105="Pending"</formula>
    </cfRule>
  </conditionalFormatting>
  <conditionalFormatting sqref="ME106:MF106">
    <cfRule type="expression" dxfId="380" priority="872">
      <formula>ME$106="Pending"</formula>
    </cfRule>
  </conditionalFormatting>
  <conditionalFormatting sqref="ME107:MF107">
    <cfRule type="expression" dxfId="379" priority="870">
      <formula>ME$107="Pending"</formula>
    </cfRule>
  </conditionalFormatting>
  <conditionalFormatting sqref="ME108:MF108">
    <cfRule type="expression" dxfId="378" priority="868">
      <formula>ME$108="Pending"</formula>
    </cfRule>
  </conditionalFormatting>
  <conditionalFormatting sqref="ME109:MF109">
    <cfRule type="expression" dxfId="377" priority="866">
      <formula>ME$109="Pending"</formula>
    </cfRule>
  </conditionalFormatting>
  <conditionalFormatting sqref="ME110:MF110">
    <cfRule type="expression" dxfId="376" priority="864">
      <formula>ME$110="Pending"</formula>
    </cfRule>
  </conditionalFormatting>
  <conditionalFormatting sqref="ME111:MF111">
    <cfRule type="expression" dxfId="375" priority="862">
      <formula>ME$111="Pending"</formula>
    </cfRule>
  </conditionalFormatting>
  <conditionalFormatting sqref="ME112:MF112">
    <cfRule type="expression" dxfId="374" priority="860">
      <formula>ME$112="Pending"</formula>
    </cfRule>
  </conditionalFormatting>
  <conditionalFormatting sqref="ME113:MF113">
    <cfRule type="expression" dxfId="373" priority="858">
      <formula>ME$113="Pending"</formula>
    </cfRule>
  </conditionalFormatting>
  <conditionalFormatting sqref="ME114:MF114">
    <cfRule type="expression" dxfId="372" priority="856">
      <formula>ME$114="Pending"</formula>
    </cfRule>
  </conditionalFormatting>
  <conditionalFormatting sqref="ME115:MF115">
    <cfRule type="expression" dxfId="371" priority="854">
      <formula>ME$115="Pending"</formula>
    </cfRule>
  </conditionalFormatting>
  <conditionalFormatting sqref="ME116:MF116">
    <cfRule type="expression" dxfId="370" priority="852">
      <formula>ME$116="Pending"</formula>
    </cfRule>
  </conditionalFormatting>
  <conditionalFormatting sqref="ME117:MF117">
    <cfRule type="expression" dxfId="369" priority="850">
      <formula>ME$117="Pending"</formula>
    </cfRule>
  </conditionalFormatting>
  <conditionalFormatting sqref="ME118:MF118">
    <cfRule type="expression" dxfId="368" priority="848">
      <formula>ME$118="Pending"</formula>
    </cfRule>
  </conditionalFormatting>
  <conditionalFormatting sqref="ME119:MF119">
    <cfRule type="expression" dxfId="367" priority="846">
      <formula>ME$119="Pending"</formula>
    </cfRule>
  </conditionalFormatting>
  <conditionalFormatting sqref="ME120:MF120">
    <cfRule type="expression" dxfId="366" priority="844">
      <formula>ME$120="Pending"</formula>
    </cfRule>
  </conditionalFormatting>
  <conditionalFormatting sqref="ME121:MF121">
    <cfRule type="expression" dxfId="365" priority="842">
      <formula>ME$121="Pending"</formula>
    </cfRule>
  </conditionalFormatting>
  <conditionalFormatting sqref="ME122:MF122">
    <cfRule type="expression" dxfId="364" priority="840">
      <formula>ME$122="Pending"</formula>
    </cfRule>
  </conditionalFormatting>
  <conditionalFormatting sqref="ME52:MJ52 ME55:MJ55">
    <cfRule type="expression" dxfId="363" priority="6250">
      <formula>(AND($H$12&gt;=27, $H$12&lt;&gt;"Please Select"))</formula>
    </cfRule>
  </conditionalFormatting>
  <conditionalFormatting sqref="ME53:MJ54">
    <cfRule type="expression" dxfId="362" priority="61">
      <formula>$ME$53&lt;&gt;""</formula>
    </cfRule>
  </conditionalFormatting>
  <conditionalFormatting sqref="ME126:MJ126 ME129:MJ129">
    <cfRule type="expression" dxfId="361" priority="2417">
      <formula>AND($H$64&gt;=27, $H$64&lt;&gt;"Please Select")</formula>
    </cfRule>
  </conditionalFormatting>
  <conditionalFormatting sqref="ME127:MJ128">
    <cfRule type="expression" dxfId="360" priority="32">
      <formula>$ME$127&lt;&gt;""</formula>
    </cfRule>
  </conditionalFormatting>
  <conditionalFormatting sqref="MF30">
    <cfRule type="expression" dxfId="359" priority="6298">
      <formula>(AND($H$12&gt;=27, $H$12&lt;&gt;"Please Select"))</formula>
    </cfRule>
  </conditionalFormatting>
  <conditionalFormatting sqref="MF34">
    <cfRule type="expression" dxfId="358" priority="201">
      <formula>$MF$34="Pending"</formula>
    </cfRule>
    <cfRule type="expression" dxfId="357" priority="6295">
      <formula>(AND($H$12&gt;=27, $H$12&lt;&gt;"Please Select"))</formula>
    </cfRule>
  </conditionalFormatting>
  <conditionalFormatting sqref="MF35">
    <cfRule type="expression" dxfId="356" priority="6275">
      <formula>MF$34&lt;&gt;""</formula>
    </cfRule>
  </conditionalFormatting>
  <conditionalFormatting sqref="MF39:MF40">
    <cfRule type="expression" dxfId="355" priority="6291">
      <formula>(AND($H$12&gt;=27, $H$12&lt;&gt;"Please Select"))</formula>
    </cfRule>
  </conditionalFormatting>
  <conditionalFormatting sqref="MF41">
    <cfRule type="expression" dxfId="354" priority="6285">
      <formula>(AND($H$12&gt;=27, $H$12&lt;&gt;"Please Select"))</formula>
    </cfRule>
  </conditionalFormatting>
  <conditionalFormatting sqref="MF87">
    <cfRule type="expression" dxfId="353" priority="2420">
      <formula>AND($H$64&gt;=27, $H$64&lt;&gt;"Please Select")</formula>
    </cfRule>
  </conditionalFormatting>
  <conditionalFormatting sqref="MG97:MH97">
    <cfRule type="expression" dxfId="352" priority="889">
      <formula>MG$97&lt;&gt;""</formula>
    </cfRule>
  </conditionalFormatting>
  <conditionalFormatting sqref="MG98:MH98">
    <cfRule type="expression" dxfId="351" priority="887">
      <formula>ME$98="Pending"</formula>
    </cfRule>
  </conditionalFormatting>
  <conditionalFormatting sqref="MG99:MH99">
    <cfRule type="expression" dxfId="350" priority="885">
      <formula>ME$99="Pending"</formula>
    </cfRule>
  </conditionalFormatting>
  <conditionalFormatting sqref="MG100:MH100">
    <cfRule type="expression" dxfId="349" priority="883">
      <formula>ME$100="Pending"</formula>
    </cfRule>
  </conditionalFormatting>
  <conditionalFormatting sqref="MG101:MH101">
    <cfRule type="expression" dxfId="348" priority="881">
      <formula>ME$101="Pending"</formula>
    </cfRule>
  </conditionalFormatting>
  <conditionalFormatting sqref="MG102:MH102">
    <cfRule type="expression" dxfId="347" priority="879">
      <formula>ME$102="Pending"</formula>
    </cfRule>
  </conditionalFormatting>
  <conditionalFormatting sqref="MG103:MH103">
    <cfRule type="expression" dxfId="346" priority="877">
      <formula>ME$103="Pending"</formula>
    </cfRule>
  </conditionalFormatting>
  <conditionalFormatting sqref="MG104:MH104">
    <cfRule type="expression" dxfId="345" priority="875">
      <formula>ME$104="Pending"</formula>
    </cfRule>
  </conditionalFormatting>
  <conditionalFormatting sqref="MG105:MH105">
    <cfRule type="expression" dxfId="344" priority="873">
      <formula>ME$105="Pending"</formula>
    </cfRule>
  </conditionalFormatting>
  <conditionalFormatting sqref="MG106:MH106">
    <cfRule type="expression" dxfId="343" priority="871">
      <formula>ME$106="Pending"</formula>
    </cfRule>
  </conditionalFormatting>
  <conditionalFormatting sqref="MG107:MH107">
    <cfRule type="expression" dxfId="342" priority="869">
      <formula>ME$107="Pending"</formula>
    </cfRule>
  </conditionalFormatting>
  <conditionalFormatting sqref="MG108:MH108">
    <cfRule type="expression" dxfId="341" priority="867">
      <formula>ME$108="Pending"</formula>
    </cfRule>
  </conditionalFormatting>
  <conditionalFormatting sqref="MG109:MH109">
    <cfRule type="expression" dxfId="340" priority="865">
      <formula>ME$109="Pending"</formula>
    </cfRule>
  </conditionalFormatting>
  <conditionalFormatting sqref="MG110:MH110">
    <cfRule type="expression" dxfId="339" priority="863">
      <formula>ME$110="Pending"</formula>
    </cfRule>
  </conditionalFormatting>
  <conditionalFormatting sqref="MG111:MH111">
    <cfRule type="expression" dxfId="338" priority="861">
      <formula>ME$111="Pending"</formula>
    </cfRule>
  </conditionalFormatting>
  <conditionalFormatting sqref="MG112:MH112">
    <cfRule type="expression" dxfId="337" priority="859">
      <formula>ME$112="Pending"</formula>
    </cfRule>
  </conditionalFormatting>
  <conditionalFormatting sqref="MG113:MH113">
    <cfRule type="expression" dxfId="336" priority="857">
      <formula>ME$113="Pending"</formula>
    </cfRule>
  </conditionalFormatting>
  <conditionalFormatting sqref="MG114:MH114">
    <cfRule type="expression" dxfId="335" priority="855">
      <formula>ME$114="Pending"</formula>
    </cfRule>
  </conditionalFormatting>
  <conditionalFormatting sqref="MG115:MH115">
    <cfRule type="expression" dxfId="334" priority="853">
      <formula>ME$115="Pending"</formula>
    </cfRule>
  </conditionalFormatting>
  <conditionalFormatting sqref="MG116:MH116">
    <cfRule type="expression" dxfId="333" priority="851">
      <formula>ME$116="Pending"</formula>
    </cfRule>
  </conditionalFormatting>
  <conditionalFormatting sqref="MG117:MH117">
    <cfRule type="expression" dxfId="332" priority="849">
      <formula>ME$117="Pending"</formula>
    </cfRule>
  </conditionalFormatting>
  <conditionalFormatting sqref="MG118:MH118">
    <cfRule type="expression" dxfId="331" priority="847">
      <formula>ME$118="Pending"</formula>
    </cfRule>
  </conditionalFormatting>
  <conditionalFormatting sqref="MG119:MH119">
    <cfRule type="expression" dxfId="330" priority="845">
      <formula>ME$119="Pending"</formula>
    </cfRule>
  </conditionalFormatting>
  <conditionalFormatting sqref="MG120:MH120">
    <cfRule type="expression" dxfId="329" priority="843">
      <formula>ME$120="Pending"</formula>
    </cfRule>
  </conditionalFormatting>
  <conditionalFormatting sqref="MG121:MH121">
    <cfRule type="expression" dxfId="328" priority="841">
      <formula>ME$121="Pending"</formula>
    </cfRule>
  </conditionalFormatting>
  <conditionalFormatting sqref="MG122:MH122">
    <cfRule type="expression" dxfId="327" priority="839">
      <formula>ME$122="Pending"</formula>
    </cfRule>
  </conditionalFormatting>
  <conditionalFormatting sqref="MI27:ML28">
    <cfRule type="expression" dxfId="326" priority="5582">
      <formula>MI$27&lt;&gt;""</formula>
    </cfRule>
  </conditionalFormatting>
  <conditionalFormatting sqref="MI84:ML85">
    <cfRule type="expression" dxfId="325" priority="2424">
      <formula>MI$84&lt;&gt;""</formula>
    </cfRule>
  </conditionalFormatting>
  <conditionalFormatting sqref="MI147:ML148">
    <cfRule type="expression" dxfId="324" priority="254">
      <formula>MI$27&lt;&gt;""</formula>
    </cfRule>
  </conditionalFormatting>
  <conditionalFormatting sqref="MK55:MN55">
    <cfRule type="expression" dxfId="323" priority="634">
      <formula>MK55&lt;&gt;""</formula>
    </cfRule>
  </conditionalFormatting>
  <conditionalFormatting sqref="MK129:MN129">
    <cfRule type="expression" dxfId="322" priority="579">
      <formula>MK129&lt;&gt;""</formula>
    </cfRule>
  </conditionalFormatting>
  <conditionalFormatting sqref="MO39:MO40">
    <cfRule type="expression" dxfId="321" priority="6022">
      <formula>(AND($H$12&gt;=28, $H$12&lt;&gt;"Please Select"))</formula>
    </cfRule>
  </conditionalFormatting>
  <conditionalFormatting sqref="MO41">
    <cfRule type="expression" dxfId="320" priority="6018">
      <formula>(AND($H$12&gt;=28, $H$12&lt;&gt;"Please Select"))</formula>
    </cfRule>
  </conditionalFormatting>
  <conditionalFormatting sqref="MO43">
    <cfRule type="expression" dxfId="319" priority="6017">
      <formula>(AND($H$12&gt;=28, $H$12&lt;&gt;"Please Select"))</formula>
    </cfRule>
  </conditionalFormatting>
  <conditionalFormatting sqref="MO44">
    <cfRule type="expression" dxfId="318" priority="6016">
      <formula>(AND($H$12&gt;=28, $H$12&lt;&gt;"Please Select"))</formula>
    </cfRule>
  </conditionalFormatting>
  <conditionalFormatting sqref="MO45">
    <cfRule type="expression" dxfId="317" priority="6010">
      <formula>(AND($H$12&gt;=28, $H$12&lt;&gt;"Please Select"))</formula>
    </cfRule>
  </conditionalFormatting>
  <conditionalFormatting sqref="MO46">
    <cfRule type="expression" dxfId="316" priority="6009">
      <formula>(AND($H$12&gt;=28, $H$12&lt;&gt;"Please Select"))</formula>
    </cfRule>
  </conditionalFormatting>
  <conditionalFormatting sqref="MO47">
    <cfRule type="expression" dxfId="315" priority="6008">
      <formula>(AND($H$12&gt;=28, $H$12&lt;&gt;"Please Select"))</formula>
    </cfRule>
  </conditionalFormatting>
  <conditionalFormatting sqref="MO48">
    <cfRule type="expression" dxfId="314" priority="6007">
      <formula>(AND($H$12&gt;=28, $H$12&lt;&gt;"Please Select"))</formula>
    </cfRule>
  </conditionalFormatting>
  <conditionalFormatting sqref="MO96">
    <cfRule type="expression" dxfId="313" priority="835">
      <formula>AND($H$64&gt;=28, $H$64&lt;&gt;"Please Select")</formula>
    </cfRule>
  </conditionalFormatting>
  <conditionalFormatting sqref="MO98:MQ122">
    <cfRule type="expression" dxfId="312" priority="837">
      <formula>AND($H$64&gt;=28, $H$64&lt;&gt;"Please Select")</formula>
    </cfRule>
  </conditionalFormatting>
  <conditionalFormatting sqref="MO97:MS97">
    <cfRule type="expression" dxfId="311" priority="838">
      <formula>AND($H$64&gt;=28, $H$64&lt;&gt;"Please Select")</formula>
    </cfRule>
  </conditionalFormatting>
  <conditionalFormatting sqref="MO25:MU25">
    <cfRule type="expression" dxfId="310" priority="6031">
      <formula>(AND($H$12&gt;=28, $H$12&lt;&gt;"Please Select"))</formula>
    </cfRule>
  </conditionalFormatting>
  <conditionalFormatting sqref="MO82:MU82">
    <cfRule type="expression" dxfId="309" priority="2403">
      <formula>AND($H$64&gt;=28, $H$64&lt;&gt;"Please Select")</formula>
    </cfRule>
  </conditionalFormatting>
  <conditionalFormatting sqref="MO51:MW51">
    <cfRule type="expression" dxfId="308" priority="6004">
      <formula>(AND($H$12&gt;=28, $H$12&lt;&gt;"Please Select"))</formula>
    </cfRule>
  </conditionalFormatting>
  <conditionalFormatting sqref="MO125:MW125">
    <cfRule type="expression" dxfId="307" priority="2398">
      <formula>AND($H$64&gt;=28, $H$64&lt;&gt;"Please Select")</formula>
    </cfRule>
  </conditionalFormatting>
  <conditionalFormatting sqref="MP39:MP40">
    <cfRule type="expression" dxfId="306" priority="6021">
      <formula>(AND($H$12&gt;=28, $H$12&lt;&gt;"Please Select"))</formula>
    </cfRule>
  </conditionalFormatting>
  <conditionalFormatting sqref="MP41">
    <cfRule type="expression" dxfId="305" priority="6015">
      <formula>(AND($H$12&gt;=28, $H$12&lt;&gt;"Please Select"))</formula>
    </cfRule>
  </conditionalFormatting>
  <conditionalFormatting sqref="MP43">
    <cfRule type="expression" dxfId="304" priority="6006">
      <formula>(AND($H$12&gt;=28, $H$12&lt;&gt;"Please Select"))</formula>
    </cfRule>
  </conditionalFormatting>
  <conditionalFormatting sqref="MP44:MP48">
    <cfRule type="expression" dxfId="303" priority="6012">
      <formula>(AND($H$12&gt;=28, $H$12&lt;&gt;"Please Select"))</formula>
    </cfRule>
  </conditionalFormatting>
  <conditionalFormatting sqref="MP30:MQ30">
    <cfRule type="expression" dxfId="302" priority="6027">
      <formula>(AND($H$12&gt;=28, $H$12&lt;&gt;"Please Select"))</formula>
    </cfRule>
  </conditionalFormatting>
  <conditionalFormatting sqref="MP87:MQ87">
    <cfRule type="expression" dxfId="301" priority="2401">
      <formula>AND($H$64&gt;=28, $H$64&lt;&gt;"Please Select")</formula>
    </cfRule>
  </conditionalFormatting>
  <conditionalFormatting sqref="MP27:MS27">
    <cfRule type="expression" dxfId="300" priority="6030">
      <formula>(AND($H$12&gt;=28, $H$12&lt;&gt;"Please Select"))</formula>
    </cfRule>
  </conditionalFormatting>
  <conditionalFormatting sqref="MP28:MS28">
    <cfRule type="expression" dxfId="299" priority="6029">
      <formula>(AND($H$12&gt;=28, $H$12&lt;&gt;"Please Select"))</formula>
    </cfRule>
  </conditionalFormatting>
  <conditionalFormatting sqref="MP29:MS29">
    <cfRule type="expression" dxfId="298" priority="6028">
      <formula>(AND($H$12&gt;=28, $H$12&lt;&gt;"Please Select"))</formula>
    </cfRule>
  </conditionalFormatting>
  <conditionalFormatting sqref="MP84:MS86">
    <cfRule type="expression" dxfId="297" priority="2402">
      <formula>AND($H$64&gt;=28, $H$64&lt;&gt;"Please Select")</formula>
    </cfRule>
  </conditionalFormatting>
  <conditionalFormatting sqref="MQ31">
    <cfRule type="expression" dxfId="296" priority="6025">
      <formula>(AND($H$12&gt;=28, $H$12&lt;&gt;"Please Select"))</formula>
    </cfRule>
  </conditionalFormatting>
  <conditionalFormatting sqref="MQ88">
    <cfRule type="expression" dxfId="295" priority="2399">
      <formula>AND($H$64&gt;=28, $H$64&lt;&gt;"Please Select")</formula>
    </cfRule>
  </conditionalFormatting>
  <conditionalFormatting sqref="MQ39:MR40">
    <cfRule type="expression" dxfId="294" priority="6020">
      <formula>(AND($H$12&gt;=28, $H$12&lt;&gt;"Please Select"))</formula>
    </cfRule>
  </conditionalFormatting>
  <conditionalFormatting sqref="MQ41:MR41">
    <cfRule type="expression" dxfId="293" priority="6014">
      <formula>(AND($H$12&gt;=28, $H$12&lt;&gt;"Please Select"))</formula>
    </cfRule>
  </conditionalFormatting>
  <conditionalFormatting sqref="MQ43:MR43">
    <cfRule type="expression" dxfId="292" priority="6005">
      <formula>(AND($H$12&gt;=28, $H$12&lt;&gt;"Please Select"))</formula>
    </cfRule>
  </conditionalFormatting>
  <conditionalFormatting sqref="MQ44:MR48">
    <cfRule type="expression" dxfId="291" priority="6011">
      <formula>(AND($H$12&gt;=28, $H$12&lt;&gt;"Please Select"))</formula>
    </cfRule>
  </conditionalFormatting>
  <conditionalFormatting sqref="MQ91:MR91">
    <cfRule type="expression" dxfId="290" priority="124">
      <formula>AND($H$64&gt;=28, $H$64&lt;&gt;"Please Select")</formula>
    </cfRule>
    <cfRule type="expression" dxfId="289" priority="123">
      <formula>$MQ$91="No"</formula>
    </cfRule>
  </conditionalFormatting>
  <conditionalFormatting sqref="MQ92:MR92">
    <cfRule type="expression" dxfId="288" priority="2389">
      <formula>AND($H$64&gt;=28, $H$64&lt;&gt;"Please Select")</formula>
    </cfRule>
  </conditionalFormatting>
  <conditionalFormatting sqref="MQ95:MR95">
    <cfRule type="expression" dxfId="287" priority="641">
      <formula>AND($H$64&gt;=28, $H$64&lt;&gt;"Please Select")</formula>
    </cfRule>
  </conditionalFormatting>
  <conditionalFormatting sqref="MQ33:MS33">
    <cfRule type="expression" dxfId="286" priority="6024">
      <formula>(AND($H$12&gt;=28, $H$12&lt;&gt;"Please Select"))</formula>
    </cfRule>
  </conditionalFormatting>
  <conditionalFormatting sqref="MR98">
    <cfRule type="expression" dxfId="285" priority="833">
      <formula>MR$98="Pending"</formula>
    </cfRule>
  </conditionalFormatting>
  <conditionalFormatting sqref="MR98:MS122">
    <cfRule type="expression" dxfId="284" priority="836">
      <formula>AND($H$64&gt;=28, $H$64&lt;&gt;"Please Select")</formula>
    </cfRule>
  </conditionalFormatting>
  <conditionalFormatting sqref="MR99:MS99">
    <cfRule type="expression" dxfId="283" priority="831">
      <formula>MR$99="Pending"</formula>
    </cfRule>
  </conditionalFormatting>
  <conditionalFormatting sqref="MR100:MS100">
    <cfRule type="expression" dxfId="282" priority="829">
      <formula>MR$100="Pending"</formula>
    </cfRule>
  </conditionalFormatting>
  <conditionalFormatting sqref="MR101:MS101">
    <cfRule type="expression" dxfId="281" priority="827">
      <formula>MR$101="Pending"</formula>
    </cfRule>
  </conditionalFormatting>
  <conditionalFormatting sqref="MR102:MS102">
    <cfRule type="expression" dxfId="280" priority="825">
      <formula>MR$102="Pending"</formula>
    </cfRule>
  </conditionalFormatting>
  <conditionalFormatting sqref="MR103:MS103">
    <cfRule type="expression" dxfId="279" priority="823">
      <formula>MR$103="Pending"</formula>
    </cfRule>
  </conditionalFormatting>
  <conditionalFormatting sqref="MR104:MS104">
    <cfRule type="expression" dxfId="278" priority="821">
      <formula>MR$104="Pending"</formula>
    </cfRule>
  </conditionalFormatting>
  <conditionalFormatting sqref="MR105:MS105">
    <cfRule type="expression" dxfId="277" priority="819">
      <formula>MR$105="Pending"</formula>
    </cfRule>
  </conditionalFormatting>
  <conditionalFormatting sqref="MR106:MS106">
    <cfRule type="expression" dxfId="276" priority="817">
      <formula>MR$106="Pending"</formula>
    </cfRule>
  </conditionalFormatting>
  <conditionalFormatting sqref="MR107:MS107">
    <cfRule type="expression" dxfId="275" priority="815">
      <formula>MR$107="Pending"</formula>
    </cfRule>
  </conditionalFormatting>
  <conditionalFormatting sqref="MR108:MS108">
    <cfRule type="expression" dxfId="274" priority="813">
      <formula>MR$108="Pending"</formula>
    </cfRule>
  </conditionalFormatting>
  <conditionalFormatting sqref="MR109:MS109">
    <cfRule type="expression" dxfId="273" priority="811">
      <formula>MR$109="Pending"</formula>
    </cfRule>
  </conditionalFormatting>
  <conditionalFormatting sqref="MR110:MS110">
    <cfRule type="expression" dxfId="272" priority="809">
      <formula>MR$110="Pending"</formula>
    </cfRule>
  </conditionalFormatting>
  <conditionalFormatting sqref="MR111:MS111">
    <cfRule type="expression" dxfId="271" priority="807">
      <formula>MR$111="Pending"</formula>
    </cfRule>
  </conditionalFormatting>
  <conditionalFormatting sqref="MR112:MS112">
    <cfRule type="expression" dxfId="270" priority="805">
      <formula>MR$112="Pending"</formula>
    </cfRule>
  </conditionalFormatting>
  <conditionalFormatting sqref="MR113:MS113">
    <cfRule type="expression" dxfId="269" priority="803">
      <formula>MR$113="Pending"</formula>
    </cfRule>
  </conditionalFormatting>
  <conditionalFormatting sqref="MR114:MS114">
    <cfRule type="expression" dxfId="268" priority="801">
      <formula>MR$114="Pending"</formula>
    </cfRule>
  </conditionalFormatting>
  <conditionalFormatting sqref="MR115:MS115">
    <cfRule type="expression" dxfId="267" priority="799">
      <formula>MR$115="Pending"</formula>
    </cfRule>
  </conditionalFormatting>
  <conditionalFormatting sqref="MR116:MS116">
    <cfRule type="expression" dxfId="266" priority="797">
      <formula>MR$116="Pending"</formula>
    </cfRule>
  </conditionalFormatting>
  <conditionalFormatting sqref="MR117:MS117">
    <cfRule type="expression" dxfId="265" priority="795">
      <formula>MR$117="Pending"</formula>
    </cfRule>
  </conditionalFormatting>
  <conditionalFormatting sqref="MR118:MS118">
    <cfRule type="expression" dxfId="264" priority="793">
      <formula>MR$118="Pending"</formula>
    </cfRule>
  </conditionalFormatting>
  <conditionalFormatting sqref="MR119:MS119">
    <cfRule type="expression" dxfId="263" priority="791">
      <formula>MR$119="Pending"</formula>
    </cfRule>
  </conditionalFormatting>
  <conditionalFormatting sqref="MR120:MS120">
    <cfRule type="expression" dxfId="262" priority="789">
      <formula>MR$120="Pending"</formula>
    </cfRule>
  </conditionalFormatting>
  <conditionalFormatting sqref="MR121:MS121">
    <cfRule type="expression" dxfId="261" priority="787">
      <formula>MR$121="Pending"</formula>
    </cfRule>
  </conditionalFormatting>
  <conditionalFormatting sqref="MR122:MS122">
    <cfRule type="expression" dxfId="260" priority="785">
      <formula>MR$122="Pending"</formula>
    </cfRule>
  </conditionalFormatting>
  <conditionalFormatting sqref="MR52:MW52 MR55:MW55">
    <cfRule type="expression" dxfId="259" priority="5978">
      <formula>(AND($H$12&gt;=28, $H$12&lt;&gt;"Please Select"))</formula>
    </cfRule>
  </conditionalFormatting>
  <conditionalFormatting sqref="MR53:MW54">
    <cfRule type="expression" dxfId="258" priority="62">
      <formula>$MR$53&lt;&gt;""</formula>
    </cfRule>
  </conditionalFormatting>
  <conditionalFormatting sqref="MR126:MW126 MR129:MW129">
    <cfRule type="expression" dxfId="257" priority="2397">
      <formula>AND($H$64&gt;=28, $H$64&lt;&gt;"Please Select")</formula>
    </cfRule>
  </conditionalFormatting>
  <conditionalFormatting sqref="MR127:MW128">
    <cfRule type="expression" dxfId="256" priority="33">
      <formula>$MR$127&lt;&gt;""</formula>
    </cfRule>
  </conditionalFormatting>
  <conditionalFormatting sqref="MS30">
    <cfRule type="expression" dxfId="255" priority="6026">
      <formula>(AND($H$12&gt;=28, $H$12&lt;&gt;"Please Select"))</formula>
    </cfRule>
  </conditionalFormatting>
  <conditionalFormatting sqref="MS34">
    <cfRule type="expression" dxfId="254" priority="6023">
      <formula>(AND($H$12&gt;=28, $H$12&lt;&gt;"Please Select"))</formula>
    </cfRule>
    <cfRule type="expression" dxfId="253" priority="202">
      <formula>$MS$34="Pending"</formula>
    </cfRule>
  </conditionalFormatting>
  <conditionalFormatting sqref="MS35">
    <cfRule type="expression" dxfId="252" priority="6003">
      <formula>MS$34&lt;&gt;""</formula>
    </cfRule>
  </conditionalFormatting>
  <conditionalFormatting sqref="MS39:MS40">
    <cfRule type="expression" dxfId="251" priority="6019">
      <formula>(AND($H$12&gt;=28, $H$12&lt;&gt;"Please Select"))</formula>
    </cfRule>
  </conditionalFormatting>
  <conditionalFormatting sqref="MS41">
    <cfRule type="expression" dxfId="250" priority="6013">
      <formula>(AND($H$12&gt;=28, $H$12&lt;&gt;"Please Select"))</formula>
    </cfRule>
  </conditionalFormatting>
  <conditionalFormatting sqref="MS87">
    <cfRule type="expression" dxfId="249" priority="2400">
      <formula>AND($H$64&gt;=28, $H$64&lt;&gt;"Please Select")</formula>
    </cfRule>
  </conditionalFormatting>
  <conditionalFormatting sqref="MT97:MU97">
    <cfRule type="expression" dxfId="248" priority="834">
      <formula>MT$97&lt;&gt;""</formula>
    </cfRule>
  </conditionalFormatting>
  <conditionalFormatting sqref="MT98:MU98">
    <cfRule type="expression" dxfId="247" priority="832">
      <formula>MR$98="Pending"</formula>
    </cfRule>
  </conditionalFormatting>
  <conditionalFormatting sqref="MT99:MU99">
    <cfRule type="expression" dxfId="246" priority="830">
      <formula>MR$99="Pending"</formula>
    </cfRule>
  </conditionalFormatting>
  <conditionalFormatting sqref="MT100:MU100">
    <cfRule type="expression" dxfId="245" priority="828">
      <formula>MR$100="Pending"</formula>
    </cfRule>
  </conditionalFormatting>
  <conditionalFormatting sqref="MT101:MU101">
    <cfRule type="expression" dxfId="244" priority="826">
      <formula>MR$101="Pending"</formula>
    </cfRule>
  </conditionalFormatting>
  <conditionalFormatting sqref="MT102:MU102">
    <cfRule type="expression" dxfId="243" priority="824">
      <formula>MR$102="Pending"</formula>
    </cfRule>
  </conditionalFormatting>
  <conditionalFormatting sqref="MT103:MU103">
    <cfRule type="expression" dxfId="242" priority="822">
      <formula>MR$103="Pending"</formula>
    </cfRule>
  </conditionalFormatting>
  <conditionalFormatting sqref="MT104:MU104">
    <cfRule type="expression" dxfId="241" priority="820">
      <formula>MR$104="Pending"</formula>
    </cfRule>
  </conditionalFormatting>
  <conditionalFormatting sqref="MT105:MU105">
    <cfRule type="expression" dxfId="240" priority="818">
      <formula>MR$105="Pending"</formula>
    </cfRule>
  </conditionalFormatting>
  <conditionalFormatting sqref="MT106:MU106">
    <cfRule type="expression" dxfId="239" priority="816">
      <formula>MR$106="Pending"</formula>
    </cfRule>
  </conditionalFormatting>
  <conditionalFormatting sqref="MT107:MU107">
    <cfRule type="expression" dxfId="238" priority="814">
      <formula>MR$107="Pending"</formula>
    </cfRule>
  </conditionalFormatting>
  <conditionalFormatting sqref="MT108:MU108">
    <cfRule type="expression" dxfId="237" priority="812">
      <formula>MR$108="Pending"</formula>
    </cfRule>
  </conditionalFormatting>
  <conditionalFormatting sqref="MT109:MU109">
    <cfRule type="expression" dxfId="236" priority="810">
      <formula>MR$109="Pending"</formula>
    </cfRule>
  </conditionalFormatting>
  <conditionalFormatting sqref="MT110:MU110">
    <cfRule type="expression" dxfId="235" priority="808">
      <formula>MR$110="Pending"</formula>
    </cfRule>
  </conditionalFormatting>
  <conditionalFormatting sqref="MT111:MU111">
    <cfRule type="expression" dxfId="234" priority="806">
      <formula>MR$111="Pending"</formula>
    </cfRule>
  </conditionalFormatting>
  <conditionalFormatting sqref="MT112:MU112">
    <cfRule type="expression" dxfId="233" priority="804">
      <formula>MR$112="Pending"</formula>
    </cfRule>
  </conditionalFormatting>
  <conditionalFormatting sqref="MT113:MU113">
    <cfRule type="expression" dxfId="232" priority="802">
      <formula>MR$113="Pending"</formula>
    </cfRule>
  </conditionalFormatting>
  <conditionalFormatting sqref="MT114:MU114">
    <cfRule type="expression" dxfId="231" priority="800">
      <formula>MR$114="Pending"</formula>
    </cfRule>
  </conditionalFormatting>
  <conditionalFormatting sqref="MT115:MU115">
    <cfRule type="expression" dxfId="230" priority="798">
      <formula>MR$115="Pending"</formula>
    </cfRule>
  </conditionalFormatting>
  <conditionalFormatting sqref="MT116:MU116">
    <cfRule type="expression" dxfId="229" priority="796">
      <formula>MR$116="Pending"</formula>
    </cfRule>
  </conditionalFormatting>
  <conditionalFormatting sqref="MT117:MU117">
    <cfRule type="expression" dxfId="228" priority="794">
      <formula>MR$117="Pending"</formula>
    </cfRule>
  </conditionalFormatting>
  <conditionalFormatting sqref="MT118:MU118">
    <cfRule type="expression" dxfId="227" priority="792">
      <formula>MR$118="Pending"</formula>
    </cfRule>
  </conditionalFormatting>
  <conditionalFormatting sqref="MT119:MU119">
    <cfRule type="expression" dxfId="226" priority="790">
      <formula>MR$119="Pending"</formula>
    </cfRule>
  </conditionalFormatting>
  <conditionalFormatting sqref="MT120:MU120">
    <cfRule type="expression" dxfId="225" priority="788">
      <formula>MR$120="Pending"</formula>
    </cfRule>
  </conditionalFormatting>
  <conditionalFormatting sqref="MT121:MU121">
    <cfRule type="expression" dxfId="224" priority="786">
      <formula>MR$121="Pending"</formula>
    </cfRule>
  </conditionalFormatting>
  <conditionalFormatting sqref="MT122:MU122">
    <cfRule type="expression" dxfId="223" priority="784">
      <formula>MR$122="Pending"</formula>
    </cfRule>
  </conditionalFormatting>
  <conditionalFormatting sqref="MV27:MY28">
    <cfRule type="expression" dxfId="222" priority="5581">
      <formula>MV$27&lt;&gt;""</formula>
    </cfRule>
  </conditionalFormatting>
  <conditionalFormatting sqref="MV84:MY85">
    <cfRule type="expression" dxfId="221" priority="2404">
      <formula>MV$84&lt;&gt;""</formula>
    </cfRule>
  </conditionalFormatting>
  <conditionalFormatting sqref="MV147:MY148">
    <cfRule type="expression" dxfId="220" priority="253">
      <formula>MV$27&lt;&gt;""</formula>
    </cfRule>
  </conditionalFormatting>
  <conditionalFormatting sqref="MX55:NA55">
    <cfRule type="expression" dxfId="219" priority="635">
      <formula>MX55&lt;&gt;""</formula>
    </cfRule>
  </conditionalFormatting>
  <conditionalFormatting sqref="MX129:NA129">
    <cfRule type="expression" dxfId="218" priority="578">
      <formula>MX129&lt;&gt;""</formula>
    </cfRule>
  </conditionalFormatting>
  <conditionalFormatting sqref="NB39:NB40">
    <cfRule type="expression" dxfId="217" priority="5688">
      <formula>(AND($H$12&gt;=29, $H$12&lt;&gt;"Please Select"))</formula>
    </cfRule>
  </conditionalFormatting>
  <conditionalFormatting sqref="NB41">
    <cfRule type="expression" dxfId="216" priority="5684">
      <formula>(AND($H$12&gt;=29, $H$12&lt;&gt;"Please Select"))</formula>
    </cfRule>
  </conditionalFormatting>
  <conditionalFormatting sqref="NB43">
    <cfRule type="expression" dxfId="215" priority="5683">
      <formula>(AND($H$12&gt;=29, $H$12&lt;&gt;"Please Select"))</formula>
    </cfRule>
  </conditionalFormatting>
  <conditionalFormatting sqref="NB44">
    <cfRule type="expression" dxfId="214" priority="5682">
      <formula>(AND($H$12&gt;=29, $H$12&lt;&gt;"Please Select"))</formula>
    </cfRule>
  </conditionalFormatting>
  <conditionalFormatting sqref="NB45">
    <cfRule type="expression" dxfId="213" priority="5676">
      <formula>(AND($H$12&gt;=29, $H$12&lt;&gt;"Please Select"))</formula>
    </cfRule>
  </conditionalFormatting>
  <conditionalFormatting sqref="NB46">
    <cfRule type="expression" dxfId="212" priority="5675">
      <formula>(AND($H$12&gt;=29, $H$12&lt;&gt;"Please Select"))</formula>
    </cfRule>
  </conditionalFormatting>
  <conditionalFormatting sqref="NB47">
    <cfRule type="expression" dxfId="211" priority="5674">
      <formula>(AND($H$12&gt;=29, $H$12&lt;&gt;"Please Select"))</formula>
    </cfRule>
  </conditionalFormatting>
  <conditionalFormatting sqref="NB48">
    <cfRule type="expression" dxfId="210" priority="5673">
      <formula>(AND($H$12&gt;=29, $H$12&lt;&gt;"Please Select"))</formula>
    </cfRule>
  </conditionalFormatting>
  <conditionalFormatting sqref="NB96">
    <cfRule type="expression" dxfId="209" priority="780">
      <formula>AND($H$64&gt;=29, $H$64&lt;&gt;"Please Select")</formula>
    </cfRule>
  </conditionalFormatting>
  <conditionalFormatting sqref="NB98:ND122">
    <cfRule type="expression" dxfId="208" priority="782">
      <formula>AND($H$64&gt;=29, $H$64&lt;&gt;"Please Select")</formula>
    </cfRule>
  </conditionalFormatting>
  <conditionalFormatting sqref="NB97:NF97">
    <cfRule type="expression" dxfId="207" priority="783">
      <formula>AND($H$64&gt;=29, $H$64&lt;&gt;"Please Select")</formula>
    </cfRule>
  </conditionalFormatting>
  <conditionalFormatting sqref="NB25:NH25">
    <cfRule type="expression" dxfId="206" priority="5697">
      <formula>(AND($H$12&gt;=29, $H$12&lt;&gt;"Please Select"))</formula>
    </cfRule>
  </conditionalFormatting>
  <conditionalFormatting sqref="NB82:NH82">
    <cfRule type="expression" dxfId="205" priority="2383">
      <formula>AND($H$64&gt;=29, $H$64&lt;&gt;"Please Select")</formula>
    </cfRule>
  </conditionalFormatting>
  <conditionalFormatting sqref="NB51:NJ51">
    <cfRule type="expression" dxfId="204" priority="5670">
      <formula>(AND($H$12&gt;=29, $H$12&lt;&gt;"Please Select"))</formula>
    </cfRule>
  </conditionalFormatting>
  <conditionalFormatting sqref="NB125:NJ125">
    <cfRule type="expression" dxfId="203" priority="2378">
      <formula>AND($H$64&gt;=29, $H$64&lt;&gt;"Please Select")</formula>
    </cfRule>
  </conditionalFormatting>
  <conditionalFormatting sqref="NC39:NC40">
    <cfRule type="expression" dxfId="202" priority="5687">
      <formula>(AND($H$12&gt;=29, $H$12&lt;&gt;"Please Select"))</formula>
    </cfRule>
  </conditionalFormatting>
  <conditionalFormatting sqref="NC41">
    <cfRule type="expression" dxfId="201" priority="5681">
      <formula>(AND($H$12&gt;=29, $H$12&lt;&gt;"Please Select"))</formula>
    </cfRule>
  </conditionalFormatting>
  <conditionalFormatting sqref="NC43">
    <cfRule type="expression" dxfId="200" priority="5672">
      <formula>(AND($H$12&gt;=29, $H$12&lt;&gt;"Please Select"))</formula>
    </cfRule>
  </conditionalFormatting>
  <conditionalFormatting sqref="NC44:NC48">
    <cfRule type="expression" dxfId="199" priority="5678">
      <formula>(AND($H$12&gt;=29, $H$12&lt;&gt;"Please Select"))</formula>
    </cfRule>
  </conditionalFormatting>
  <conditionalFormatting sqref="NC30:ND30">
    <cfRule type="expression" dxfId="198" priority="5693">
      <formula>(AND($H$12&gt;=29, $H$12&lt;&gt;"Please Select"))</formula>
    </cfRule>
  </conditionalFormatting>
  <conditionalFormatting sqref="NC87:ND87">
    <cfRule type="expression" dxfId="197" priority="2381">
      <formula>AND($H$64&gt;=29, $H$64&lt;&gt;"Please Select")</formula>
    </cfRule>
  </conditionalFormatting>
  <conditionalFormatting sqref="NC27:NF27">
    <cfRule type="expression" dxfId="196" priority="5696">
      <formula>(AND($H$12&gt;=29, $H$12&lt;&gt;"Please Select"))</formula>
    </cfRule>
  </conditionalFormatting>
  <conditionalFormatting sqref="NC28:NF28">
    <cfRule type="expression" dxfId="195" priority="5695">
      <formula>(AND($H$12&gt;=29, $H$12&lt;&gt;"Please Select"))</formula>
    </cfRule>
  </conditionalFormatting>
  <conditionalFormatting sqref="NC29:NF29">
    <cfRule type="expression" dxfId="194" priority="5694">
      <formula>(AND($H$12&gt;=29, $H$12&lt;&gt;"Please Select"))</formula>
    </cfRule>
  </conditionalFormatting>
  <conditionalFormatting sqref="NC84:NF86">
    <cfRule type="expression" dxfId="193" priority="2382">
      <formula>AND($H$64&gt;=29, $H$64&lt;&gt;"Please Select")</formula>
    </cfRule>
  </conditionalFormatting>
  <conditionalFormatting sqref="ND31">
    <cfRule type="expression" dxfId="192" priority="5691">
      <formula>(AND($H$12&gt;=29, $H$12&lt;&gt;"Please Select"))</formula>
    </cfRule>
  </conditionalFormatting>
  <conditionalFormatting sqref="ND88">
    <cfRule type="expression" dxfId="191" priority="2379">
      <formula>AND($H$64&gt;=29, $H$64&lt;&gt;"Please Select")</formula>
    </cfRule>
  </conditionalFormatting>
  <conditionalFormatting sqref="ND39:NE40">
    <cfRule type="expression" dxfId="190" priority="5686">
      <formula>(AND($H$12&gt;=29, $H$12&lt;&gt;"Please Select"))</formula>
    </cfRule>
  </conditionalFormatting>
  <conditionalFormatting sqref="ND41:NE41">
    <cfRule type="expression" dxfId="189" priority="5680">
      <formula>(AND($H$12&gt;=29, $H$12&lt;&gt;"Please Select"))</formula>
    </cfRule>
  </conditionalFormatting>
  <conditionalFormatting sqref="ND43:NE43">
    <cfRule type="expression" dxfId="188" priority="5671">
      <formula>(AND($H$12&gt;=29, $H$12&lt;&gt;"Please Select"))</formula>
    </cfRule>
  </conditionalFormatting>
  <conditionalFormatting sqref="ND44:NE48">
    <cfRule type="expression" dxfId="187" priority="5677">
      <formula>(AND($H$12&gt;=29, $H$12&lt;&gt;"Please Select"))</formula>
    </cfRule>
  </conditionalFormatting>
  <conditionalFormatting sqref="ND91:NE91">
    <cfRule type="expression" dxfId="186" priority="122">
      <formula>AND($H$64&gt;=29, $H$64&lt;&gt;"Please Select")</formula>
    </cfRule>
    <cfRule type="expression" dxfId="185" priority="121">
      <formula>$ND$91="No"</formula>
    </cfRule>
  </conditionalFormatting>
  <conditionalFormatting sqref="ND92:NE92">
    <cfRule type="expression" dxfId="184" priority="2369">
      <formula>AND($H$64&gt;=29, $H$64&lt;&gt;"Please Select")</formula>
    </cfRule>
  </conditionalFormatting>
  <conditionalFormatting sqref="ND95:NE95">
    <cfRule type="expression" dxfId="183" priority="640">
      <formula>AND($H$64&gt;=29, $H$64&lt;&gt;"Please Select")</formula>
    </cfRule>
  </conditionalFormatting>
  <conditionalFormatting sqref="ND33:NF33">
    <cfRule type="expression" dxfId="182" priority="5690">
      <formula>(AND($H$12&gt;=29, $H$12&lt;&gt;"Please Select"))</formula>
    </cfRule>
  </conditionalFormatting>
  <conditionalFormatting sqref="NE98">
    <cfRule type="expression" dxfId="181" priority="778">
      <formula>NE$98="Pending"</formula>
    </cfRule>
  </conditionalFormatting>
  <conditionalFormatting sqref="NE98:NF122">
    <cfRule type="expression" dxfId="180" priority="781">
      <formula>AND($H$64&gt;=29, $H$64&lt;&gt;"Please Select")</formula>
    </cfRule>
  </conditionalFormatting>
  <conditionalFormatting sqref="NE99:NF99">
    <cfRule type="expression" dxfId="179" priority="776">
      <formula>NE$99="Pending"</formula>
    </cfRule>
  </conditionalFormatting>
  <conditionalFormatting sqref="NE100:NF100">
    <cfRule type="expression" dxfId="178" priority="774">
      <formula>NE$100="Pending"</formula>
    </cfRule>
  </conditionalFormatting>
  <conditionalFormatting sqref="NE101:NF101">
    <cfRule type="expression" dxfId="177" priority="772">
      <formula>NE$101="Pending"</formula>
    </cfRule>
  </conditionalFormatting>
  <conditionalFormatting sqref="NE102:NF102">
    <cfRule type="expression" dxfId="176" priority="770">
      <formula>NE$102="Pending"</formula>
    </cfRule>
  </conditionalFormatting>
  <conditionalFormatting sqref="NE103:NF103">
    <cfRule type="expression" dxfId="175" priority="768">
      <formula>NE$103="Pending"</formula>
    </cfRule>
  </conditionalFormatting>
  <conditionalFormatting sqref="NE104:NF104">
    <cfRule type="expression" dxfId="174" priority="766">
      <formula>NE$104="Pending"</formula>
    </cfRule>
  </conditionalFormatting>
  <conditionalFormatting sqref="NE105:NF105">
    <cfRule type="expression" dxfId="173" priority="764">
      <formula>NE$105="Pending"</formula>
    </cfRule>
  </conditionalFormatting>
  <conditionalFormatting sqref="NE106:NF106">
    <cfRule type="expression" dxfId="172" priority="762">
      <formula>NE$106="Pending"</formula>
    </cfRule>
  </conditionalFormatting>
  <conditionalFormatting sqref="NE107:NF107">
    <cfRule type="expression" dxfId="171" priority="760">
      <formula>NE$107="Pending"</formula>
    </cfRule>
  </conditionalFormatting>
  <conditionalFormatting sqref="NE108:NF108">
    <cfRule type="expression" dxfId="170" priority="758">
      <formula>NE$108="Pending"</formula>
    </cfRule>
  </conditionalFormatting>
  <conditionalFormatting sqref="NE109:NF109">
    <cfRule type="expression" dxfId="169" priority="756">
      <formula>NE$109="Pending"</formula>
    </cfRule>
  </conditionalFormatting>
  <conditionalFormatting sqref="NE110:NF110">
    <cfRule type="expression" dxfId="168" priority="754">
      <formula>NE$110="Pending"</formula>
    </cfRule>
  </conditionalFormatting>
  <conditionalFormatting sqref="NE111:NF111">
    <cfRule type="expression" dxfId="167" priority="752">
      <formula>NE$111="Pending"</formula>
    </cfRule>
  </conditionalFormatting>
  <conditionalFormatting sqref="NE112:NF112">
    <cfRule type="expression" dxfId="166" priority="750">
      <formula>NE$112="Pending"</formula>
    </cfRule>
  </conditionalFormatting>
  <conditionalFormatting sqref="NE113:NF113">
    <cfRule type="expression" dxfId="165" priority="748">
      <formula>NE$113="Pending"</formula>
    </cfRule>
  </conditionalFormatting>
  <conditionalFormatting sqref="NE114:NF114">
    <cfRule type="expression" dxfId="164" priority="746">
      <formula>NE$114="Pending"</formula>
    </cfRule>
  </conditionalFormatting>
  <conditionalFormatting sqref="NE115:NF115">
    <cfRule type="expression" dxfId="163" priority="744">
      <formula>NE$115="Pending"</formula>
    </cfRule>
  </conditionalFormatting>
  <conditionalFormatting sqref="NE116:NF116">
    <cfRule type="expression" dxfId="162" priority="742">
      <formula>NE$116="Pending"</formula>
    </cfRule>
  </conditionalFormatting>
  <conditionalFormatting sqref="NE117:NF117">
    <cfRule type="expression" dxfId="161" priority="740">
      <formula>NE$117="Pending"</formula>
    </cfRule>
  </conditionalFormatting>
  <conditionalFormatting sqref="NE118:NF118">
    <cfRule type="expression" dxfId="160" priority="738">
      <formula>NE$118="Pending"</formula>
    </cfRule>
  </conditionalFormatting>
  <conditionalFormatting sqref="NE119:NF119">
    <cfRule type="expression" dxfId="159" priority="736">
      <formula>NE$119="Pending"</formula>
    </cfRule>
  </conditionalFormatting>
  <conditionalFormatting sqref="NE120:NF120">
    <cfRule type="expression" dxfId="158" priority="734">
      <formula>NE$120="Pending"</formula>
    </cfRule>
  </conditionalFormatting>
  <conditionalFormatting sqref="NE121:NF121">
    <cfRule type="expression" dxfId="157" priority="732">
      <formula>NE$121="Pending"</formula>
    </cfRule>
  </conditionalFormatting>
  <conditionalFormatting sqref="NE122:NF122">
    <cfRule type="expression" dxfId="156" priority="730">
      <formula>NE$122="Pending"</formula>
    </cfRule>
  </conditionalFormatting>
  <conditionalFormatting sqref="NE52:NJ52 NE55:NJ55">
    <cfRule type="expression" dxfId="155" priority="5668">
      <formula>(AND($H$12&gt;=29, $H$12&lt;&gt;"Please Select"))</formula>
    </cfRule>
  </conditionalFormatting>
  <conditionalFormatting sqref="NE53:NJ54">
    <cfRule type="expression" dxfId="154" priority="63">
      <formula>$NE$53&lt;&gt;""</formula>
    </cfRule>
  </conditionalFormatting>
  <conditionalFormatting sqref="NE126:NJ126 NE129:NJ129">
    <cfRule type="expression" dxfId="153" priority="2377">
      <formula>AND($H$64&gt;=29, $H$64&lt;&gt;"Please Select")</formula>
    </cfRule>
  </conditionalFormatting>
  <conditionalFormatting sqref="NE127:NJ128">
    <cfRule type="expression" dxfId="152" priority="34">
      <formula>$NE$127&lt;&gt;""</formula>
    </cfRule>
  </conditionalFormatting>
  <conditionalFormatting sqref="NF30">
    <cfRule type="expression" dxfId="151" priority="5692">
      <formula>(AND($H$12&gt;=29, $H$12&lt;&gt;"Please Select"))</formula>
    </cfRule>
  </conditionalFormatting>
  <conditionalFormatting sqref="NF34">
    <cfRule type="expression" dxfId="150" priority="203">
      <formula>$NF$34="Pending"</formula>
    </cfRule>
    <cfRule type="expression" dxfId="149" priority="5689">
      <formula>(AND($H$12&gt;=29, $H$12&lt;&gt;"Please Select"))</formula>
    </cfRule>
  </conditionalFormatting>
  <conditionalFormatting sqref="NF35">
    <cfRule type="expression" dxfId="148" priority="5669">
      <formula>NF$34&lt;&gt;""</formula>
    </cfRule>
  </conditionalFormatting>
  <conditionalFormatting sqref="NF39:NF40">
    <cfRule type="expression" dxfId="147" priority="5685">
      <formula>(AND($H$12&gt;=29, $H$12&lt;&gt;"Please Select"))</formula>
    </cfRule>
  </conditionalFormatting>
  <conditionalFormatting sqref="NF41">
    <cfRule type="expression" dxfId="146" priority="5679">
      <formula>(AND($H$12&gt;=29, $H$12&lt;&gt;"Please Select"))</formula>
    </cfRule>
  </conditionalFormatting>
  <conditionalFormatting sqref="NF87">
    <cfRule type="expression" dxfId="145" priority="2380">
      <formula>AND($H$64&gt;=29, $H$64&lt;&gt;"Please Select")</formula>
    </cfRule>
  </conditionalFormatting>
  <conditionalFormatting sqref="NG97:NH97">
    <cfRule type="expression" dxfId="144" priority="779">
      <formula>NG$97&lt;&gt;""</formula>
    </cfRule>
  </conditionalFormatting>
  <conditionalFormatting sqref="NG98:NH98">
    <cfRule type="expression" dxfId="143" priority="777">
      <formula>NE$98="Pending"</formula>
    </cfRule>
  </conditionalFormatting>
  <conditionalFormatting sqref="NG99:NH99">
    <cfRule type="expression" dxfId="142" priority="775">
      <formula>NE$99="Pending"</formula>
    </cfRule>
  </conditionalFormatting>
  <conditionalFormatting sqref="NG100:NH100">
    <cfRule type="expression" dxfId="141" priority="773">
      <formula>NE$100="Pending"</formula>
    </cfRule>
  </conditionalFormatting>
  <conditionalFormatting sqref="NG101:NH101">
    <cfRule type="expression" dxfId="140" priority="771">
      <formula>NE$101="Pending"</formula>
    </cfRule>
  </conditionalFormatting>
  <conditionalFormatting sqref="NG102:NH102">
    <cfRule type="expression" dxfId="139" priority="769">
      <formula>NE$102="Pending"</formula>
    </cfRule>
  </conditionalFormatting>
  <conditionalFormatting sqref="NG103:NH103">
    <cfRule type="expression" dxfId="138" priority="767">
      <formula>NE$103="Pending"</formula>
    </cfRule>
  </conditionalFormatting>
  <conditionalFormatting sqref="NG104:NH104">
    <cfRule type="expression" dxfId="137" priority="765">
      <formula>NE$104="Pending"</formula>
    </cfRule>
  </conditionalFormatting>
  <conditionalFormatting sqref="NG105:NH105">
    <cfRule type="expression" dxfId="136" priority="763">
      <formula>NE$105="Pending"</formula>
    </cfRule>
  </conditionalFormatting>
  <conditionalFormatting sqref="NG106:NH106">
    <cfRule type="expression" dxfId="135" priority="761">
      <formula>NE$106="Pending"</formula>
    </cfRule>
  </conditionalFormatting>
  <conditionalFormatting sqref="NG107:NH107">
    <cfRule type="expression" dxfId="134" priority="759">
      <formula>NE$107="Pending"</formula>
    </cfRule>
  </conditionalFormatting>
  <conditionalFormatting sqref="NG108:NH108">
    <cfRule type="expression" dxfId="133" priority="757">
      <formula>NE$108="Pending"</formula>
    </cfRule>
  </conditionalFormatting>
  <conditionalFormatting sqref="NG109:NH109">
    <cfRule type="expression" dxfId="132" priority="755">
      <formula>NE$109="Pending"</formula>
    </cfRule>
  </conditionalFormatting>
  <conditionalFormatting sqref="NG110:NH110">
    <cfRule type="expression" dxfId="131" priority="753">
      <formula>NE$110="Pending"</formula>
    </cfRule>
  </conditionalFormatting>
  <conditionalFormatting sqref="NG111:NH111">
    <cfRule type="expression" dxfId="130" priority="751">
      <formula>NE$111="Pending"</formula>
    </cfRule>
  </conditionalFormatting>
  <conditionalFormatting sqref="NG112:NH112">
    <cfRule type="expression" dxfId="129" priority="749">
      <formula>NE$112="Pending"</formula>
    </cfRule>
  </conditionalFormatting>
  <conditionalFormatting sqref="NG113:NH113">
    <cfRule type="expression" dxfId="128" priority="747">
      <formula>NE$113="Pending"</formula>
    </cfRule>
  </conditionalFormatting>
  <conditionalFormatting sqref="NG114:NH114">
    <cfRule type="expression" dxfId="127" priority="745">
      <formula>NE$114="Pending"</formula>
    </cfRule>
  </conditionalFormatting>
  <conditionalFormatting sqref="NG115:NH115">
    <cfRule type="expression" dxfId="126" priority="743">
      <formula>NE$115="Pending"</formula>
    </cfRule>
  </conditionalFormatting>
  <conditionalFormatting sqref="NG116:NH116">
    <cfRule type="expression" dxfId="125" priority="741">
      <formula>NE$116="Pending"</formula>
    </cfRule>
  </conditionalFormatting>
  <conditionalFormatting sqref="NG117:NH117">
    <cfRule type="expression" dxfId="124" priority="739">
      <formula>NE$117="Pending"</formula>
    </cfRule>
  </conditionalFormatting>
  <conditionalFormatting sqref="NG118:NH118">
    <cfRule type="expression" dxfId="123" priority="737">
      <formula>NE$118="Pending"</formula>
    </cfRule>
  </conditionalFormatting>
  <conditionalFormatting sqref="NG119:NH119">
    <cfRule type="expression" dxfId="122" priority="735">
      <formula>NE$119="Pending"</formula>
    </cfRule>
  </conditionalFormatting>
  <conditionalFormatting sqref="NG120:NH120">
    <cfRule type="expression" dxfId="121" priority="733">
      <formula>NE$120="Pending"</formula>
    </cfRule>
  </conditionalFormatting>
  <conditionalFormatting sqref="NG121:NH121">
    <cfRule type="expression" dxfId="120" priority="731">
      <formula>NE$121="Pending"</formula>
    </cfRule>
  </conditionalFormatting>
  <conditionalFormatting sqref="NG122:NH122">
    <cfRule type="expression" dxfId="119" priority="729">
      <formula>NE$122="Pending"</formula>
    </cfRule>
  </conditionalFormatting>
  <conditionalFormatting sqref="NI27:NL28">
    <cfRule type="expression" dxfId="118" priority="5580">
      <formula>NI$27&lt;&gt;""</formula>
    </cfRule>
  </conditionalFormatting>
  <conditionalFormatting sqref="NI84:NL85">
    <cfRule type="expression" dxfId="117" priority="2384">
      <formula>NI$84&lt;&gt;""</formula>
    </cfRule>
  </conditionalFormatting>
  <conditionalFormatting sqref="NI147:NL148">
    <cfRule type="expression" dxfId="116" priority="252">
      <formula>NI$27&lt;&gt;""</formula>
    </cfRule>
  </conditionalFormatting>
  <conditionalFormatting sqref="NK55:NN55">
    <cfRule type="expression" dxfId="115" priority="636">
      <formula>NK55&lt;&gt;""</formula>
    </cfRule>
  </conditionalFormatting>
  <conditionalFormatting sqref="NK129:NN129">
    <cfRule type="expression" dxfId="114" priority="577">
      <formula>NK129&lt;&gt;""</formula>
    </cfRule>
  </conditionalFormatting>
  <conditionalFormatting sqref="NO39:NO40">
    <cfRule type="expression" dxfId="113" priority="5657">
      <formula>(AND($H$12&gt;=30, $H$12&lt;&gt;"Please Select"))</formula>
    </cfRule>
  </conditionalFormatting>
  <conditionalFormatting sqref="NO41">
    <cfRule type="expression" dxfId="112" priority="5653">
      <formula>(AND($H$12&gt;=30, $H$12&lt;&gt;"Please Select"))</formula>
    </cfRule>
  </conditionalFormatting>
  <conditionalFormatting sqref="NO43">
    <cfRule type="expression" dxfId="111" priority="5652">
      <formula>(AND($H$12&gt;=30, $H$12&lt;&gt;"Please Select"))</formula>
    </cfRule>
  </conditionalFormatting>
  <conditionalFormatting sqref="NO44">
    <cfRule type="expression" dxfId="110" priority="5651">
      <formula>(AND($H$12&gt;=30, $H$12&lt;&gt;"Please Select"))</formula>
    </cfRule>
  </conditionalFormatting>
  <conditionalFormatting sqref="NO45">
    <cfRule type="expression" dxfId="109" priority="5645">
      <formula>(AND($H$12&gt;=30, $H$12&lt;&gt;"Please Select"))</formula>
    </cfRule>
  </conditionalFormatting>
  <conditionalFormatting sqref="NO46">
    <cfRule type="expression" dxfId="108" priority="5644">
      <formula>(AND($H$12&gt;=30, $H$12&lt;&gt;"Please Select"))</formula>
    </cfRule>
  </conditionalFormatting>
  <conditionalFormatting sqref="NO47">
    <cfRule type="expression" dxfId="107" priority="5643">
      <formula>(AND($H$12&gt;=30, $H$12&lt;&gt;"Please Select"))</formula>
    </cfRule>
  </conditionalFormatting>
  <conditionalFormatting sqref="NO48">
    <cfRule type="expression" dxfId="106" priority="5642">
      <formula>(AND($H$12&gt;=30, $H$12&lt;&gt;"Please Select"))</formula>
    </cfRule>
  </conditionalFormatting>
  <conditionalFormatting sqref="NO96">
    <cfRule type="expression" dxfId="105" priority="725">
      <formula>AND($H$64&gt;=30, $H$64&lt;&gt;"Please Select")</formula>
    </cfRule>
  </conditionalFormatting>
  <conditionalFormatting sqref="NO98:NQ122">
    <cfRule type="expression" dxfId="104" priority="727">
      <formula>AND($H$64&gt;=30, $H$64&lt;&gt;"Please Select")</formula>
    </cfRule>
  </conditionalFormatting>
  <conditionalFormatting sqref="NO97:NS97">
    <cfRule type="expression" dxfId="103" priority="728">
      <formula>AND($H$64&gt;=30, $H$64&lt;&gt;"Please Select")</formula>
    </cfRule>
  </conditionalFormatting>
  <conditionalFormatting sqref="NO25:NU25">
    <cfRule type="expression" dxfId="102" priority="5666">
      <formula>(AND($H$12&gt;=30, $H$12&lt;&gt;"Please Select"))</formula>
    </cfRule>
  </conditionalFormatting>
  <conditionalFormatting sqref="NO82:NU82">
    <cfRule type="expression" dxfId="101" priority="2363">
      <formula>AND($H$64&gt;=30, $H$64&lt;&gt;"Please Select")</formula>
    </cfRule>
  </conditionalFormatting>
  <conditionalFormatting sqref="NO51:NW51">
    <cfRule type="expression" dxfId="100" priority="5639">
      <formula>(AND($H$12&gt;=30, $H$12&lt;&gt;"Please Select"))</formula>
    </cfRule>
  </conditionalFormatting>
  <conditionalFormatting sqref="NO125:NW125">
    <cfRule type="expression" dxfId="99" priority="2358">
      <formula>AND($H$64&gt;=30, $H$64&lt;&gt;"Please Select")</formula>
    </cfRule>
  </conditionalFormatting>
  <conditionalFormatting sqref="NP39:NP40">
    <cfRule type="expression" dxfId="98" priority="5656">
      <formula>(AND($H$12&gt;=30, $H$12&lt;&gt;"Please Select"))</formula>
    </cfRule>
  </conditionalFormatting>
  <conditionalFormatting sqref="NP41">
    <cfRule type="expression" dxfId="97" priority="5650">
      <formula>(AND($H$12&gt;=30, $H$12&lt;&gt;"Please Select"))</formula>
    </cfRule>
  </conditionalFormatting>
  <conditionalFormatting sqref="NP43">
    <cfRule type="expression" dxfId="96" priority="5641">
      <formula>(AND($H$12&gt;=30, $H$12&lt;&gt;"Please Select"))</formula>
    </cfRule>
  </conditionalFormatting>
  <conditionalFormatting sqref="NP44:NP48">
    <cfRule type="expression" dxfId="95" priority="5647">
      <formula>(AND($H$12&gt;=30, $H$12&lt;&gt;"Please Select"))</formula>
    </cfRule>
  </conditionalFormatting>
  <conditionalFormatting sqref="NP30:NQ30">
    <cfRule type="expression" dxfId="94" priority="5662">
      <formula>(AND($H$12&gt;=30, $H$12&lt;&gt;"Please Select"))</formula>
    </cfRule>
  </conditionalFormatting>
  <conditionalFormatting sqref="NP87:NQ87">
    <cfRule type="expression" dxfId="93" priority="2361">
      <formula>AND($H$64&gt;=30, $H$64&lt;&gt;"Please Select")</formula>
    </cfRule>
  </conditionalFormatting>
  <conditionalFormatting sqref="NP27:NS27">
    <cfRule type="expression" dxfId="92" priority="5665">
      <formula>(AND($H$12&gt;=30, $H$12&lt;&gt;"Please Select"))</formula>
    </cfRule>
  </conditionalFormatting>
  <conditionalFormatting sqref="NP28:NS28">
    <cfRule type="expression" dxfId="91" priority="5664">
      <formula>(AND($H$12&gt;=30, $H$12&lt;&gt;"Please Select"))</formula>
    </cfRule>
  </conditionalFormatting>
  <conditionalFormatting sqref="NP29:NS29">
    <cfRule type="expression" dxfId="90" priority="5663">
      <formula>(AND($H$12&gt;=30, $H$12&lt;&gt;"Please Select"))</formula>
    </cfRule>
  </conditionalFormatting>
  <conditionalFormatting sqref="NP84:NS86">
    <cfRule type="expression" dxfId="89" priority="2362">
      <formula>AND($H$64&gt;=30, $H$64&lt;&gt;"Please Select")</formula>
    </cfRule>
  </conditionalFormatting>
  <conditionalFormatting sqref="NQ31">
    <cfRule type="expression" dxfId="88" priority="5660">
      <formula>(AND($H$12&gt;=30, $H$12&lt;&gt;"Please Select"))</formula>
    </cfRule>
  </conditionalFormatting>
  <conditionalFormatting sqref="NQ88">
    <cfRule type="expression" dxfId="87" priority="2359">
      <formula>AND($H$64&gt;=30, $H$64&lt;&gt;"Please Select")</formula>
    </cfRule>
  </conditionalFormatting>
  <conditionalFormatting sqref="NQ39:NR40">
    <cfRule type="expression" dxfId="86" priority="5655">
      <formula>(AND($H$12&gt;=30, $H$12&lt;&gt;"Please Select"))</formula>
    </cfRule>
  </conditionalFormatting>
  <conditionalFormatting sqref="NQ41:NR41">
    <cfRule type="expression" dxfId="85" priority="5649">
      <formula>(AND($H$12&gt;=30, $H$12&lt;&gt;"Please Select"))</formula>
    </cfRule>
  </conditionalFormatting>
  <conditionalFormatting sqref="NQ43:NR43">
    <cfRule type="expression" dxfId="84" priority="5640">
      <formula>(AND($H$12&gt;=30, $H$12&lt;&gt;"Please Select"))</formula>
    </cfRule>
  </conditionalFormatting>
  <conditionalFormatting sqref="NQ44:NR48">
    <cfRule type="expression" dxfId="83" priority="5646">
      <formula>(AND($H$12&gt;=30, $H$12&lt;&gt;"Please Select"))</formula>
    </cfRule>
  </conditionalFormatting>
  <conditionalFormatting sqref="NQ91:NR91">
    <cfRule type="expression" dxfId="82" priority="120">
      <formula>AND($H$64&gt;=30, $H$64&lt;&gt;"Please Select")</formula>
    </cfRule>
    <cfRule type="expression" dxfId="81" priority="119">
      <formula>$NQ$91="No"</formula>
    </cfRule>
  </conditionalFormatting>
  <conditionalFormatting sqref="NQ92:NR92">
    <cfRule type="expression" dxfId="80" priority="2349">
      <formula>AND($H$64&gt;=30, $H$64&lt;&gt;"Please Select")</formula>
    </cfRule>
  </conditionalFormatting>
  <conditionalFormatting sqref="NQ95:NR95">
    <cfRule type="expression" dxfId="79" priority="639">
      <formula>AND($H$64&gt;=30, $H$64&lt;&gt;"Please Select")</formula>
    </cfRule>
  </conditionalFormatting>
  <conditionalFormatting sqref="NQ33:NS33">
    <cfRule type="expression" dxfId="78" priority="5659">
      <formula>(AND($H$12&gt;=30, $H$12&lt;&gt;"Please Select"))</formula>
    </cfRule>
  </conditionalFormatting>
  <conditionalFormatting sqref="NR98">
    <cfRule type="expression" dxfId="77" priority="723">
      <formula>NR$98="Pending"</formula>
    </cfRule>
  </conditionalFormatting>
  <conditionalFormatting sqref="NR98:NS122">
    <cfRule type="expression" dxfId="76" priority="726">
      <formula>AND($H$64&gt;=30, $H$64&lt;&gt;"Please Select")</formula>
    </cfRule>
  </conditionalFormatting>
  <conditionalFormatting sqref="NR99:NS99">
    <cfRule type="expression" dxfId="75" priority="721">
      <formula>NR$99="Pending"</formula>
    </cfRule>
  </conditionalFormatting>
  <conditionalFormatting sqref="NR100:NS100">
    <cfRule type="expression" dxfId="74" priority="719">
      <formula>NR$100="Pending"</formula>
    </cfRule>
  </conditionalFormatting>
  <conditionalFormatting sqref="NR101:NS101">
    <cfRule type="expression" dxfId="73" priority="717">
      <formula>NR$101="Pending"</formula>
    </cfRule>
  </conditionalFormatting>
  <conditionalFormatting sqref="NR102:NS102">
    <cfRule type="expression" dxfId="72" priority="715">
      <formula>NR$102="Pending"</formula>
    </cfRule>
  </conditionalFormatting>
  <conditionalFormatting sqref="NR103:NS103">
    <cfRule type="expression" dxfId="71" priority="713">
      <formula>NR$103="Pending"</formula>
    </cfRule>
  </conditionalFormatting>
  <conditionalFormatting sqref="NR104:NS104">
    <cfRule type="expression" dxfId="70" priority="711">
      <formula>NR$104="Pending"</formula>
    </cfRule>
  </conditionalFormatting>
  <conditionalFormatting sqref="NR105:NS105">
    <cfRule type="expression" dxfId="69" priority="709">
      <formula>NR$105="Pending"</formula>
    </cfRule>
  </conditionalFormatting>
  <conditionalFormatting sqref="NR106:NS106">
    <cfRule type="expression" dxfId="68" priority="707">
      <formula>NR$106="Pending"</formula>
    </cfRule>
  </conditionalFormatting>
  <conditionalFormatting sqref="NR107:NS107">
    <cfRule type="expression" dxfId="67" priority="705">
      <formula>NR$107="Pending"</formula>
    </cfRule>
  </conditionalFormatting>
  <conditionalFormatting sqref="NR108:NS108">
    <cfRule type="expression" dxfId="66" priority="703">
      <formula>NR$108="Pending"</formula>
    </cfRule>
  </conditionalFormatting>
  <conditionalFormatting sqref="NR109:NS109">
    <cfRule type="expression" dxfId="65" priority="701">
      <formula>NR$109="Pending"</formula>
    </cfRule>
  </conditionalFormatting>
  <conditionalFormatting sqref="NR110:NS110">
    <cfRule type="expression" dxfId="64" priority="699">
      <formula>NR$110="Pending"</formula>
    </cfRule>
  </conditionalFormatting>
  <conditionalFormatting sqref="NR111:NS111">
    <cfRule type="expression" dxfId="63" priority="697">
      <formula>NR$111="Pending"</formula>
    </cfRule>
  </conditionalFormatting>
  <conditionalFormatting sqref="NR112:NS112">
    <cfRule type="expression" dxfId="62" priority="695">
      <formula>NR$112="Pending"</formula>
    </cfRule>
  </conditionalFormatting>
  <conditionalFormatting sqref="NR113:NS113">
    <cfRule type="expression" dxfId="61" priority="693">
      <formula>NR$113="Pending"</formula>
    </cfRule>
  </conditionalFormatting>
  <conditionalFormatting sqref="NR114:NS114">
    <cfRule type="expression" dxfId="60" priority="691">
      <formula>NR$114="Pending"</formula>
    </cfRule>
  </conditionalFormatting>
  <conditionalFormatting sqref="NR115:NS115">
    <cfRule type="expression" dxfId="59" priority="689">
      <formula>NR$115="Pending"</formula>
    </cfRule>
  </conditionalFormatting>
  <conditionalFormatting sqref="NR116:NS116">
    <cfRule type="expression" dxfId="58" priority="687">
      <formula>NR$116="Pending"</formula>
    </cfRule>
  </conditionalFormatting>
  <conditionalFormatting sqref="NR117:NS117">
    <cfRule type="expression" dxfId="57" priority="685">
      <formula>NR$117="Pending"</formula>
    </cfRule>
  </conditionalFormatting>
  <conditionalFormatting sqref="NR118:NS118">
    <cfRule type="expression" dxfId="56" priority="683">
      <formula>NR$118="Pending"</formula>
    </cfRule>
  </conditionalFormatting>
  <conditionalFormatting sqref="NR119:NS119">
    <cfRule type="expression" dxfId="55" priority="681">
      <formula>NR$119="Pending"</formula>
    </cfRule>
  </conditionalFormatting>
  <conditionalFormatting sqref="NR120:NS120">
    <cfRule type="expression" dxfId="54" priority="679">
      <formula>NR$120="Pending"</formula>
    </cfRule>
  </conditionalFormatting>
  <conditionalFormatting sqref="NR121:NS121">
    <cfRule type="expression" dxfId="53" priority="677">
      <formula>NR$121="Pending"</formula>
    </cfRule>
  </conditionalFormatting>
  <conditionalFormatting sqref="NR122:NS122">
    <cfRule type="expression" dxfId="52" priority="675">
      <formula>NR$122="Pending"</formula>
    </cfRule>
  </conditionalFormatting>
  <conditionalFormatting sqref="NR52:NW52 NR55:NW55">
    <cfRule type="expression" dxfId="51" priority="5637">
      <formula>(AND($H$12&gt;=30, $H$12&lt;&gt;"Please Select"))</formula>
    </cfRule>
  </conditionalFormatting>
  <conditionalFormatting sqref="NR53:NW54">
    <cfRule type="expression" dxfId="50" priority="64">
      <formula>$NR$53&lt;&gt;""</formula>
    </cfRule>
  </conditionalFormatting>
  <conditionalFormatting sqref="NR126:NW126 NR129:NW129">
    <cfRule type="expression" dxfId="49" priority="2357">
      <formula>AND($H$64&gt;=30, $H$64&lt;&gt;"Please Select")</formula>
    </cfRule>
  </conditionalFormatting>
  <conditionalFormatting sqref="NR127:NW128">
    <cfRule type="expression" dxfId="48" priority="35">
      <formula>$NR$127&lt;&gt;""</formula>
    </cfRule>
  </conditionalFormatting>
  <conditionalFormatting sqref="NS30">
    <cfRule type="expression" dxfId="47" priority="5661">
      <formula>(AND($H$12&gt;=30, $H$12&lt;&gt;"Please Select"))</formula>
    </cfRule>
  </conditionalFormatting>
  <conditionalFormatting sqref="NS34">
    <cfRule type="expression" dxfId="46" priority="204">
      <formula>$NS$34="Pending"</formula>
    </cfRule>
    <cfRule type="expression" dxfId="45" priority="5658">
      <formula>(AND($H$12&gt;=30, $H$12&lt;&gt;"Please Select"))</formula>
    </cfRule>
  </conditionalFormatting>
  <conditionalFormatting sqref="NS35">
    <cfRule type="expression" dxfId="44" priority="5638">
      <formula>NS$34&lt;&gt;""</formula>
    </cfRule>
  </conditionalFormatting>
  <conditionalFormatting sqref="NS39:NS40">
    <cfRule type="expression" dxfId="43" priority="5654">
      <formula>(AND($H$12&gt;=30, $H$12&lt;&gt;"Please Select"))</formula>
    </cfRule>
  </conditionalFormatting>
  <conditionalFormatting sqref="NS41">
    <cfRule type="expression" dxfId="42" priority="5648">
      <formula>(AND($H$12&gt;=30, $H$12&lt;&gt;"Please Select"))</formula>
    </cfRule>
  </conditionalFormatting>
  <conditionalFormatting sqref="NS87">
    <cfRule type="expression" dxfId="41" priority="2360">
      <formula>AND($H$64&gt;=30, $H$64&lt;&gt;"Please Select")</formula>
    </cfRule>
  </conditionalFormatting>
  <conditionalFormatting sqref="NS154:NS155">
    <cfRule type="expression" dxfId="40" priority="279">
      <formula>NS$34&lt;&gt;""</formula>
    </cfRule>
  </conditionalFormatting>
  <conditionalFormatting sqref="NT97:NU97">
    <cfRule type="expression" dxfId="39" priority="724">
      <formula>NT$97&lt;&gt;""</formula>
    </cfRule>
  </conditionalFormatting>
  <conditionalFormatting sqref="NT98:NU98">
    <cfRule type="expression" dxfId="38" priority="722">
      <formula>NR$98="Pending"</formula>
    </cfRule>
  </conditionalFormatting>
  <conditionalFormatting sqref="NT99:NU99">
    <cfRule type="expression" dxfId="37" priority="720">
      <formula>NR$99="Pending"</formula>
    </cfRule>
  </conditionalFormatting>
  <conditionalFormatting sqref="NT100:NU100">
    <cfRule type="expression" dxfId="36" priority="718">
      <formula>NR$100="Pending"</formula>
    </cfRule>
  </conditionalFormatting>
  <conditionalFormatting sqref="NT101:NU101">
    <cfRule type="expression" dxfId="35" priority="716">
      <formula>NR$101="Pending"</formula>
    </cfRule>
  </conditionalFormatting>
  <conditionalFormatting sqref="NT102:NU102">
    <cfRule type="expression" dxfId="34" priority="714">
      <formula>NR$102="Pending"</formula>
    </cfRule>
  </conditionalFormatting>
  <conditionalFormatting sqref="NT103:NU103">
    <cfRule type="expression" dxfId="33" priority="712">
      <formula>NR$103="Pending"</formula>
    </cfRule>
  </conditionalFormatting>
  <conditionalFormatting sqref="NT104:NU104">
    <cfRule type="expression" dxfId="32" priority="710">
      <formula>NR$104="Pending"</formula>
    </cfRule>
  </conditionalFormatting>
  <conditionalFormatting sqref="NT105:NU105">
    <cfRule type="expression" dxfId="31" priority="708">
      <formula>NR$105="Pending"</formula>
    </cfRule>
  </conditionalFormatting>
  <conditionalFormatting sqref="NT106:NU106">
    <cfRule type="expression" dxfId="30" priority="706">
      <formula>NR$106="Pending"</formula>
    </cfRule>
  </conditionalFormatting>
  <conditionalFormatting sqref="NT107:NU107">
    <cfRule type="expression" dxfId="29" priority="704">
      <formula>NR$107="Pending"</formula>
    </cfRule>
  </conditionalFormatting>
  <conditionalFormatting sqref="NT108:NU108">
    <cfRule type="expression" dxfId="28" priority="702">
      <formula>NR$108="Pending"</formula>
    </cfRule>
  </conditionalFormatting>
  <conditionalFormatting sqref="NT109:NU109">
    <cfRule type="expression" dxfId="27" priority="700">
      <formula>NR$109="Pending"</formula>
    </cfRule>
  </conditionalFormatting>
  <conditionalFormatting sqref="NT110:NU110">
    <cfRule type="expression" dxfId="26" priority="698">
      <formula>NR$110="Pending"</formula>
    </cfRule>
  </conditionalFormatting>
  <conditionalFormatting sqref="NT111:NU111">
    <cfRule type="expression" dxfId="25" priority="696">
      <formula>NR$111="Pending"</formula>
    </cfRule>
  </conditionalFormatting>
  <conditionalFormatting sqref="NT112:NU112">
    <cfRule type="expression" dxfId="24" priority="694">
      <formula>NR$112="Pending"</formula>
    </cfRule>
  </conditionalFormatting>
  <conditionalFormatting sqref="NT113:NU113">
    <cfRule type="expression" dxfId="23" priority="692">
      <formula>NR$113="Pending"</formula>
    </cfRule>
  </conditionalFormatting>
  <conditionalFormatting sqref="NT114:NU114">
    <cfRule type="expression" dxfId="22" priority="690">
      <formula>NR$114="Pending"</formula>
    </cfRule>
  </conditionalFormatting>
  <conditionalFormatting sqref="NT115:NU115">
    <cfRule type="expression" dxfId="21" priority="688">
      <formula>NR$115="Pending"</formula>
    </cfRule>
  </conditionalFormatting>
  <conditionalFormatting sqref="NT116:NU116">
    <cfRule type="expression" dxfId="20" priority="686">
      <formula>NR$116="Pending"</formula>
    </cfRule>
  </conditionalFormatting>
  <conditionalFormatting sqref="NT117:NU117">
    <cfRule type="expression" dxfId="19" priority="684">
      <formula>NR$117="Pending"</formula>
    </cfRule>
  </conditionalFormatting>
  <conditionalFormatting sqref="NT118:NU118">
    <cfRule type="expression" dxfId="18" priority="682">
      <formula>NR$118="Pending"</formula>
    </cfRule>
  </conditionalFormatting>
  <conditionalFormatting sqref="NT119:NU119">
    <cfRule type="expression" dxfId="17" priority="680">
      <formula>NR$119="Pending"</formula>
    </cfRule>
  </conditionalFormatting>
  <conditionalFormatting sqref="NT120:NU120">
    <cfRule type="expression" dxfId="16" priority="678">
      <formula>NR$120="Pending"</formula>
    </cfRule>
  </conditionalFormatting>
  <conditionalFormatting sqref="NT121:NU121">
    <cfRule type="expression" dxfId="15" priority="676">
      <formula>NR$121="Pending"</formula>
    </cfRule>
  </conditionalFormatting>
  <conditionalFormatting sqref="NT122:NU122">
    <cfRule type="expression" dxfId="14" priority="674">
      <formula>NR$122="Pending"</formula>
    </cfRule>
  </conditionalFormatting>
  <conditionalFormatting sqref="NV27:NY28">
    <cfRule type="expression" dxfId="13" priority="5579">
      <formula>NV$27&lt;&gt;""</formula>
    </cfRule>
  </conditionalFormatting>
  <conditionalFormatting sqref="NV84:NY85">
    <cfRule type="expression" dxfId="12" priority="2364">
      <formula>NV$84&lt;&gt;""</formula>
    </cfRule>
  </conditionalFormatting>
  <conditionalFormatting sqref="NV147:NY148">
    <cfRule type="expression" dxfId="11" priority="251">
      <formula>NV$27&lt;&gt;""</formula>
    </cfRule>
  </conditionalFormatting>
  <conditionalFormatting sqref="NX55:OA55">
    <cfRule type="expression" dxfId="10" priority="637">
      <formula>NX55&lt;&gt;""</formula>
    </cfRule>
  </conditionalFormatting>
  <conditionalFormatting sqref="NX129:OA129">
    <cfRule type="expression" dxfId="9" priority="5463">
      <formula>NX129&lt;&gt;""</formula>
    </cfRule>
  </conditionalFormatting>
  <dataValidations count="8">
    <dataValidation type="list" allowBlank="1" showInputMessage="1" showErrorMessage="1" sqref="F30 GS30 S30 AF30 AS30 BF30 BS30 CF30 CS30 DF30 DS30 EF30 ES30 FF30 FS30 GF30 HF30 HS30 IF30 IS30 JF30 JS30 KF30 KS30 LF30 LS30 MF30 MS30 NF30 NS30 F87 S87 AF87 AS87 BF87 BS87 CF87 CS87 DF87 DS87 EF87 ES87 FF87 FS87 GF87 GS87 HF87 HS87 IF87 IS87 JF87 JS87 KF87 KS87 LF87 LS87 MF87 MS87 NF87 NS87 F150 DS150 S150 AF150 AS150 BF150 BS150 CF150 CS150 DF150" xr:uid="{00000000-0002-0000-0700-000000000000}">
      <formula1>"AK, AL, AR, AZ, CA, CO, CT, DC, DE, FL, GA, HI, IA, ID, IL, IN, KS, KY, LA, MA, MD, ME, MI, MN, MO, MS, MT, NC, ND, NE, NH, NJ, NM, NV, NY, OH, OK, OR, PA, RI, SC, SD, TN, TX, UT, VA, VT, WA, WI, WV, WY"</formula1>
    </dataValidation>
    <dataValidation type="list" allowBlank="1" showInputMessage="1" showErrorMessage="1" sqref="I9 I61" xr:uid="{00000000-0002-0000-0700-000001000000}">
      <formula1>"Please Select, Yes"</formula1>
    </dataValidation>
    <dataValidation type="list" allowBlank="1" showInputMessage="1" showErrorMessage="1" sqref="B44:B48 GO44:GO48 O44:O48 AB44:AB48 AO44:AO48 BB44:BB48 BO44:BO48 CB44:CB48 CO44:CO48 DB44:DB48 DO44:DO48 EB44:EB48 EO44:EO48 FB44:FB48 FO44:FO48 GB44:GB48 HB44:HB48 HO44:HO48 IB44:IB48 IO44:IO48 JB44:JB48 JO44:JO48 KB44:KB48 KO44:KO48 LB44:LB48 LO44:LO48 MB44:MB48 MO44:MO48 NB44:NB48 NO44:NO48" xr:uid="{00000000-0002-0000-0700-000002000000}">
      <formula1>"None, Operating Room, CCU/ICU, Pediatrics, Psychiatry, Obstetrics"</formula1>
    </dataValidation>
    <dataValidation type="list" allowBlank="1" showInputMessage="1" showErrorMessage="1" sqref="F34 GS34 S34 AF34 AS34 BF34 BS34 CF34 CS34 DF34 DS34 EF34 ES34 FF34 FS34 GF34 HF34 HS34 IF34 IS34 JF34 JS34 KF34 KS34 LF34 LS34 MF34 MS34 NF34 NS34 MS154 LS154 MF154 NF154 F154 GS154 S154 AF154 AS154 BF154 BS154 CF154 CS154 DF154 DS154 EF154 ES154 FF154 FS154 GF154 HF154 HS154 IF154 IS154 JF154 JS154 KF154 KS154 LF154" xr:uid="{00000000-0002-0000-0700-000003000000}">
      <formula1>"Yes, Pending"</formula1>
    </dataValidation>
    <dataValidation type="list" allowBlank="1" showInputMessage="1" showErrorMessage="1" sqref="H12 H64" xr:uid="{00000000-0002-0000-0700-000004000000}">
      <formula1>"Please Select,0,1,2,3,4,5,6,7,8,9,10,11,12,13,14,15,16,17,18,19,20,21,22,23,24,25,26,27,28,29,30"</formula1>
    </dataValidation>
    <dataValidation type="list" allowBlank="1" showInputMessage="1" showErrorMessage="1" sqref="D91:E91 Q91:R91 AQ91:AR91 AD91:AE91 BD91:BE91 BQ91:BR91 CD91:CE91 CQ91:CR91 DD91:DE91 DQ91:DR91 ED91:EE91 EQ91:ER91 FD91:FE91 FQ91:FR91 GD91:GE91 GQ91:GR91 HD91:HE91 HQ91:HR91 ID91:IE91 IQ91:IR91 JD91:JE91 JQ91:JR91 KD91:KE91 KQ91:KR91 LD91:LE91 LQ91:LR91 MD91:ME91 MQ91:MR91 ND91:NE91 NQ91:NR91" xr:uid="{00000000-0002-0000-0700-000005000000}">
      <formula1>"Yes, No"</formula1>
    </dataValidation>
    <dataValidation type="list" allowBlank="1" showInputMessage="1" showErrorMessage="1" sqref="H140" xr:uid="{00000000-0002-0000-0700-000006000000}">
      <formula1>"Please Select, Yes, No"</formula1>
    </dataValidation>
    <dataValidation type="list" allowBlank="1" showInputMessage="1" showErrorMessage="1" sqref="H141" xr:uid="{00000000-0002-0000-0700-000007000000}">
      <formula1>"Please Select,1,2,3,4,5,6,7,8,9,10"</formula1>
    </dataValidation>
  </dataValidations>
  <hyperlinks>
    <hyperlink ref="NX129:OA129" location="'Standard III-Affiliates'!H139" display="'Standard III-Affiliates'!H139" xr:uid="{00000000-0004-0000-0700-000000000000}"/>
    <hyperlink ref="NX55:OA55" location="'Standard III-Affiliates'!I60" display="'Standard III-Affiliates'!I60" xr:uid="{00000000-0004-0000-0700-000001000000}"/>
    <hyperlink ref="NK55:NN55" location="'Standard III-Affiliates'!I60" display="'Standard III-Affiliates'!I60" xr:uid="{00000000-0004-0000-0700-000002000000}"/>
    <hyperlink ref="MX55:NA55" location="'Standard III-Affiliates'!I60" display="'Standard III-Affiliates'!I60" xr:uid="{00000000-0004-0000-0700-000003000000}"/>
    <hyperlink ref="MK55:MN55" location="'Standard III-Affiliates'!I60" display="'Standard III-Affiliates'!I60" xr:uid="{00000000-0004-0000-0700-000004000000}"/>
    <hyperlink ref="LX55:MA55" location="'Standard III-Affiliates'!I60" display="'Standard III-Affiliates'!I60" xr:uid="{00000000-0004-0000-0700-000005000000}"/>
    <hyperlink ref="LK55:LN55" location="'Standard III-Affiliates'!I60" display="'Standard III-Affiliates'!I60" xr:uid="{00000000-0004-0000-0700-000006000000}"/>
    <hyperlink ref="KX55:LA55" location="'Standard III-Affiliates'!I60" display="'Standard III-Affiliates'!I60" xr:uid="{00000000-0004-0000-0700-000007000000}"/>
    <hyperlink ref="KK55:KN55" location="'Standard III-Affiliates'!I60" display="'Standard III-Affiliates'!I60" xr:uid="{00000000-0004-0000-0700-000008000000}"/>
    <hyperlink ref="JX55:KA55" location="'Standard III-Affiliates'!I60" display="'Standard III-Affiliates'!I60" xr:uid="{00000000-0004-0000-0700-000009000000}"/>
    <hyperlink ref="JK55:JN55" location="'Standard III-Affiliates'!I60" display="'Standard III-Affiliates'!I60" xr:uid="{00000000-0004-0000-0700-00000A000000}"/>
    <hyperlink ref="IX55:JA55" location="'Standard III-Affiliates'!I60" display="'Standard III-Affiliates'!I60" xr:uid="{00000000-0004-0000-0700-00000B000000}"/>
    <hyperlink ref="IK55:IN55" location="'Standard III-Affiliates'!I60" display="'Standard III-Affiliates'!I60" xr:uid="{00000000-0004-0000-0700-00000C000000}"/>
    <hyperlink ref="HX55:IA55" location="'Standard III-Affiliates'!I60" display="'Standard III-Affiliates'!I60" xr:uid="{00000000-0004-0000-0700-00000D000000}"/>
    <hyperlink ref="HK55:HN55" location="'Standard III-Affiliates'!I60" display="'Standard III-Affiliates'!I60" xr:uid="{00000000-0004-0000-0700-00000E000000}"/>
    <hyperlink ref="GX55:HA55" location="'Standard III-Affiliates'!I60" display="'Standard III-Affiliates'!I60" xr:uid="{00000000-0004-0000-0700-00000F000000}"/>
    <hyperlink ref="GK55:GN55" location="'Standard III-Affiliates'!I60" display="'Standard III-Affiliates'!I60" xr:uid="{00000000-0004-0000-0700-000010000000}"/>
    <hyperlink ref="FX55:GA55" location="'Standard III-Affiliates'!I60" display="'Standard III-Affiliates'!I60" xr:uid="{00000000-0004-0000-0700-000011000000}"/>
    <hyperlink ref="FK55:FN55" location="'Standard III-Affiliates'!I60" display="'Standard III-Affiliates'!I60" xr:uid="{00000000-0004-0000-0700-000012000000}"/>
    <hyperlink ref="EX55:FA55" location="'Standard III-Affiliates'!I60" display="'Standard III-Affiliates'!I60" xr:uid="{00000000-0004-0000-0700-000013000000}"/>
    <hyperlink ref="EK55:EN55" location="'Standard III-Affiliates'!I60" display="'Standard III-Affiliates'!I60" xr:uid="{00000000-0004-0000-0700-000014000000}"/>
    <hyperlink ref="DX55:EA55" location="'Standard III-Affiliates'!I60" display="'Standard III-Affiliates'!I60" xr:uid="{00000000-0004-0000-0700-000015000000}"/>
    <hyperlink ref="DK55:DN55" location="'Standard III-Affiliates'!I60" display="'Standard III-Affiliates'!I60" xr:uid="{00000000-0004-0000-0700-000016000000}"/>
    <hyperlink ref="CX55:DA55" location="'Standard III-Affiliates'!I60" display="'Standard III-Affiliates'!I60" xr:uid="{00000000-0004-0000-0700-000017000000}"/>
    <hyperlink ref="CK55:CN55" location="'Standard III-Affiliates'!I60" display="'Standard III-Affiliates'!I60" xr:uid="{00000000-0004-0000-0700-000018000000}"/>
    <hyperlink ref="BX55:CA55" location="'Standard III-Affiliates'!I60" display="'Standard III-Affiliates'!I60" xr:uid="{00000000-0004-0000-0700-000019000000}"/>
    <hyperlink ref="BK55:BN55" location="'Standard III-Affiliates'!I60" display="'Standard III-Affiliates'!I60" xr:uid="{00000000-0004-0000-0700-00001A000000}"/>
    <hyperlink ref="AX55:BA55" location="'Standard III-Affiliates'!I60" display="'Standard III-Affiliates'!I60" xr:uid="{00000000-0004-0000-0700-00001B000000}"/>
    <hyperlink ref="AK55:AN55" location="'Standard III-Affiliates'!I60" display="'Standard III-Affiliates'!I60" xr:uid="{00000000-0004-0000-0700-00001C000000}"/>
    <hyperlink ref="X55:AA55" location="'Standard III-Affiliates'!I60" display="'Standard III-Affiliates'!I60" xr:uid="{00000000-0004-0000-0700-00001D000000}"/>
    <hyperlink ref="X129:AA129" location="'Standard III-Affiliates'!H139" display="'Standard III-Affiliates'!H139" xr:uid="{00000000-0004-0000-0700-00001E000000}"/>
    <hyperlink ref="AK129:AN129" location="'Standard III-Affiliates'!H139" display="'Standard III-Affiliates'!H139" xr:uid="{00000000-0004-0000-0700-00001F000000}"/>
    <hyperlink ref="AX129:BA129" location="'Standard III-Affiliates'!H139" display="'Standard III-Affiliates'!H139" xr:uid="{00000000-0004-0000-0700-000020000000}"/>
    <hyperlink ref="BK129:BN129" location="'Standard III-Affiliates'!H139" display="'Standard III-Affiliates'!H139" xr:uid="{00000000-0004-0000-0700-000021000000}"/>
    <hyperlink ref="BX129:CA129" location="'Standard III-Affiliates'!H139" display="'Standard III-Affiliates'!H139" xr:uid="{00000000-0004-0000-0700-000022000000}"/>
    <hyperlink ref="CK129:CN129" location="'Standard III-Affiliates'!H139" display="'Standard III-Affiliates'!H139" xr:uid="{00000000-0004-0000-0700-000023000000}"/>
    <hyperlink ref="CX129:DA129" location="'Standard III-Affiliates'!H139" display="'Standard III-Affiliates'!H139" xr:uid="{00000000-0004-0000-0700-000024000000}"/>
    <hyperlink ref="DK129:DN129" location="'Standard III-Affiliates'!H139" display="'Standard III-Affiliates'!H139" xr:uid="{00000000-0004-0000-0700-000025000000}"/>
    <hyperlink ref="DX129:EA129" location="'Standard III-Affiliates'!H139" display="'Standard III-Affiliates'!H139" xr:uid="{00000000-0004-0000-0700-000026000000}"/>
    <hyperlink ref="EK129:EN129" location="'Standard III-Affiliates'!H139" display="'Standard III-Affiliates'!H139" xr:uid="{00000000-0004-0000-0700-000027000000}"/>
    <hyperlink ref="EX129:FA129" location="'Standard III-Affiliates'!H139" display="'Standard III-Affiliates'!H139" xr:uid="{00000000-0004-0000-0700-000028000000}"/>
    <hyperlink ref="FK129:FN129" location="'Standard III-Affiliates'!H139" display="'Standard III-Affiliates'!H139" xr:uid="{00000000-0004-0000-0700-000029000000}"/>
    <hyperlink ref="FX129:GA129" location="'Standard III-Affiliates'!H139" display="'Standard III-Affiliates'!H139" xr:uid="{00000000-0004-0000-0700-00002A000000}"/>
    <hyperlink ref="GK129:GN129" location="'Standard III-Affiliates'!H139" display="'Standard III-Affiliates'!H139" xr:uid="{00000000-0004-0000-0700-00002B000000}"/>
    <hyperlink ref="GX129:HA129" location="'Standard III-Affiliates'!H139" display="'Standard III-Affiliates'!H139" xr:uid="{00000000-0004-0000-0700-00002C000000}"/>
    <hyperlink ref="HK129:HN129" location="'Standard III-Affiliates'!H139" display="'Standard III-Affiliates'!H139" xr:uid="{00000000-0004-0000-0700-00002D000000}"/>
    <hyperlink ref="HX129:IA129" location="'Standard III-Affiliates'!H139" display="'Standard III-Affiliates'!H139" xr:uid="{00000000-0004-0000-0700-00002E000000}"/>
    <hyperlink ref="IK129:IN129" location="'Standard III-Affiliates'!H139" display="'Standard III-Affiliates'!H139" xr:uid="{00000000-0004-0000-0700-00002F000000}"/>
    <hyperlink ref="IX129:JA129" location="'Standard III-Affiliates'!H139" display="'Standard III-Affiliates'!H139" xr:uid="{00000000-0004-0000-0700-000030000000}"/>
    <hyperlink ref="JK129:JN129" location="'Standard III-Affiliates'!H139" display="'Standard III-Affiliates'!H139" xr:uid="{00000000-0004-0000-0700-000031000000}"/>
    <hyperlink ref="JX129:KA129" location="'Standard III-Affiliates'!H139" display="'Standard III-Affiliates'!H139" xr:uid="{00000000-0004-0000-0700-000032000000}"/>
    <hyperlink ref="KK129:KN129" location="'Standard III-Affiliates'!H139" display="'Standard III-Affiliates'!H139" xr:uid="{00000000-0004-0000-0700-000033000000}"/>
    <hyperlink ref="KX129:LA129" location="'Standard III-Affiliates'!H139" display="'Standard III-Affiliates'!H139" xr:uid="{00000000-0004-0000-0700-000034000000}"/>
    <hyperlink ref="LK129:LN129" location="'Standard III-Affiliates'!H139" display="'Standard III-Affiliates'!H139" xr:uid="{00000000-0004-0000-0700-000035000000}"/>
    <hyperlink ref="LX129:MA129" location="'Standard III-Affiliates'!H139" display="'Standard III-Affiliates'!H139" xr:uid="{00000000-0004-0000-0700-000036000000}"/>
    <hyperlink ref="MK129:MN129" location="'Standard III-Affiliates'!H139" display="'Standard III-Affiliates'!H139" xr:uid="{00000000-0004-0000-0700-000037000000}"/>
    <hyperlink ref="MX129:NA129" location="'Standard III-Affiliates'!H139" display="'Standard III-Affiliates'!H139" xr:uid="{00000000-0004-0000-0700-000038000000}"/>
    <hyperlink ref="NK129:NN129" location="'Standard III-Affiliates'!H139" display="'Standard III-Affiliates'!H139" xr:uid="{00000000-0004-0000-0700-000039000000}"/>
    <hyperlink ref="X164:AA164" location="'Standard III-Preceptors'!B11" display="'Standard III-Preceptors'!B11" xr:uid="{00000000-0004-0000-0700-00003A000000}"/>
    <hyperlink ref="AK164:AN164" location="'Standard III-Preceptors'!B11" display="'Standard III-Preceptors'!B11" xr:uid="{00000000-0004-0000-0700-00003B000000}"/>
    <hyperlink ref="AX164:BA164" location="'Standard III-Preceptors'!B11" display="'Standard III-Preceptors'!B11" xr:uid="{00000000-0004-0000-0700-00003C000000}"/>
    <hyperlink ref="BK164:BN164" location="'Standard III-Preceptors'!B11" display="'Standard III-Preceptors'!B11" xr:uid="{00000000-0004-0000-0700-00003D000000}"/>
    <hyperlink ref="BX164:CA164" location="'Standard III-Preceptors'!B11" display="'Standard III-Preceptors'!B11" xr:uid="{00000000-0004-0000-0700-00003E000000}"/>
    <hyperlink ref="CK164:CN164" location="'Standard III-Preceptors'!B11" display="'Standard III-Preceptors'!B11" xr:uid="{00000000-0004-0000-0700-00003F000000}"/>
    <hyperlink ref="CX164:DA164" location="'Standard III-Preceptors'!B11" display="'Standard III-Preceptors'!B11" xr:uid="{00000000-0004-0000-0700-000040000000}"/>
    <hyperlink ref="DK164:DN164" location="'Standard III-Preceptors'!B11" display="'Standard III-Preceptors'!B11" xr:uid="{00000000-0004-0000-0700-000041000000}"/>
    <hyperlink ref="DX164:EA164" location="'Standard III-Preceptors'!B11" display="'Standard III-Preceptors'!B11" xr:uid="{00000000-0004-0000-0700-000042000000}"/>
  </hyperlinks>
  <printOptions horizontalCentered="1" verticalCentered="1"/>
  <pageMargins left="0.25" right="0.25" top="0.25" bottom="0.25" header="0.3" footer="0.3"/>
  <pageSetup scale="84" fitToHeight="0" orientation="landscape" horizontalDpi="300" verticalDpi="300" r:id="rId1"/>
  <rowBreaks count="4" manualBreakCount="4">
    <brk id="24" max="16383" man="1"/>
    <brk id="49" max="16383" man="1"/>
    <brk id="56" max="391" man="1"/>
    <brk id="80" max="391" man="1"/>
  </rowBreaks>
  <colBreaks count="30" manualBreakCount="30">
    <brk id="14" max="1048575" man="1"/>
    <brk id="27" max="1048575" man="1"/>
    <brk id="40" max="1048575" man="1"/>
    <brk id="53" max="1048575" man="1"/>
    <brk id="66" max="1048575" man="1"/>
    <brk id="79" max="1048575" man="1"/>
    <brk id="92" max="1048575" man="1"/>
    <brk id="105" max="1048575" man="1"/>
    <brk id="118" max="1048575" man="1"/>
    <brk id="131" max="1048575" man="1"/>
    <brk id="144" max="1048575" man="1"/>
    <brk id="157" max="1048575" man="1"/>
    <brk id="170" max="1048575" man="1"/>
    <brk id="183" max="1048575" man="1"/>
    <brk id="196" max="1048575" man="1"/>
    <brk id="209" max="1048575" man="1"/>
    <brk id="222" max="1048575" man="1"/>
    <brk id="235" max="1048575" man="1"/>
    <brk id="248" max="1048575" man="1"/>
    <brk id="261" max="1048575" man="1"/>
    <brk id="274" max="1048575" man="1"/>
    <brk id="287" max="1048575" man="1"/>
    <brk id="300" max="1048575" man="1"/>
    <brk id="313" max="1048575" man="1"/>
    <brk id="326" max="1048575" man="1"/>
    <brk id="339" max="1048575" man="1"/>
    <brk id="352" max="1048575" man="1"/>
    <brk id="365" max="1048575" man="1"/>
    <brk id="378" max="1048575" man="1"/>
    <brk id="392"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rgb="FFD5B8EA"/>
  </sheetPr>
  <dimension ref="B2:NS69"/>
  <sheetViews>
    <sheetView showGridLines="0" zoomScaleNormal="100" workbookViewId="0">
      <selection activeCell="H59" sqref="H59"/>
    </sheetView>
  </sheetViews>
  <sheetFormatPr defaultRowHeight="15" x14ac:dyDescent="0.25"/>
  <cols>
    <col min="1" max="1" width="4.7109375" customWidth="1"/>
    <col min="2" max="2" width="16.42578125" customWidth="1"/>
    <col min="3" max="3" width="13" customWidth="1"/>
    <col min="4" max="4" width="7.140625" customWidth="1"/>
    <col min="5" max="5" width="7.42578125" customWidth="1"/>
    <col min="6" max="6" width="17" customWidth="1"/>
    <col min="7" max="7" width="10.85546875" customWidth="1"/>
    <col min="8" max="8" width="10.42578125" customWidth="1"/>
    <col min="11" max="13" width="9.140625" customWidth="1"/>
    <col min="14" max="14" width="4.7109375" customWidth="1"/>
    <col min="15" max="15" width="16.42578125" customWidth="1"/>
    <col min="16" max="16" width="19.140625" customWidth="1"/>
    <col min="17" max="17" width="7.140625" customWidth="1"/>
    <col min="18" max="18" width="7.42578125" customWidth="1"/>
    <col min="19" max="19" width="17" customWidth="1"/>
    <col min="20" max="20" width="10.85546875" customWidth="1"/>
  </cols>
  <sheetData>
    <row r="2" spans="2:19" s="41" customFormat="1" ht="45.95" customHeight="1" x14ac:dyDescent="0.35">
      <c r="B2" s="39" t="s">
        <v>201</v>
      </c>
      <c r="K2" s="64" t="str">
        <f>Instructions!C19</f>
        <v>SSR Revised 2025.02</v>
      </c>
    </row>
    <row r="3" spans="2:19" s="41" customFormat="1" ht="14.25" x14ac:dyDescent="0.2">
      <c r="B3" s="373">
        <f>'Title Page'!$D$10</f>
        <v>0</v>
      </c>
      <c r="C3" s="373"/>
      <c r="D3" s="373"/>
      <c r="E3" s="373"/>
      <c r="F3" s="373"/>
      <c r="G3" s="373"/>
      <c r="H3" s="373"/>
    </row>
    <row r="4" spans="2:19" s="41" customFormat="1" ht="14.25" x14ac:dyDescent="0.2">
      <c r="B4" s="86"/>
      <c r="C4" s="86"/>
      <c r="D4" s="86"/>
      <c r="E4" s="86"/>
      <c r="F4" s="86"/>
      <c r="G4" s="86"/>
      <c r="H4" s="86"/>
    </row>
    <row r="5" spans="2:19" s="41" customFormat="1" ht="27" customHeight="1" x14ac:dyDescent="0.2">
      <c r="B5" s="310" t="str">
        <f>IF('Title Page'!D3&lt;&gt;"Please Select",'Title Page'!D3,"")</f>
        <v/>
      </c>
      <c r="C5" s="310"/>
      <c r="D5" s="310"/>
      <c r="E5" s="310"/>
      <c r="F5" s="310"/>
      <c r="G5" s="310"/>
      <c r="H5" s="310"/>
      <c r="I5" s="310"/>
      <c r="J5" s="310"/>
      <c r="K5" s="310"/>
      <c r="L5" s="310"/>
      <c r="M5" s="310"/>
      <c r="N5" s="310"/>
      <c r="O5" s="310"/>
    </row>
    <row r="6" spans="2:19" s="41" customFormat="1" ht="24" customHeight="1" x14ac:dyDescent="0.2">
      <c r="C6" s="6" t="s">
        <v>556</v>
      </c>
    </row>
    <row r="7" spans="2:19" s="41" customFormat="1" ht="14.25" x14ac:dyDescent="0.2"/>
    <row r="8" spans="2:19" s="41" customFormat="1" ht="121.5" customHeight="1" thickBot="1" x14ac:dyDescent="0.25">
      <c r="B8" s="7"/>
      <c r="D8" s="565" t="s">
        <v>557</v>
      </c>
      <c r="E8" s="565"/>
      <c r="F8" s="565"/>
      <c r="G8" s="565"/>
      <c r="H8" s="565"/>
      <c r="I8" s="565"/>
      <c r="J8" s="565"/>
      <c r="K8" s="565"/>
    </row>
    <row r="9" spans="2:19" s="41" customFormat="1" ht="199.5" customHeight="1" x14ac:dyDescent="0.2">
      <c r="B9" s="44"/>
      <c r="C9" s="44"/>
      <c r="D9" s="559" t="s">
        <v>558</v>
      </c>
      <c r="E9" s="559"/>
      <c r="F9" s="559"/>
      <c r="G9" s="559"/>
      <c r="H9" s="559"/>
      <c r="I9" s="559"/>
      <c r="J9" s="559"/>
      <c r="K9" s="559"/>
    </row>
    <row r="10" spans="2:19" s="41" customFormat="1" ht="14.25" x14ac:dyDescent="0.2">
      <c r="B10" s="68"/>
      <c r="C10" s="1"/>
      <c r="E10" s="6"/>
    </row>
    <row r="11" spans="2:19" s="41" customFormat="1" ht="14.25" x14ac:dyDescent="0.2"/>
    <row r="12" spans="2:19" s="41" customFormat="1" ht="55.5" customHeight="1" x14ac:dyDescent="0.2">
      <c r="B12" s="94" t="s">
        <v>121</v>
      </c>
      <c r="C12" s="103" t="s">
        <v>8</v>
      </c>
      <c r="D12" s="346" t="str">
        <f>"The program must demonstrate the " &amp;'Program Info'!B3&amp;" program's clinical / field experience on-site liaison orientation material includes the following minimum required topics."</f>
        <v>The program must demonstrate the  program's clinical / field experience on-site liaison orientation material includes the following minimum required topics.</v>
      </c>
      <c r="E12" s="346"/>
      <c r="F12" s="346"/>
      <c r="G12" s="346"/>
      <c r="H12" s="346"/>
      <c r="I12" s="346"/>
      <c r="J12" s="346"/>
      <c r="K12" s="346"/>
      <c r="L12" s="346"/>
      <c r="M12" s="8"/>
      <c r="N12" s="8"/>
      <c r="O12" s="458" t="s">
        <v>82</v>
      </c>
      <c r="P12" s="458"/>
      <c r="Q12" s="458"/>
      <c r="R12" s="8"/>
    </row>
    <row r="13" spans="2:19" s="41" customFormat="1" ht="78" customHeight="1" x14ac:dyDescent="0.2">
      <c r="B13" s="61"/>
      <c r="C13" s="61"/>
      <c r="D13" s="558" t="s">
        <v>282</v>
      </c>
      <c r="E13" s="558"/>
      <c r="F13" s="558"/>
      <c r="G13" s="558"/>
      <c r="H13" s="558"/>
      <c r="I13" s="558"/>
      <c r="J13" s="558"/>
      <c r="K13" s="558"/>
    </row>
    <row r="14" spans="2:19" s="41" customFormat="1" ht="14.25" x14ac:dyDescent="0.2">
      <c r="C14" s="27"/>
    </row>
    <row r="15" spans="2:19" s="41" customFormat="1" ht="72.75" customHeight="1" x14ac:dyDescent="0.2">
      <c r="C15" s="88"/>
      <c r="D15" s="358" t="str">
        <f>"Place the " &amp;'Program Info'!B3&amp;" program's clinical / field experience on-site liaison orientation material in the Documentation folder.  "&amp;"This document must be titled with the 'EXACT document name' and must be included as the type of file format listed below (not Word 97-2003 [.doc], Word 2013 [.docx], or Excel [.xlsx])."</f>
        <v>Place the  program's clinical / field experience on-site liaison orientation material in the Documentation folder.  This document must be titled with the 'EXACT document name' and must be included as the type of file format listed below (not Word 97-2003 [.doc], Word 2013 [.docx], or Excel [.xlsx]).</v>
      </c>
      <c r="E15" s="358"/>
      <c r="F15" s="358"/>
      <c r="G15" s="358"/>
      <c r="H15" s="358"/>
      <c r="I15" s="358"/>
      <c r="J15" s="358"/>
      <c r="K15" s="358"/>
      <c r="L15" s="358"/>
      <c r="M15" s="358"/>
      <c r="N15" s="358"/>
      <c r="O15" s="358"/>
      <c r="S15" s="63"/>
    </row>
    <row r="16" spans="2:19" s="41" customFormat="1" ht="27" customHeight="1" x14ac:dyDescent="0.2">
      <c r="C16" s="88"/>
      <c r="H16" s="360" t="s">
        <v>117</v>
      </c>
      <c r="I16" s="360"/>
      <c r="J16" s="360"/>
      <c r="K16" s="360"/>
      <c r="L16" s="360"/>
      <c r="M16" s="360"/>
      <c r="N16" s="360"/>
      <c r="S16" s="63"/>
    </row>
    <row r="17" spans="2:19" s="41" customFormat="1" ht="29.25" customHeight="1" x14ac:dyDescent="0.2">
      <c r="C17" s="88"/>
      <c r="E17" s="118"/>
      <c r="F17" s="118"/>
      <c r="G17" s="118"/>
      <c r="H17" s="360" t="s">
        <v>417</v>
      </c>
      <c r="I17" s="360"/>
      <c r="J17" s="360"/>
      <c r="K17" s="360"/>
      <c r="L17" s="360"/>
      <c r="M17" s="360"/>
      <c r="N17" s="360"/>
      <c r="S17" s="63"/>
    </row>
    <row r="18" spans="2:19" s="41" customFormat="1" ht="27.75" customHeight="1" x14ac:dyDescent="0.2">
      <c r="C18" s="88"/>
      <c r="H18" s="361" t="s">
        <v>130</v>
      </c>
      <c r="I18" s="361"/>
      <c r="J18" s="361"/>
      <c r="K18" s="361"/>
      <c r="L18" s="361"/>
      <c r="M18" s="361"/>
      <c r="N18" s="361"/>
      <c r="S18" s="63"/>
    </row>
    <row r="19" spans="2:19" s="41" customFormat="1" ht="14.25" x14ac:dyDescent="0.2"/>
    <row r="20" spans="2:19" s="41" customFormat="1" ht="14.25" x14ac:dyDescent="0.2"/>
    <row r="21" spans="2:19" s="41" customFormat="1" ht="14.25" x14ac:dyDescent="0.2"/>
    <row r="22" spans="2:19" s="41" customFormat="1" ht="14.25" x14ac:dyDescent="0.2"/>
    <row r="23" spans="2:19" s="41" customFormat="1" ht="55.5" customHeight="1" x14ac:dyDescent="0.2">
      <c r="B23" s="61"/>
      <c r="C23" s="103" t="s">
        <v>9</v>
      </c>
      <c r="D23" s="346" t="str">
        <f>"The program must demonstrate the " &amp;'Program Info'!B3&amp;" program's capstone field internship preceptor training material includes the following minimum required topics."</f>
        <v>The program must demonstrate the  program's capstone field internship preceptor training material includes the following minimum required topics.</v>
      </c>
      <c r="E23" s="346"/>
      <c r="F23" s="346"/>
      <c r="G23" s="346"/>
      <c r="H23" s="346"/>
      <c r="I23" s="346"/>
      <c r="J23" s="346"/>
      <c r="K23" s="346"/>
      <c r="L23" s="346"/>
      <c r="M23" s="8"/>
      <c r="N23" s="8"/>
      <c r="O23" s="458" t="s">
        <v>82</v>
      </c>
      <c r="P23" s="458"/>
      <c r="Q23" s="458"/>
      <c r="R23" s="8"/>
    </row>
    <row r="24" spans="2:19" s="41" customFormat="1" ht="137.25" customHeight="1" x14ac:dyDescent="0.2">
      <c r="B24" s="61"/>
      <c r="C24" s="61"/>
      <c r="D24" s="558" t="s">
        <v>426</v>
      </c>
      <c r="E24" s="558"/>
      <c r="F24" s="558"/>
      <c r="G24" s="558"/>
      <c r="H24" s="558"/>
      <c r="I24" s="558"/>
      <c r="J24" s="558"/>
      <c r="K24" s="558"/>
    </row>
    <row r="25" spans="2:19" s="41" customFormat="1" ht="14.25" x14ac:dyDescent="0.2">
      <c r="C25" s="27"/>
    </row>
    <row r="26" spans="2:19" s="41" customFormat="1" ht="72.75" customHeight="1" x14ac:dyDescent="0.2">
      <c r="C26" s="88"/>
      <c r="D26" s="358" t="str">
        <f>"Place the " &amp;'Program Info'!B3&amp;" program's capstone field internship preceptor training material in the Documentation folder.  "&amp;"This document must be titled with the 'EXACT document name' and must be included as the type of file format listed below (not Word, 97-2003 [.doc], Word 2013 [.docx], or Excel [.xlsx])."</f>
        <v>Place the  program's capstone field internship preceptor training material in the Documentation folder.  This document must be titled with the 'EXACT document name' and must be included as the type of file format listed below (not Word, 97-2003 [.doc], Word 2013 [.docx], or Excel [.xlsx]).</v>
      </c>
      <c r="E26" s="358"/>
      <c r="F26" s="358"/>
      <c r="G26" s="358"/>
      <c r="H26" s="358"/>
      <c r="I26" s="358"/>
      <c r="J26" s="358"/>
      <c r="K26" s="358"/>
      <c r="L26" s="358"/>
      <c r="M26" s="358"/>
      <c r="N26" s="358"/>
      <c r="O26" s="358"/>
      <c r="S26" s="63"/>
    </row>
    <row r="27" spans="2:19" s="41" customFormat="1" ht="27" customHeight="1" x14ac:dyDescent="0.2">
      <c r="C27" s="88"/>
      <c r="H27" s="360" t="s">
        <v>117</v>
      </c>
      <c r="I27" s="360"/>
      <c r="J27" s="360"/>
      <c r="K27" s="360"/>
      <c r="L27" s="360"/>
      <c r="M27" s="360"/>
      <c r="N27" s="360"/>
      <c r="S27" s="63"/>
    </row>
    <row r="28" spans="2:19" s="41" customFormat="1" ht="29.25" customHeight="1" x14ac:dyDescent="0.2">
      <c r="C28" s="88"/>
      <c r="E28" s="118"/>
      <c r="F28" s="118"/>
      <c r="G28" s="118"/>
      <c r="H28" s="360" t="s">
        <v>418</v>
      </c>
      <c r="I28" s="360"/>
      <c r="J28" s="360"/>
      <c r="K28" s="360"/>
      <c r="L28" s="360"/>
      <c r="M28" s="360"/>
      <c r="N28" s="360"/>
      <c r="S28" s="63"/>
    </row>
    <row r="29" spans="2:19" s="41" customFormat="1" ht="27.75" customHeight="1" x14ac:dyDescent="0.2">
      <c r="C29" s="88"/>
      <c r="H29" s="361" t="s">
        <v>130</v>
      </c>
      <c r="I29" s="361"/>
      <c r="J29" s="361"/>
      <c r="K29" s="361"/>
      <c r="L29" s="361"/>
      <c r="M29" s="361"/>
      <c r="N29" s="361"/>
      <c r="S29" s="63"/>
    </row>
    <row r="30" spans="2:19" s="41" customFormat="1" ht="23.25" customHeight="1" x14ac:dyDescent="0.2"/>
    <row r="31" spans="2:19" s="41" customFormat="1" ht="14.25" x14ac:dyDescent="0.2">
      <c r="B31" s="68"/>
      <c r="C31" s="1"/>
      <c r="E31" s="6"/>
    </row>
    <row r="32" spans="2:19" s="41" customFormat="1" ht="14.25" x14ac:dyDescent="0.2">
      <c r="B32" s="68"/>
      <c r="C32" s="1"/>
      <c r="E32" s="6"/>
    </row>
    <row r="33" spans="2:383" s="41" customFormat="1" ht="23.25" customHeight="1" x14ac:dyDescent="0.2"/>
    <row r="34" spans="2:383" s="41" customFormat="1" ht="44.25" customHeight="1" x14ac:dyDescent="0.2">
      <c r="B34" s="566" t="s">
        <v>523</v>
      </c>
      <c r="C34" s="567"/>
      <c r="D34" s="567"/>
      <c r="E34" s="567"/>
      <c r="F34" s="567"/>
      <c r="G34" s="567"/>
      <c r="H34" s="567"/>
      <c r="I34" s="567"/>
      <c r="J34" s="567"/>
    </row>
    <row r="35" spans="2:383" s="41" customFormat="1" ht="16.5" customHeight="1" x14ac:dyDescent="0.2">
      <c r="B35" s="219"/>
      <c r="C35" s="568"/>
      <c r="D35" s="568"/>
      <c r="E35" s="569"/>
      <c r="F35" s="569"/>
      <c r="G35" s="570"/>
      <c r="H35" s="570"/>
      <c r="I35" s="570"/>
      <c r="J35" s="570"/>
    </row>
    <row r="36" spans="2:383" s="41" customFormat="1" ht="14.25" x14ac:dyDescent="0.2"/>
    <row r="37" spans="2:383" s="41" customFormat="1" ht="14.25" x14ac:dyDescent="0.2"/>
    <row r="38" spans="2:383" s="41" customFormat="1" ht="48.75" customHeight="1" x14ac:dyDescent="0.2">
      <c r="B38" s="522" t="s">
        <v>404</v>
      </c>
      <c r="C38" s="522"/>
      <c r="D38" s="522"/>
      <c r="E38" s="522"/>
      <c r="F38" s="522"/>
      <c r="H38" s="220" t="str">
        <f>'Standard III-Affiliates'!H12</f>
        <v>Please Select</v>
      </c>
      <c r="O38" s="221"/>
      <c r="P38" s="221"/>
      <c r="Q38" s="221"/>
      <c r="R38" s="221"/>
      <c r="S38" s="221"/>
      <c r="AB38" s="526"/>
      <c r="AC38" s="526"/>
      <c r="AD38" s="526"/>
      <c r="AE38" s="526"/>
      <c r="AF38" s="526"/>
      <c r="AO38" s="526"/>
      <c r="AP38" s="526"/>
      <c r="AQ38" s="526"/>
      <c r="AR38" s="526"/>
      <c r="AS38" s="526"/>
      <c r="BB38" s="526"/>
      <c r="BC38" s="526"/>
      <c r="BD38" s="526"/>
      <c r="BE38" s="526"/>
      <c r="BF38" s="526"/>
      <c r="BO38" s="526"/>
      <c r="BP38" s="526"/>
      <c r="BQ38" s="526"/>
      <c r="BR38" s="526"/>
      <c r="BS38" s="526"/>
      <c r="CB38" s="526"/>
      <c r="CC38" s="526"/>
      <c r="CD38" s="526"/>
      <c r="CE38" s="526"/>
      <c r="CF38" s="526"/>
      <c r="CO38" s="526"/>
      <c r="CP38" s="526"/>
      <c r="CQ38" s="526"/>
      <c r="CR38" s="526"/>
      <c r="CS38" s="526"/>
      <c r="DB38" s="526"/>
      <c r="DC38" s="526"/>
      <c r="DD38" s="526"/>
      <c r="DE38" s="526"/>
      <c r="DF38" s="526"/>
      <c r="DO38" s="526"/>
      <c r="DP38" s="526"/>
      <c r="DQ38" s="526"/>
      <c r="DR38" s="526"/>
      <c r="DS38" s="526"/>
      <c r="EB38" s="526"/>
      <c r="EC38" s="526"/>
      <c r="ED38" s="526"/>
      <c r="EE38" s="526"/>
      <c r="EF38" s="526"/>
      <c r="EO38" s="526"/>
      <c r="EP38" s="526"/>
      <c r="EQ38" s="526"/>
      <c r="ER38" s="526"/>
      <c r="ES38" s="526"/>
      <c r="FB38" s="526"/>
      <c r="FC38" s="526"/>
      <c r="FD38" s="526"/>
      <c r="FE38" s="526"/>
      <c r="FF38" s="526"/>
      <c r="FO38" s="526"/>
      <c r="FP38" s="526"/>
      <c r="FQ38" s="526"/>
      <c r="FR38" s="526"/>
      <c r="FS38" s="526"/>
      <c r="GB38" s="526"/>
      <c r="GC38" s="526"/>
      <c r="GD38" s="526"/>
      <c r="GE38" s="526"/>
      <c r="GF38" s="526"/>
      <c r="GO38" s="526"/>
      <c r="GP38" s="526"/>
      <c r="GQ38" s="526"/>
      <c r="GR38" s="526"/>
      <c r="GS38" s="526"/>
      <c r="HB38" s="526"/>
      <c r="HC38" s="526"/>
      <c r="HD38" s="526"/>
      <c r="HE38" s="526"/>
      <c r="HF38" s="526"/>
      <c r="HO38" s="526"/>
      <c r="HP38" s="526"/>
      <c r="HQ38" s="526"/>
      <c r="HR38" s="526"/>
      <c r="HS38" s="526"/>
      <c r="IB38" s="526"/>
      <c r="IC38" s="526"/>
      <c r="ID38" s="526"/>
      <c r="IE38" s="526"/>
      <c r="IF38" s="526"/>
      <c r="IO38" s="526"/>
      <c r="IP38" s="526"/>
      <c r="IQ38" s="526"/>
      <c r="IR38" s="526"/>
      <c r="IS38" s="526"/>
      <c r="JB38" s="526"/>
      <c r="JC38" s="526"/>
      <c r="JD38" s="526"/>
      <c r="JE38" s="526"/>
      <c r="JF38" s="526"/>
      <c r="JO38" s="526"/>
      <c r="JP38" s="526"/>
      <c r="JQ38" s="526"/>
      <c r="JR38" s="526"/>
      <c r="JS38" s="526"/>
      <c r="KB38" s="526"/>
      <c r="KC38" s="526"/>
      <c r="KD38" s="526"/>
      <c r="KE38" s="526"/>
      <c r="KF38" s="526"/>
      <c r="KO38" s="526"/>
      <c r="KP38" s="526"/>
      <c r="KQ38" s="526"/>
      <c r="KR38" s="526"/>
      <c r="KS38" s="526"/>
      <c r="LB38" s="526"/>
      <c r="LC38" s="526"/>
      <c r="LD38" s="526"/>
      <c r="LE38" s="526"/>
      <c r="LF38" s="526"/>
      <c r="LO38" s="526"/>
      <c r="LP38" s="526"/>
      <c r="LQ38" s="526"/>
      <c r="LR38" s="526"/>
      <c r="LS38" s="526"/>
      <c r="MB38" s="526"/>
      <c r="MC38" s="526"/>
      <c r="MD38" s="526"/>
      <c r="ME38" s="526"/>
      <c r="MF38" s="526"/>
      <c r="MO38" s="526"/>
      <c r="MP38" s="526"/>
      <c r="MQ38" s="526"/>
      <c r="MR38" s="526"/>
      <c r="MS38" s="526"/>
      <c r="NB38" s="526"/>
      <c r="NC38" s="526"/>
      <c r="ND38" s="526"/>
      <c r="NE38" s="526"/>
      <c r="NF38" s="526"/>
      <c r="NO38" s="526"/>
      <c r="NP38" s="526"/>
      <c r="NQ38" s="526"/>
      <c r="NR38" s="526"/>
      <c r="NS38" s="526"/>
    </row>
    <row r="39" spans="2:383" s="41" customFormat="1" ht="14.25" x14ac:dyDescent="0.2"/>
    <row r="40" spans="2:383" s="41" customFormat="1" ht="52.5" customHeight="1" x14ac:dyDescent="0.2">
      <c r="B40" s="522" t="s">
        <v>405</v>
      </c>
      <c r="C40" s="522"/>
      <c r="D40" s="522"/>
      <c r="E40" s="522"/>
      <c r="F40" s="522"/>
      <c r="G40" s="42"/>
      <c r="H40" s="214">
        <f>'Standard III-Affiliates'!H19</f>
        <v>0</v>
      </c>
    </row>
    <row r="41" spans="2:383" s="41" customFormat="1" ht="14.25" x14ac:dyDescent="0.2"/>
    <row r="42" spans="2:383" s="41" customFormat="1" ht="48.75" customHeight="1" x14ac:dyDescent="0.2">
      <c r="B42" s="522" t="s">
        <v>422</v>
      </c>
      <c r="C42" s="522"/>
      <c r="D42" s="522"/>
      <c r="E42" s="522"/>
      <c r="F42" s="522"/>
      <c r="H42" s="220">
        <f>IF('Standard III-Affiliates'!H141="Please Select",0,'Standard III-Affiliates'!H141)</f>
        <v>0</v>
      </c>
      <c r="O42" s="221"/>
      <c r="P42" s="221"/>
      <c r="Q42" s="221"/>
      <c r="R42" s="221"/>
      <c r="S42" s="221"/>
      <c r="AB42" s="526"/>
      <c r="AC42" s="526"/>
      <c r="AD42" s="526"/>
      <c r="AE42" s="526"/>
      <c r="AF42" s="526"/>
      <c r="AO42" s="526"/>
      <c r="AP42" s="526"/>
      <c r="AQ42" s="526"/>
      <c r="AR42" s="526"/>
      <c r="AS42" s="526"/>
      <c r="BB42" s="526"/>
      <c r="BC42" s="526"/>
      <c r="BD42" s="526"/>
      <c r="BE42" s="526"/>
      <c r="BF42" s="526"/>
      <c r="BO42" s="526"/>
      <c r="BP42" s="526"/>
      <c r="BQ42" s="526"/>
      <c r="BR42" s="526"/>
      <c r="BS42" s="526"/>
      <c r="CB42" s="526"/>
      <c r="CC42" s="526"/>
      <c r="CD42" s="526"/>
      <c r="CE42" s="526"/>
      <c r="CF42" s="526"/>
      <c r="CO42" s="526"/>
      <c r="CP42" s="526"/>
      <c r="CQ42" s="526"/>
      <c r="CR42" s="526"/>
      <c r="CS42" s="526"/>
      <c r="DB42" s="526"/>
      <c r="DC42" s="526"/>
      <c r="DD42" s="526"/>
      <c r="DE42" s="526"/>
      <c r="DF42" s="526"/>
      <c r="DO42" s="526"/>
      <c r="DP42" s="526"/>
      <c r="DQ42" s="526"/>
      <c r="DR42" s="526"/>
      <c r="DS42" s="526"/>
      <c r="EB42" s="526"/>
      <c r="EC42" s="526"/>
      <c r="ED42" s="526"/>
      <c r="EE42" s="526"/>
      <c r="EF42" s="526"/>
      <c r="EO42" s="526"/>
      <c r="EP42" s="526"/>
      <c r="EQ42" s="526"/>
      <c r="ER42" s="526"/>
      <c r="ES42" s="526"/>
      <c r="FB42" s="526"/>
      <c r="FC42" s="526"/>
      <c r="FD42" s="526"/>
      <c r="FE42" s="526"/>
      <c r="FF42" s="526"/>
      <c r="FO42" s="526"/>
      <c r="FP42" s="526"/>
      <c r="FQ42" s="526"/>
      <c r="FR42" s="526"/>
      <c r="FS42" s="526"/>
      <c r="GB42" s="526"/>
      <c r="GC42" s="526"/>
      <c r="GD42" s="526"/>
      <c r="GE42" s="526"/>
      <c r="GF42" s="526"/>
      <c r="GO42" s="526"/>
      <c r="GP42" s="526"/>
      <c r="GQ42" s="526"/>
      <c r="GR42" s="526"/>
      <c r="GS42" s="526"/>
      <c r="HB42" s="526"/>
      <c r="HC42" s="526"/>
      <c r="HD42" s="526"/>
      <c r="HE42" s="526"/>
      <c r="HF42" s="526"/>
      <c r="HO42" s="526"/>
      <c r="HP42" s="526"/>
      <c r="HQ42" s="526"/>
      <c r="HR42" s="526"/>
      <c r="HS42" s="526"/>
      <c r="IB42" s="526"/>
      <c r="IC42" s="526"/>
      <c r="ID42" s="526"/>
      <c r="IE42" s="526"/>
      <c r="IF42" s="526"/>
      <c r="IO42" s="526"/>
      <c r="IP42" s="526"/>
      <c r="IQ42" s="526"/>
      <c r="IR42" s="526"/>
      <c r="IS42" s="526"/>
      <c r="JB42" s="526"/>
      <c r="JC42" s="526"/>
      <c r="JD42" s="526"/>
      <c r="JE42" s="526"/>
      <c r="JF42" s="526"/>
      <c r="JO42" s="526"/>
      <c r="JP42" s="526"/>
      <c r="JQ42" s="526"/>
      <c r="JR42" s="526"/>
      <c r="JS42" s="526"/>
      <c r="KB42" s="526"/>
      <c r="KC42" s="526"/>
      <c r="KD42" s="526"/>
      <c r="KE42" s="526"/>
      <c r="KF42" s="526"/>
      <c r="KO42" s="526"/>
      <c r="KP42" s="526"/>
      <c r="KQ42" s="526"/>
      <c r="KR42" s="526"/>
      <c r="KS42" s="526"/>
      <c r="LB42" s="526"/>
      <c r="LC42" s="526"/>
      <c r="LD42" s="526"/>
      <c r="LE42" s="526"/>
      <c r="LF42" s="526"/>
      <c r="LO42" s="526"/>
      <c r="LP42" s="526"/>
      <c r="LQ42" s="526"/>
      <c r="LR42" s="526"/>
      <c r="LS42" s="526"/>
      <c r="MB42" s="526"/>
      <c r="MC42" s="526"/>
      <c r="MD42" s="526"/>
      <c r="ME42" s="526"/>
      <c r="MF42" s="526"/>
      <c r="MO42" s="526"/>
      <c r="MP42" s="526"/>
      <c r="MQ42" s="526"/>
      <c r="MR42" s="526"/>
      <c r="MS42" s="526"/>
      <c r="NB42" s="526"/>
      <c r="NC42" s="526"/>
      <c r="ND42" s="526"/>
      <c r="NE42" s="526"/>
      <c r="NF42" s="526"/>
      <c r="NO42" s="526"/>
      <c r="NP42" s="526"/>
      <c r="NQ42" s="526"/>
      <c r="NR42" s="526"/>
      <c r="NS42" s="526"/>
    </row>
    <row r="43" spans="2:383" s="41" customFormat="1" ht="14.25" x14ac:dyDescent="0.2"/>
    <row r="44" spans="2:383" s="41" customFormat="1" ht="47.25" customHeight="1" x14ac:dyDescent="0.2">
      <c r="B44" s="522" t="s">
        <v>406</v>
      </c>
      <c r="C44" s="522"/>
      <c r="D44" s="522"/>
      <c r="E44" s="522"/>
      <c r="F44" s="522"/>
      <c r="G44" s="42"/>
      <c r="H44" s="214">
        <f>'Standard III-Affiliates'!H143</f>
        <v>0</v>
      </c>
    </row>
    <row r="45" spans="2:383" s="41" customFormat="1" ht="14.25" x14ac:dyDescent="0.2">
      <c r="N45" s="165"/>
    </row>
    <row r="46" spans="2:383" s="41" customFormat="1" ht="14.25" x14ac:dyDescent="0.2"/>
    <row r="47" spans="2:383" s="41" customFormat="1" ht="14.25" x14ac:dyDescent="0.2"/>
    <row r="48" spans="2:383" s="41" customFormat="1" ht="14.25" x14ac:dyDescent="0.2"/>
    <row r="49" spans="2:14" s="41" customFormat="1" ht="14.25" x14ac:dyDescent="0.2">
      <c r="N49" s="165"/>
    </row>
    <row r="50" spans="2:14" s="41" customFormat="1" ht="44.25" customHeight="1" x14ac:dyDescent="0.2">
      <c r="B50" s="560" t="s">
        <v>524</v>
      </c>
      <c r="C50" s="561"/>
      <c r="D50" s="561"/>
      <c r="E50" s="561"/>
      <c r="F50" s="561"/>
      <c r="G50" s="561"/>
      <c r="H50" s="561"/>
      <c r="I50" s="561"/>
      <c r="J50" s="561"/>
    </row>
    <row r="51" spans="2:14" s="41" customFormat="1" ht="16.5" customHeight="1" x14ac:dyDescent="0.2">
      <c r="B51" s="222"/>
      <c r="C51" s="562"/>
      <c r="D51" s="562"/>
      <c r="E51" s="563"/>
      <c r="F51" s="563"/>
      <c r="G51" s="564"/>
      <c r="H51" s="564"/>
      <c r="I51" s="564"/>
      <c r="J51" s="564"/>
    </row>
    <row r="52" spans="2:14" s="41" customFormat="1" ht="14.25" x14ac:dyDescent="0.2"/>
    <row r="53" spans="2:14" s="41" customFormat="1" ht="14.25" x14ac:dyDescent="0.2"/>
    <row r="54" spans="2:14" s="41" customFormat="1" ht="38.25" customHeight="1" x14ac:dyDescent="0.2">
      <c r="B54" s="522" t="s">
        <v>423</v>
      </c>
      <c r="C54" s="522"/>
      <c r="D54" s="522"/>
      <c r="E54" s="522"/>
      <c r="F54" s="522"/>
      <c r="G54" s="42"/>
      <c r="H54" s="213">
        <f>'Standard III-Affiliates'!H70</f>
        <v>0</v>
      </c>
    </row>
    <row r="55" spans="2:14" s="41" customFormat="1" ht="14.25" x14ac:dyDescent="0.2"/>
    <row r="56" spans="2:14" s="41" customFormat="1" ht="43.5" customHeight="1" x14ac:dyDescent="0.2">
      <c r="B56" s="522" t="s">
        <v>424</v>
      </c>
      <c r="C56" s="522"/>
      <c r="D56" s="522"/>
      <c r="E56" s="522"/>
      <c r="F56" s="522"/>
      <c r="G56" s="42"/>
      <c r="H56" s="214">
        <f>'Standard III-Affiliates'!H75</f>
        <v>0</v>
      </c>
    </row>
    <row r="57" spans="2:14" s="41" customFormat="1" ht="14.25" x14ac:dyDescent="0.2"/>
    <row r="58" spans="2:14" s="41" customFormat="1" ht="14.25" x14ac:dyDescent="0.2">
      <c r="N58" s="165"/>
    </row>
    <row r="59" spans="2:14" s="41" customFormat="1" ht="30.75" customHeight="1" x14ac:dyDescent="0.2">
      <c r="B59" s="68"/>
      <c r="C59" s="556" t="s">
        <v>327</v>
      </c>
      <c r="D59" s="557"/>
      <c r="E59" s="557"/>
      <c r="F59" s="557"/>
      <c r="H59" s="142"/>
      <c r="I59" s="43" t="str">
        <f>IF(H59="", " &lt;=== Select from drop down list",IF(H59="No", "  Each student is required to be assigned to a trained preceptor",""))</f>
        <v xml:space="preserve"> &lt;=== Select from drop down list</v>
      </c>
      <c r="J59" s="43"/>
      <c r="N59" s="87"/>
    </row>
    <row r="60" spans="2:14" s="41" customFormat="1" ht="14.25" x14ac:dyDescent="0.2"/>
    <row r="61" spans="2:14" s="41" customFormat="1" ht="14.25" x14ac:dyDescent="0.2"/>
    <row r="62" spans="2:14" s="41" customFormat="1" ht="14.25" x14ac:dyDescent="0.2"/>
    <row r="63" spans="2:14" s="41" customFormat="1" ht="14.25" x14ac:dyDescent="0.2"/>
    <row r="64" spans="2:14" s="41" customFormat="1" ht="24" customHeight="1" x14ac:dyDescent="0.25">
      <c r="B64" s="378" t="s">
        <v>209</v>
      </c>
      <c r="C64" s="378"/>
      <c r="D64" s="378"/>
      <c r="E64" s="378"/>
      <c r="F64" s="378"/>
      <c r="G64" s="378"/>
      <c r="K64" s="64"/>
    </row>
    <row r="67" spans="2:15" ht="27" customHeight="1" x14ac:dyDescent="0.25">
      <c r="B67" s="310" t="str">
        <f>IF('Title Page'!D3&lt;&gt;"Please Select",'Title Page'!D3,"")</f>
        <v/>
      </c>
      <c r="C67" s="310"/>
      <c r="D67" s="310"/>
      <c r="E67" s="310"/>
      <c r="F67" s="310"/>
      <c r="G67" s="310"/>
      <c r="H67" s="310"/>
      <c r="I67" s="310"/>
      <c r="J67" s="310"/>
      <c r="K67" s="310"/>
      <c r="L67" s="310"/>
      <c r="M67" s="310"/>
      <c r="N67" s="310"/>
      <c r="O67" s="310"/>
    </row>
    <row r="69" spans="2:15" x14ac:dyDescent="0.25">
      <c r="N69" s="11"/>
    </row>
  </sheetData>
  <sheetProtection algorithmName="SHA-512" hashValue="sHBEZU1kmG+f6nhtcnxY42VaSzwbJzWSqRJqqwrkezZME70kzFwh8oVLBtH7UKMR+UQDrx1hvwtXzlXxi4C9IA==" saltValue="ryjDXrKZuuhcqYdVTFjzXQ==" spinCount="100000" sheet="1" formatRows="0" selectLockedCells="1"/>
  <mergeCells count="93">
    <mergeCell ref="AB38:AF38"/>
    <mergeCell ref="B38:F38"/>
    <mergeCell ref="B34:J34"/>
    <mergeCell ref="C35:D35"/>
    <mergeCell ref="E35:F35"/>
    <mergeCell ref="G35:H35"/>
    <mergeCell ref="I35:J35"/>
    <mergeCell ref="KB38:KF38"/>
    <mergeCell ref="KO38:KS38"/>
    <mergeCell ref="AO38:AS38"/>
    <mergeCell ref="BB38:BF38"/>
    <mergeCell ref="BO38:BS38"/>
    <mergeCell ref="CB38:CF38"/>
    <mergeCell ref="CO38:CS38"/>
    <mergeCell ref="DB38:DF38"/>
    <mergeCell ref="DO38:DS38"/>
    <mergeCell ref="EB38:EF38"/>
    <mergeCell ref="EO38:ES38"/>
    <mergeCell ref="NO38:NS38"/>
    <mergeCell ref="FB38:FF38"/>
    <mergeCell ref="FO38:FS38"/>
    <mergeCell ref="GB38:GF38"/>
    <mergeCell ref="GO38:GS38"/>
    <mergeCell ref="HB38:HF38"/>
    <mergeCell ref="HO38:HS38"/>
    <mergeCell ref="IB38:IF38"/>
    <mergeCell ref="IO38:IS38"/>
    <mergeCell ref="JB38:JF38"/>
    <mergeCell ref="LB38:LF38"/>
    <mergeCell ref="LO38:LS38"/>
    <mergeCell ref="MB38:MF38"/>
    <mergeCell ref="MO38:MS38"/>
    <mergeCell ref="NB38:NF38"/>
    <mergeCell ref="JO38:JS38"/>
    <mergeCell ref="B3:H3"/>
    <mergeCell ref="B54:F54"/>
    <mergeCell ref="D9:K9"/>
    <mergeCell ref="D12:L12"/>
    <mergeCell ref="O12:Q12"/>
    <mergeCell ref="D15:O15"/>
    <mergeCell ref="H16:N16"/>
    <mergeCell ref="H17:N17"/>
    <mergeCell ref="H18:N18"/>
    <mergeCell ref="D13:K13"/>
    <mergeCell ref="B50:J50"/>
    <mergeCell ref="C51:D51"/>
    <mergeCell ref="E51:F51"/>
    <mergeCell ref="G51:H51"/>
    <mergeCell ref="I51:J51"/>
    <mergeCell ref="D8:K8"/>
    <mergeCell ref="B64:G64"/>
    <mergeCell ref="D23:L23"/>
    <mergeCell ref="O23:Q23"/>
    <mergeCell ref="D24:K24"/>
    <mergeCell ref="D26:O26"/>
    <mergeCell ref="H27:N27"/>
    <mergeCell ref="H28:N28"/>
    <mergeCell ref="H29:N29"/>
    <mergeCell ref="B56:F56"/>
    <mergeCell ref="B42:F42"/>
    <mergeCell ref="B40:F40"/>
    <mergeCell ref="B44:F44"/>
    <mergeCell ref="AO42:AS42"/>
    <mergeCell ref="BB42:BF42"/>
    <mergeCell ref="BO42:BS42"/>
    <mergeCell ref="CB42:CF42"/>
    <mergeCell ref="C59:F59"/>
    <mergeCell ref="JB42:JF42"/>
    <mergeCell ref="JO42:JS42"/>
    <mergeCell ref="MO42:MS42"/>
    <mergeCell ref="NB42:NF42"/>
    <mergeCell ref="NO42:NS42"/>
    <mergeCell ref="KB42:KF42"/>
    <mergeCell ref="KO42:KS42"/>
    <mergeCell ref="LB42:LF42"/>
    <mergeCell ref="LO42:LS42"/>
    <mergeCell ref="MB42:MF42"/>
    <mergeCell ref="B5:O5"/>
    <mergeCell ref="B67:O67"/>
    <mergeCell ref="HO42:HS42"/>
    <mergeCell ref="IB42:IF42"/>
    <mergeCell ref="IO42:IS42"/>
    <mergeCell ref="GB42:GF42"/>
    <mergeCell ref="GO42:GS42"/>
    <mergeCell ref="HB42:HF42"/>
    <mergeCell ref="CO42:CS42"/>
    <mergeCell ref="DB42:DF42"/>
    <mergeCell ref="DO42:DS42"/>
    <mergeCell ref="EB42:EF42"/>
    <mergeCell ref="EO42:ES42"/>
    <mergeCell ref="FB42:FF42"/>
    <mergeCell ref="FO42:FS42"/>
    <mergeCell ref="AB42:AF42"/>
  </mergeCells>
  <conditionalFormatting sqref="I59">
    <cfRule type="expression" dxfId="3945" priority="6">
      <formula>$H$59="No"</formula>
    </cfRule>
  </conditionalFormatting>
  <conditionalFormatting sqref="B5:O5">
    <cfRule type="expression" dxfId="3944" priority="2">
      <formula>$B$5="Paramedic"</formula>
    </cfRule>
    <cfRule type="expression" dxfId="3943" priority="4">
      <formula>$B$5="AEMT"</formula>
    </cfRule>
  </conditionalFormatting>
  <conditionalFormatting sqref="B67:O67">
    <cfRule type="expression" dxfId="3942" priority="1">
      <formula>$B$67="Paramedic"</formula>
    </cfRule>
    <cfRule type="expression" dxfId="3941" priority="3">
      <formula>$B$67="AEMT"</formula>
    </cfRule>
  </conditionalFormatting>
  <dataValidations count="1">
    <dataValidation type="list" allowBlank="1" showInputMessage="1" showErrorMessage="1" sqref="H59" xr:uid="{00000000-0002-0000-0800-000000000000}">
      <formula1>"Yes, No"</formula1>
    </dataValidation>
  </dataValidations>
  <printOptions horizontalCentered="1" verticalCentered="1"/>
  <pageMargins left="0.25" right="0.25" top="0.25" bottom="0.25" header="0.3" footer="0.3"/>
  <pageSetup scale="84" fitToHeight="0" orientation="landscape" horizontalDpi="300" verticalDpi="300" r:id="rId1"/>
  <rowBreaks count="2" manualBreakCount="2">
    <brk id="18" max="14" man="1"/>
    <brk id="49" max="14" man="1"/>
  </rowBreaks>
  <colBreaks count="1" manualBreakCount="1">
    <brk id="15" max="86"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Instructions</vt:lpstr>
      <vt:lpstr>Title Page</vt:lpstr>
      <vt:lpstr>Program Info</vt:lpstr>
      <vt:lpstr>Standard I-Sponsorship</vt:lpstr>
      <vt:lpstr>Standard II-Goals</vt:lpstr>
      <vt:lpstr>Standard III-Resources</vt:lpstr>
      <vt:lpstr>Standard III-Personnel</vt:lpstr>
      <vt:lpstr>Standard III-Affiliates</vt:lpstr>
      <vt:lpstr>Standard III-Preceptors</vt:lpstr>
      <vt:lpstr>Standard IV-Evaluation</vt:lpstr>
      <vt:lpstr>Standard V-Fair Practices</vt:lpstr>
      <vt:lpstr>Alternate &amp; Satellite Locations</vt:lpstr>
      <vt:lpstr>'Alternate &amp; Satellite Locations'!Print_Area</vt:lpstr>
      <vt:lpstr>Instructions!Print_Area</vt:lpstr>
      <vt:lpstr>'Program Info'!Print_Area</vt:lpstr>
      <vt:lpstr>'Standard II-Goals'!Print_Area</vt:lpstr>
      <vt:lpstr>'Standard III-Affiliates'!Print_Area</vt:lpstr>
      <vt:lpstr>'Standard III-Personnel'!Print_Area</vt:lpstr>
      <vt:lpstr>'Standard III-Preceptors'!Print_Area</vt:lpstr>
      <vt:lpstr>'Standard III-Resources'!Print_Area</vt:lpstr>
      <vt:lpstr>'Standard I-Sponsorship'!Print_Area</vt:lpstr>
      <vt:lpstr>'Standard IV-Evaluation'!Print_Area</vt:lpstr>
      <vt:lpstr>'Standard V-Fair Practices'!Print_Area</vt:lpstr>
      <vt:lpstr>PStatus</vt:lpstr>
      <vt:lpstr>PType</vt:lpstr>
      <vt:lpstr>'Standard I-Sponsorship'!SCategory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Collard</dc:creator>
  <cp:lastModifiedBy>Lisa Collard</cp:lastModifiedBy>
  <cp:lastPrinted>2020-09-27T03:47:16Z</cp:lastPrinted>
  <dcterms:created xsi:type="dcterms:W3CDTF">2015-02-14T20:55:58Z</dcterms:created>
  <dcterms:modified xsi:type="dcterms:W3CDTF">2025-04-11T21:10:30Z</dcterms:modified>
</cp:coreProperties>
</file>